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17F7D313-AD18-4374-AA3F-B1C953308195}" xr6:coauthVersionLast="47" xr6:coauthVersionMax="47" xr10:uidLastSave="{00000000-0000-0000-0000-000000000000}"/>
  <bookViews>
    <workbookView xWindow="2250" yWindow="2250" windowWidth="15375" windowHeight="7875"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595" i="2" l="1"/>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<sst xmlns="http://schemas.openxmlformats.org/spreadsheetml/2006/main" count="58355" uniqueCount="14346">
  <si>
    <t>Índice onomástico anual · Gacetas oficiales de 1809</t>
  </si>
  <si>
    <t>Del 1 de enero al 31 de diciembre de 1809 · Gaceta de Madrid, Gazeta del Gobierno y Gazeta Ministerial de Sevilla</t>
  </si>
  <si>
    <t>Aviso: índice generado a partir del OCR de facsímiles históricos. Las grafías y lecturas dudosas deben cotejarse con la página enlazada.</t>
  </si>
  <si>
    <t>5654 menciones · 591 archivos oficiales · 3054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</si>
  <si>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</si>
  <si>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</si>
  <si>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</si>
  <si>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</si>
  <si>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</si>
  <si>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</si>
  <si>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</si>
  <si>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</si>
  <si>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</si>
  <si>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</si>
  <si>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</si>
  <si>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Francisco</t>
  </si>
  <si>
    <t>Francisco A</t>
  </si>
  <si>
    <t>Mención en noticia o disposición</t>
  </si>
  <si>
    <t>Noticias y disposiciones</t>
  </si>
  <si>
    <t>11 de febrero de 1809</t>
  </si>
  <si>
    <t>Gaceta de Madrid n.º 42</t>
  </si>
  <si>
    <t>2</t>
  </si>
  <si>
    <t>Lectura automática dudosa; cotejar el facsímil</t>
  </si>
  <si>
    <t>Íoit separada, que expedimos*con esta fechan* -v, r r*: r^ v^; , art. 2.0 Nombramos igualmente y para el mismo efecto á nuestro con­ sejero de Estado D. Francisco A moros por nuestro comisario regio en la provincia de Burgos , las de Guipúzcoa y Alava, y señorío de Vizcaya. art. 3.0 Nombramos asimismo á nuestro intendente de …</t>
  </si>
  <si>
    <t>Revisar OCR</t>
  </si>
  <si>
    <t>Operaciones o servicios militares</t>
  </si>
  <si>
    <t>Noticias militares</t>
  </si>
  <si>
    <t>12 de mayo de 1809</t>
  </si>
  <si>
    <t>Gaceta de Madrid n.º 132</t>
  </si>
  <si>
    <t>PDF p. 3</t>
  </si>
  <si>
    <t>­ medio para arruinar el estado , unos rumo­ rías de los ingleses , determinó el limo. Sr. res generalmente esparcidos en los pueblos comisario regio D. Francisco A moros, lue­ ocupados por los exércitos franceses y en los estados de la confederación. Solo enton­ go que llegó á esta ciudad , formar varias ces me determiné á d…</t>
  </si>
  <si>
    <t>A, Luis</t>
  </si>
  <si>
    <t>Luis A</t>
  </si>
  <si>
    <t>19 de diciembre de 1809</t>
  </si>
  <si>
    <t>Gazeta del Gobierno n.º 60 · 2.ª serie</t>
  </si>
  <si>
    <t>587</t>
  </si>
  <si>
    <t>es. — Di Luis García Puerta. — D: Manuel Quintana.D. Ig­ nacio Gardoqui. — Marques de Villamonte. — D Bernardo Gon­ zález. -— D. Francisco Santmez. — D. Luis A ntentas.—&lt; D. Fer­ nando.Gninan-—D. Luís de Qm*~- D.-Félix Colon. — D.Ma*-</t>
  </si>
  <si>
    <t>A, Manuel</t>
  </si>
  <si>
    <t>Manuel A</t>
  </si>
  <si>
    <t>Actuación administrativa o judicial</t>
  </si>
  <si>
    <t>España</t>
  </si>
  <si>
    <t>11 de marzo de 1809</t>
  </si>
  <si>
    <t>Gaceta de Madrid n.º 70</t>
  </si>
  <si>
    <t>368</t>
  </si>
  <si>
    <t>cción de sus almacenes en la Asimismo se echa de menos un resguardo im­ India, como por las presas que les ha hecho. preso, firmado por el Excmo. Sr. D. Manuel A principios del corriente se ha publi­ Sixto Espinosa, su fecha en Madrid á 23 de cado en Anvers un decreto imperial, dado agosto de 1798, por el qual consta se diero…</t>
  </si>
  <si>
    <t>A, Napo</t>
  </si>
  <si>
    <t>Napo A</t>
  </si>
  <si>
    <t>Noticia política o diplomática</t>
  </si>
  <si>
    <t>3 de octubre de 1809</t>
  </si>
  <si>
    <t>Gaceta de Madrid n.º 277</t>
  </si>
  <si>
    <t>tal vez á las costas en el ca o de que "sean mas principes -interesados en este negocio, amenazadas de una invasión enemiga. convinieron en acudir al Emperador Napo­ A consecuencia de una orden del prín­ león para cortar de ufla vez estas disputas; cipe primado se han firmado listas de to­ y sj acaba de saber que S. Al. ha de…</t>
  </si>
  <si>
    <t>Abad, Manuel</t>
  </si>
  <si>
    <t>Manuel Abad</t>
  </si>
  <si>
    <t>3 de marzo de 1809</t>
  </si>
  <si>
    <t>Gaceta de Madrid n.º 62</t>
  </si>
  <si>
    <t>Nombre detectado automáticamente; cotejar si se va a citar</t>
  </si>
  <si>
    <t>Fernandez; gefes de sala D. Josef En el mismo dia tuvo la honra de ser Martínez, D. Josef Ramón Fernandez y presentado á SS. MM. S. A. S. el principe D. Manuel Abad; gefe de trozo D. Pa­ de Hesse-Darmstadt. blo Unda; seminaristas D. Andrés Gorvea, En el discurso del año próximo pasado D. Félix Gilmau , cadete de reales guardi…</t>
  </si>
  <si>
    <t>Lectura OCR</t>
  </si>
  <si>
    <t>Abad, Simón Rentería y Reyes</t>
  </si>
  <si>
    <t>Simón Rentería y Reyes Abad</t>
  </si>
  <si>
    <t>7 de febrero de 1809</t>
  </si>
  <si>
    <t>Gaceta de Madrid n.º 38</t>
  </si>
  <si>
    <t>8</t>
  </si>
  <si>
    <t>defonso. D. Manuel Matías de Jáuregui; D. Ventura María Sanz; D. Francisco Paula Guarnerio y D. Luis Guarnerio. Diputación de Villafranca del Vierzo. D. Simón Rentería y Reyes Abad; D. Francisco Villegas y D. Josef Arias de Prada. La arenga que tuvo la honra de dirigir á S. M. la diputación del cabil-. do de la santa iglesia …</t>
  </si>
  <si>
    <t>Abadía, José</t>
  </si>
  <si>
    <t>José Abadía</t>
  </si>
  <si>
    <t>30 de diciembre de 1809</t>
  </si>
  <si>
    <t>Gazeta del Gobierno n.º 65 · 2.ª serie</t>
  </si>
  <si>
    <t>402</t>
  </si>
  <si>
    <t>bres los que íucrou ref chazados por los migueletes áe aquel -corregimiento ,; ,y stn eiq?bargo de haber tirado 5 descargas de 25 hombres al teniente D. José Abadía , que mandaba la descubierta , no recibió ei me­ nor daño, ni menos su. partida. Entretanto se asomaron por el portillón otros 23 franceses para atacar á un mismo…</t>
  </si>
  <si>
    <t>Abanico, Josefa</t>
  </si>
  <si>
    <t>Josefa Abanico</t>
  </si>
  <si>
    <t>Suplemento</t>
  </si>
  <si>
    <t>21 de septiembre de 1809</t>
  </si>
  <si>
    <t>Gaceta de Madrid n.º 265 (suplemento)</t>
  </si>
  <si>
    <t>6</t>
  </si>
  <si>
    <t>384 perteneciente al colegio de san Un lavádero en 'el rio Manzana­ Eloi de artífices plateros, y me­ res, por cima de ia fuente del morias que fundó Doña Josefa Abanico, árboles , case nueva. Abad...................... »............... 50*50 1.105500 y otra llamada de los Pastores. *4500 3x9000 El dominio directo de una tier…</t>
  </si>
  <si>
    <t>Abaurre, Antonio</t>
  </si>
  <si>
    <t>Antonio Abaurre</t>
  </si>
  <si>
    <t>Fallecimiento, herencia o memoria</t>
  </si>
  <si>
    <t>Edición extraordinaria</t>
  </si>
  <si>
    <t>11 de abril de 1809</t>
  </si>
  <si>
    <t>Gazeta del Gobierno n.º 16 (extraordinaria)</t>
  </si>
  <si>
    <t>328</t>
  </si>
  <si>
    <t>, comandante de la segunda divi­ sión y xrfe del centro , que con rauta bizarría sostuvo el ataque, ha sido herido; mi ayudante de campo el capi­ tán D. Antonio Abaurre, lo fué igualmente de brda de ca­ llón en el principio de la acción, y murió á pocas horas *n la villa de D. Benito. El Teniente General Duque del Parque, y e…</t>
  </si>
  <si>
    <t>Acaya, Saturnino</t>
  </si>
  <si>
    <t>Saturnino Acaya</t>
  </si>
  <si>
    <t>15 de febrero de 1809</t>
  </si>
  <si>
    <t>Gaceta de Madrid n.º 46</t>
  </si>
  <si>
    <t>24</t>
  </si>
  <si>
    <t>quatro heredades sitas en sus términos, que goza su cabildo, al contado 2244, y 3366 al fiado: una capellanía fundada en dicho pueblo, que dis­ fruta D. Saturnino Acaya, al contado 19448, y 29172 al fiado: otra casa y varias heredades en dicho pueblo pertenecientes á su fábrica, al contado 7853, y 11779 y medio al fiado: en e…</t>
  </si>
  <si>
    <t>Acosta</t>
  </si>
  <si>
    <t>22 de mayo de 1809</t>
  </si>
  <si>
    <t>Gazeta del Gobierno n.º 30 (suplemento)</t>
  </si>
  <si>
    <t>PDF p. 5</t>
  </si>
  <si>
    <t>s por un tiroteo no interrumpido cinco horas , y viéndose por último estrechos y rodeados, se abrieron paso y escaparon de las garras del enemigo. El comandante Acosta, y el subteniente da la segunda partida de Murcia D. Juan Baños, se han portado con mu­ cho valor, y en general toda la tropa ;pero habiendo Acosta emprendido …</t>
  </si>
  <si>
    <t>Acuña, Manuel</t>
  </si>
  <si>
    <t>Manuel Acuña</t>
  </si>
  <si>
    <t>584</t>
  </si>
  <si>
    <t>strando la.série no interrumpida de sus servicios patrióticos durante nuestra revolución, y solicitando se publique que es per­ sona muy distinta del D. Manuel Acuña, de quien se habla en el suplemento de la gazeta del Gobierno de 5 del corriente, como uno de los agraciados por el rey intruso con nombramiento de ca­ ballero d…</t>
  </si>
  <si>
    <t>Ada, Juan</t>
  </si>
  <si>
    <t>Juan Ada</t>
  </si>
  <si>
    <t>28 de septiembre de 1809</t>
  </si>
  <si>
    <t>Gazeta del Gobierno n.º 25 · 2.ª serie</t>
  </si>
  <si>
    <t>234</t>
  </si>
  <si>
    <t>é Carlos Sánchez , capellán de coro en la misma iglesia : para las tres capellanías de coro vacan­ tes en la catedral de Granada por fallecimiento de D. Juan Ada­ me, de D. Genaro López del Rincón, y de D. Fernando Fer­ nandez de Padilla, á D. José Garzón Berruezo , á D. José Rafael de Sebastiani, y á D. José Morales Zurita ;…</t>
  </si>
  <si>
    <t>Adair</t>
  </si>
  <si>
    <t>Noticias extranjeras</t>
  </si>
  <si>
    <t>8 de septiembre de 1809</t>
  </si>
  <si>
    <t>Gaceta de Madrid n.º 252</t>
  </si>
  <si>
    <t>4</t>
  </si>
  <si>
    <t>sos de la misma arma; á O. Josef Clari, capi­ brillantes y maravillosos que ha logrado en tán de ia compañía de vélites de la guardia Turquía nuestro ministro Adair han dado real, gefe de esquadron; al^señor Paquin, justamente á Bonaparte el derecho de esta­ capitán de caballería, gefe de esquadron; blecer allí una escala, po…</t>
  </si>
  <si>
    <t>Adeisparre</t>
  </si>
  <si>
    <t>24 de abril de 1809</t>
  </si>
  <si>
    <t>Gaceta de Madrid n.º 114</t>
  </si>
  <si>
    <t>54</t>
  </si>
  <si>
    <t>r­ wega. Añaden que estas tropas, después de haber hecho un convenio con las de Nor­ GRAN BRETAÑA. wega, marcharon hacia Estockolmo á las órdenes del teniente coronel Adeisparre, Londres 21 de marzo. habiendo antes publicado una proclama, donde decía que el fin que se proponían Se ha publicado en uno de nuestros pe­ sus tropa…</t>
  </si>
  <si>
    <t>Adíes</t>
  </si>
  <si>
    <t>7 de septiembre de 1809</t>
  </si>
  <si>
    <t>Gaceta de Madrid n.º 251</t>
  </si>
  <si>
    <t>9</t>
  </si>
  <si>
    <t>tam­ bién ha sido reforzada considerablemente, AUSTRIA. recorre la costa para apoyar las operaciones Brnnn 51 de julio. del exército de tierra. Si el general Adíes— pare, que ha sido enviado a! socorro del Ayer por la mañana pasó por aqui el general Wrede , no llega prontamente á su príncipe Gagarin que venia del quartel ge­ …</t>
  </si>
  <si>
    <t>Adlercreuts</t>
  </si>
  <si>
    <t>21 de abril de 1809</t>
  </si>
  <si>
    <t>Gaceta de Madrid n.º 111</t>
  </si>
  <si>
    <t>33</t>
  </si>
  <si>
    <t>atándolos de nifestaba en el público bastante desconten­ malvados, echó mano á su espada , y qui­ to, quando las proposiciones de paz he­ so pasar al general Adlercreuts; pero á la chas por la Francia fueron desechadas por sazón entraron otras S ó 10 personas, tra­</t>
  </si>
  <si>
    <t>Adlercreutz</t>
  </si>
  <si>
    <t>es las reiteradas r IMPERIO FRANCES. súplicas de todo el consejo para que S. M. hiciese la paz , el feld- mariscal Klingsporr Parts S de abril. .y el general Adlercreutz fueron directa­ El mayor de Lagrange, edecán de! du­ mente á la presencia del Reiy le dixeque de Sudermania, ha llegado hoi á Paris ron: que era preciso que …</t>
  </si>
  <si>
    <t>PDF p. 2</t>
  </si>
  <si>
    <t>bia ya' cogido que no estaban reunidos, y se habrían otra espada, y se evadió por una escalera ahorrado la ignominia y los peligros á que secreta. El general Adlercreutz lo notó, y se han expuesto con su desembarco en el el barca Otten con otro oficial fueron en continente. busca del Rei, y lo alcanzaron en el patío. „E1 Empe…</t>
  </si>
  <si>
    <t>Nombramiento o servicio público</t>
  </si>
  <si>
    <t>sido nombrado gran waerd, ayudantes del duque de Suderma- estatuder ó gobernador de aquella carita!; nia: el primero tiene el honor de ser cono­ y el general Adlercreutz edecán general ea cido personalmente por S. M. el Empera­ actual servicio. dor de los franceses. Según se dice traen el „ Disgustado el Rei por el retardo de…</t>
  </si>
  <si>
    <t>Adlerspare</t>
  </si>
  <si>
    <t>7 de junio de 1809</t>
  </si>
  <si>
    <t>Gaceta de Madrid n.º 158</t>
  </si>
  <si>
    <t>73</t>
  </si>
  <si>
    <t>rcunstancias. Dicha so­ El Tenessée Meisenget contiene el ar­ ciedad ha dirigido el 31 de marzo ere car­ tículo siguiente, fecha de Canaodoigná ta al teniente coronel Adlerspare anuncián­ (estado de Nueva-Yorck) á 14 de febrero. dole la remesa de una suma de 1780 rixda,, Nuestro horizonte político Se obscu­ lers, y de muchas …</t>
  </si>
  <si>
    <t>Adlersparre</t>
  </si>
  <si>
    <t>6 de mayo de 1809</t>
  </si>
  <si>
    <t>Gaceta de Madrid n.º 126</t>
  </si>
  <si>
    <t>30</t>
  </si>
  <si>
    <t>inales, mar­ ahora en el palacio de Luisburgo , situado chan contra la capital á las órdenes del te­ á j leguas de aqpi. Acaban: de amueblarse niente coronel Adlersparre. Nos estamos ple­ don mucho -gusto y magnificencia varias ha­ namente convencidos de que vuestra fideli­ bitaciones del palacio , que-están destinadas dad, p…</t>
  </si>
  <si>
    <t>16 de noviembre de 1809</t>
  </si>
  <si>
    <t>Gazeta del Gobierno n.º 46 · 2.ª serie</t>
  </si>
  <si>
    <t>amburgo se ha insertado la carta siguien­ te del príncipe Cristiano de Schlesvvig- Holsteia-Sanderbourg-Augustenabourg , al canciller de estado sueco barón Adlersparre, coa fecha de 25 de agosto último. “Señor: en vista de la benigna declaración de S. M. el rey de Suecia,tengo el honor de dirigiros, en conformidad á la pregun…</t>
  </si>
  <si>
    <t>Adlesparre</t>
  </si>
  <si>
    <t>7 de octubre de 1809</t>
  </si>
  <si>
    <t>Gazeta del Gobierno n.º 29 · 2.ª serie</t>
  </si>
  <si>
    <t>es. La esquadrüla rusa , que también ha sido reforzada considerablemente , recorre la costa para apoyar las operaciones del exército de tierra. Si el general Adlesparre , que ha sido enviado al socorro del general V-Vrede , no llega prontamente''^, su destino , el exército ruso po­ drá concluir en todo el verano la conquista …</t>
  </si>
  <si>
    <t>Adolfo, Gustavo</t>
  </si>
  <si>
    <t>Gustavo Adolfo</t>
  </si>
  <si>
    <t>26 de agosto de 1809</t>
  </si>
  <si>
    <t>Gazeta del Gobierno n.º 11 · 2.ª serie</t>
  </si>
  <si>
    <t>5</t>
  </si>
  <si>
    <t>ura de este puerto, ha marchado al golfo de Finlandia, — Esta es sin duda la escuadra que se ha presentado ame* ñamado á Cronsíadl asegura hoy que el rey Gustavo Adolfo irá á una isla pé~</t>
  </si>
  <si>
    <t>Adosa, Ciérrente Pe</t>
  </si>
  <si>
    <t>Ciérrente Pe Adosa</t>
  </si>
  <si>
    <t>10 de febrero de 1809</t>
  </si>
  <si>
    <t>Gazeta del Gobierno n.º 7</t>
  </si>
  <si>
    <t>del Real cuerpo de Guardias d$ Cjrps'en el alio de 1800. Segunda edición. ? Momería sobre la • artillaría volante ó de ú caballo , escri­ ta fípor . D. Ciérrente Pe ¡Adosa y úñiga , Dignidad que iué 2 de-la Sia. Catedral de Segovia , dirigida en la técnica por el Mariscal de Csmpo de Jos Reales exiroitos D* Vicente Pvlan.n. d…</t>
  </si>
  <si>
    <t>Adriaensen, Manuel María</t>
  </si>
  <si>
    <t>Manuel María Adriaensen</t>
  </si>
  <si>
    <t>10 de marzo de 1809</t>
  </si>
  <si>
    <t>Gazeta del Gobierno n.º 11 (suplemento 2.º)</t>
  </si>
  <si>
    <t>o Cortinas y Viiíccb , 300 rs. = El Hermano mayor del hospital del Buen Suceso , 6o rs. = El P. Fr. Pablo Carmena , Carmelita calza­ do , 160 rs. rzz D. Manuel María Adriaensen , 200 rs. rz D. Jos ír f Antonio Diez Martínez, 1200 rs. zr: D. Gabriel Gonzá­ lez , 60 rs. = D. Francisco García , por una vez , 60 rs.trrD. Josef Es…</t>
  </si>
  <si>
    <t>Agimin-Sandoval</t>
  </si>
  <si>
    <t>19 de junio de 1809</t>
  </si>
  <si>
    <t>Gazeta del Gobierno n.º 38</t>
  </si>
  <si>
    <t>PDF p. 11</t>
  </si>
  <si>
    <t>y ha tenido á bien conceder ai Brigadier D. Josef María de Rivas el uso del distintivo que le señale ei Ge-.. r.eral en xefe , y el grado inmediato á D. Agimin-Sandoval, D. Josef Maestre , D. Ignacio Paino y D. Salvador Arsioiu Asimismo ha mandado que i la tropa que concurrió á es­ ta acción se la gratifique según lo tenga po…</t>
  </si>
  <si>
    <t>Agoult, D</t>
  </si>
  <si>
    <t>D Agoult</t>
  </si>
  <si>
    <t>12 de septiembre de 1809</t>
  </si>
  <si>
    <t>Gazeta del Gobierno n.º 18 · 2.ª serie</t>
  </si>
  <si>
    <t>161</t>
  </si>
  <si>
    <t>Ttas de Pamplona, y no será, extraño-,, que dentro de muy pocos dias se empiecen í executar otras iguales en la misma ciu­ dad : declaramos que si el general D’Agoult creé con estos y* otros atentados de desesperación aplacar la que injustamente llama in­ surrección ,á cuya cabeza tengo el honor, de. estar en el: reyno deNava…</t>
  </si>
  <si>
    <t>Agreda, Diego</t>
  </si>
  <si>
    <t>Diego Agreda</t>
  </si>
  <si>
    <t>8 de diciembre de 1809</t>
  </si>
  <si>
    <t>Gazeta del Gobierno n.º 55 · 2.ª serie (extraordinaria)</t>
  </si>
  <si>
    <t>Inguanzo, G, 25.000 D-Josef Vicente Olloqui. C. 25.000 El Sr. conde de la Cortina, G. 50.000 El caballero D. Antonio Basoco, C, 800.000 El caballero D. Diego Agreda, C. 5o,oog El caballero D. Gabriel de Yturbe, C, g 100,000 D, Juan Día? González, C, 25.000 El capitán D, Santiago García, C, 85.000 El caballero D, Francisco Cha…</t>
  </si>
  <si>
    <t>Aguado, Hilario</t>
  </si>
  <si>
    <t>Hilario Aguado</t>
  </si>
  <si>
    <t>7 de enero de 1809</t>
  </si>
  <si>
    <t>Gaceta de Madrid n.º 7 (suplemento)</t>
  </si>
  <si>
    <t>47</t>
  </si>
  <si>
    <t>Barranti: 78 rs. 18 mrs. del marques de Fuente Peiayo: 36 rs. 30 mrs. del marques de Castrómonte: 35 rs. 30 mrs. de la fábrica de S. Gil y 242 rs. de D. Hilario Aguado, del hospital del Reí : de cuyos bienes especificados por menor en el expediente de su razón, asciende la venta lí­ quida anual á la cantidad de 66265 rs. y 11…</t>
  </si>
  <si>
    <t>Aguí, Francisco Mateo</t>
  </si>
  <si>
    <t>Francisco Mateo Aguí</t>
  </si>
  <si>
    <t>14 de octubre de 1809</t>
  </si>
  <si>
    <t>Gazeta del Gobierno n.º 32 · 2.ª serie</t>
  </si>
  <si>
    <t>300</t>
  </si>
  <si>
    <t>cree que todas nuestras tropas marcha­ rán afielante. Murcia 6 de oci libre. _En fines de julio se imprimió y pühlic aquí una carta pastoral del 8r. D. Francisco Mateo Aguí nano y Gómez , obispo de Calahorra , despachada en este palacio epis­ copal , donde se halla , á 11 del mismo , y dirigida á excitar el patriotismo y la s…</t>
  </si>
  <si>
    <t>Aguilera, Niceto</t>
  </si>
  <si>
    <t>Niceto Aguilera</t>
  </si>
  <si>
    <t>4 de septiembre de 1809</t>
  </si>
  <si>
    <t>Gaceta de Madrid n.º 248</t>
  </si>
  <si>
    <t>1099</t>
  </si>
  <si>
    <t>rería á Faustino Sancho; por la bondad de acercarse á ellos, é informar­ maestro tornero á Ventura Casas; por se de sus lecturas. guarda-materiales á D. Niceto Aguilera; Todos los bibliotecarios y dependientes por peón á Manuel Alonso, y por portero quedaron penetrados del sumo agrado y á Julián Serrano. erudición de S. M., p…</t>
  </si>
  <si>
    <t>Agus</t>
  </si>
  <si>
    <t>15 de agosto de 1809</t>
  </si>
  <si>
    <t>Gazeta del Gobierno n.º 6 · 2.ª serie</t>
  </si>
  <si>
    <t>s hice colocar sobre el puen­ te de Barcas , ya inutilizado , estaban sostenidos par la tercera compañía de reales Zapadores, al mando de su teniente D. Agus­ tín Bueno , por tener yo empleado á mi inmediación á su capitán D. Domingo la Iglesia. La segunda compañía de este mismo cuer­ po , que mandaba su comandante D. Juan Ca…</t>
  </si>
  <si>
    <t>162</t>
  </si>
  <si>
    <t>, secretario. _________ *_________ En 9 de agosto remitió por él correo D. Feliciano del Arco; desde Tarancon con su endoso del mismo dia á favor de D. Agus-, tin del Arco de Cádiz quatro vales de á 300 pesos de 1.® de enero, de 1808 : números 95.3Q7 : 96.601 : 109.171 : y 114,373 ; y cin­ co de á 150 pesos de la misma creaci…</t>
  </si>
  <si>
    <t>Agustín</t>
  </si>
  <si>
    <t>16 de septiembre de 1809</t>
  </si>
  <si>
    <t>Gaceta de Madrid n.º 260</t>
  </si>
  <si>
    <t>800</t>
  </si>
  <si>
    <t>imiento suizo, mandad*,- por el batallan del .-regimiento Real Extrangero, teniente coronel el señor. d'Orelliy lia salte mayor .del. mismo cuerpo; á D. Agustín do &lt;!e aquí: para el exército. y_Acaban „de Stoifel gefe de batallón del expresado;rer llegar 800; galeotes que trabajaban .ea R» gi inieot*&gt;; á- D.. Miguel Purcell c…</t>
  </si>
  <si>
    <t>27 de octubre de 1809</t>
  </si>
  <si>
    <t>Gaceta de Madrid n.º 301</t>
  </si>
  <si>
    <t>1320</t>
  </si>
  <si>
    <t>min terio de Indias. Portier ( D. Antonio ) , gefe de división en Thibauz, tesorero de la corona. el ministerio de Negocios extrangeros. Turdonnet ( D. Agustín), comandante de Quintano ( D. Joan ) , «sendero del Rei. esquadron. Rapatei, gefe de esquadron de los caballos Valguárnera (D. Juan), comandante de ligeros de la gnard…</t>
  </si>
  <si>
    <t>Agustin</t>
  </si>
  <si>
    <t>5 de diciembre de 1809</t>
  </si>
  <si>
    <t>Gazeta del Gobierno n.º 54 · 2.ª serie (suplemento 2.º)</t>
  </si>
  <si>
    <t>520</t>
  </si>
  <si>
    <t>ea (D. Anto­ nio) xefe de esquadron.— Te ada (D. Ignacio) xefe de división en el ministerio de Indias. — Thibauz, tesorero de la corona. — Turdonnet (D. Agustin) comandante de esquadron.” “Valguarnera (D. Juan) comandante de esquadron.- Val-. güarnera (D. Domingo) capitán de caballería. — Van-Halen (D. Juan) oficial de ordena…</t>
  </si>
  <si>
    <t>13 de diciembre de 1809</t>
  </si>
  <si>
    <t>Gaceta de Madrid n.º 348</t>
  </si>
  <si>
    <t>i5** bulleros de la Orden Real de España Méndez Pacheco (D. Agustín), canónigo Los Señores de Segovia. Alcedo ( D. Antonio ) , mariscal de campo. Mevolhon (D. Gaspar), comandante de: Amichd (D. Jorge), oficial del regimiento esquadron. Real Extrangero. Morí</t>
  </si>
  <si>
    <t>17 de diciembre de 1809</t>
  </si>
  <si>
    <t>Gaceta de Madrid n.º 352</t>
  </si>
  <si>
    <t>PDF p. 4</t>
  </si>
  <si>
    <t>n (D. Josef), capitan del regimien­ Sr. Jullien (D. Estéban ), capitán de gra­ to Josef Napoleón. naderos del regimiento infantería de lí­ Landaburu (D. Agustín), coronel de ca­ nea núm. 2.° ballería. Stoffel ( D. Agustín) , gefe de batallón del Lebrón (D. Carlos), capitán del regimien- regimiento Real Extrangero. , to núm. i…</t>
  </si>
  <si>
    <t>Agustín, Mariano</t>
  </si>
  <si>
    <t>Mariano Agustín</t>
  </si>
  <si>
    <t>26 de febrero de 1809</t>
  </si>
  <si>
    <t>Gaceta de Madrid n.º 57</t>
  </si>
  <si>
    <t>lencia: para el priorato, dignidad de la de Salamanca, á D. Manuel Pascual Linzoain, canónigo- de la de Pr ienda: para una canongía de la de Cuenca á D. Mariano Agustín, canónigo también de la de Palencia: para otra canongía de la de Avila á D. Martin Josef de Yabar, capvlLan de coro mas antiguo de la real iglesia de S. Isidr…</t>
  </si>
  <si>
    <t>4 de junio de 1809</t>
  </si>
  <si>
    <t>Gaceta de Madrid n.º 155</t>
  </si>
  <si>
    <t>1</t>
  </si>
  <si>
    <t>director del real ellas se desgraciase; siendo asi que á la sa­ hospicio de S. Fernando de e.sta corte á zón se padecía en casi todo él una epidemia D. Mariano Agustín , canónigo de la santa de viruelas de las nías malignas. iglesia catedral de Cuenca. Se ve pues que la España ha contribui­ do mas que ninguna otra nación á ia…</t>
  </si>
  <si>
    <t>Ahora</t>
  </si>
  <si>
    <t>30 de julio de 1809</t>
  </si>
  <si>
    <t>Gaceta de Madrid n.º 212</t>
  </si>
  <si>
    <t>3</t>
  </si>
  <si>
    <t>to poiaco se pondrá prontamente en mar­ tado ya tanto, que 00 podemos oir el ca­ cha hacia RatL m. ñoneo. Los austríacos intentaron el dia i.* del P. D. Ahora mismo acaban de llegar corriente apoderarse de nuestros almacenes much s heridos franceses, confederados y en Sulgrestow • cerca de Pihka ; pero fue­ austríacos. Los ha…</t>
  </si>
  <si>
    <t>Ahumada, Antonio</t>
  </si>
  <si>
    <t>Antonio Ahumada</t>
  </si>
  <si>
    <t>17 de febrero de 1809</t>
  </si>
  <si>
    <t>Gazeta del Gobierno n.º 8 (suplemento)</t>
  </si>
  <si>
    <t>io González , 20 rls. para dos pares de medias» D. Manuel Díaz, to rls. para un par de medias. D. Rafael de Buque , 20 rls. para dos pares de medias» D. Antonio Ahumada, 10 rls. para un par de medias» D. Tomas de Rueda , 30 rls* para dos mochilas. D. Antonio Sánchez , 10 rls. para un par de medias» D- Francisco Barrios , 30 r…</t>
  </si>
  <si>
    <t>AI, D GERONA</t>
  </si>
  <si>
    <t>D GERONA AI</t>
  </si>
  <si>
    <t>26 de julio de 1809</t>
  </si>
  <si>
    <t>Gazeta del Gobierno n.º 48 (extraordinaria)</t>
  </si>
  <si>
    <t>809</t>
  </si>
  <si>
    <t>n ella. Dios guarde á V. E. muchos años.. Darnius 11 de julio de i 809. Excmo. Sr. ccr Antonio Porta, =: Excmo. Sr.. Marqués de Coupi g*iv. PAUTE DEL GOBERNADOR D2 GERONA AI. MARQUES DE COUPIGNY. Excmo. Sr. rr Mientras los xefes de los cuerpos me pasan la novela circunstanciada de todc-s los individuos que cu la memorable mañ…</t>
  </si>
  <si>
    <t>Aiberni, Jayme</t>
  </si>
  <si>
    <t>Jayme Aiberni</t>
  </si>
  <si>
    <t>Gazeta del Gobierno n.º 26</t>
  </si>
  <si>
    <t>45</t>
  </si>
  <si>
    <t>el;: Á .Teniente de navio el de fragata .D. Francisco Rato. Capitanes de Puerto. A Capitanes de fragata ios Tenientes de navio D. Diego .Escalera , y D. Jayme Aiberni. Cuerpo de Brigadas. A Subteniente el primer .Condestable D. Sebastian Iglesias. Cuerpo de Pilotos. A Práctico primero , graduado de Aiferea de fragata , r\ seg…</t>
  </si>
  <si>
    <t>AIcindados</t>
  </si>
  <si>
    <t>17 de marzo de 1809</t>
  </si>
  <si>
    <t>Gaceta de Madrid n.º 76</t>
  </si>
  <si>
    <t>39</t>
  </si>
  <si>
    <t>an entrado aun en el arrabal de Pera, y muchas mugere* en Oporto el 20 de enero. bisnietas de franceses que estuvieron ave­ La brigada mandada por el general AIcindados en Constantinopla, y que no es- 1*0, que se embreó en Vi«&gt;o , ha dexado tan ya baxo la protección del ministro de allí 800 hombres i que r.o pudieron seguir F…</t>
  </si>
  <si>
    <t>AieJiánára</t>
  </si>
  <si>
    <t>21 de noviembre de 1809</t>
  </si>
  <si>
    <t>Gazeta del Gobierno n.º 48 · 2.ª serie</t>
  </si>
  <si>
    <t>26</t>
  </si>
  <si>
    <t>mo se ve por el siguiente oficio comunicado por el emperador AieJiánára áTgoberna.iiur'."civil 'de la Li.ybníá M.. Repipi. “£t'26'cleí mes pasadcr-se firmó en Frederickslum un tratado de paz perpetuo.entre la Rusia y la_Su.e,cia &gt;,por nuestro ministro plenipotenciario co</t>
  </si>
  <si>
    <t>Aiellos</t>
  </si>
  <si>
    <t>5 de junio de 1809</t>
  </si>
  <si>
    <t>Gaceta de Madrid n.º 156</t>
  </si>
  <si>
    <t>7</t>
  </si>
  <si>
    <t>os quales no pueden subsistir las nacio­ retira precipitadamente del ducado de Varnes civilizadas , y hace la guerra con aque­ sovia.___Un edecán del Emperador Aiellos miramientos que prescribe la humani­ xa idro ha llenado ai quartcl general fran­ dad , experimentará entonces iguales proce­ cés; y se. dice que la corte de Vi…</t>
  </si>
  <si>
    <t>Aiexandro</t>
  </si>
  <si>
    <t>13 de agosto de 1809</t>
  </si>
  <si>
    <t>Gaceta de Madrid n.º 226</t>
  </si>
  <si>
    <t>1009</t>
  </si>
  <si>
    <t>l dé Presburgo desdé el 26 de junio hasta el general barón de Wimpfen han teaido una 28 del mismo ha hecho un estrago terri­ larga conferencia con et príncipe Aiexandro. ble, piles han quedado reducidas á cenizas Creese que el primero tiene poderes abso­ las casas de b$ dos calles grande y peque­ lutos para ajustar la paz. El…</t>
  </si>
  <si>
    <t>Aimassi</t>
  </si>
  <si>
    <t>26 de marzo de 1809</t>
  </si>
  <si>
    <t>Gaceta de Madrid n.º 85</t>
  </si>
  <si>
    <t>425</t>
  </si>
  <si>
    <t>pas. mas difícil de vencer en caso de que se Es tan grande la deserción en los pri­ declare la guerra. meros batallones de nuestro exército de re­ El conde Aimassi, propietario mui ri­ serva , que desde que se les ha' puesto en co de Hungría, ha sido nombrado edecán pie de guerra han quedado reducidos á de S. M. el Emperador.…</t>
  </si>
  <si>
    <t>Aimé</t>
  </si>
  <si>
    <t>9 de febrero de 1809</t>
  </si>
  <si>
    <t>Gaceta de Madrid n.º 40</t>
  </si>
  <si>
    <t>z de dirección, encaminándose al parage donde rindió las armas. El duque de Bellune elogia también en particular á su edecán Mr. Chateau, al ayudante comandante Aimé, al ge­ neral Semelé, y á los coroneles Jamin , Meunier , Mouton Duvernei, Lacoste , Pesclieux y Combelles, oficiales todos que han mostrado valor y co­ nocimien…</t>
  </si>
  <si>
    <t>Aira, Gil</t>
  </si>
  <si>
    <t>Gil Aira</t>
  </si>
  <si>
    <t>Actividad económica o mercantil</t>
  </si>
  <si>
    <t>15 de mayo de 1809</t>
  </si>
  <si>
    <t>Gaceta de Madrid n.º 135</t>
  </si>
  <si>
    <t>te , y facilitar nuestro comercio in­ que nosotros sus útilísimos efectos. De he­ terno; mayormente en nna época en qye el cho ha mas de 400 años que D. Gil Aira­ actual gobierno dispensará^toda especie de res'de Albornoz, cardenal de España y ar­ protección y de auxilios para lograrlo. {Se zobispo de Toledo, ideó y abrió el …</t>
  </si>
  <si>
    <t>Aivarez, Antonio</t>
  </si>
  <si>
    <t>Antonio Aivarez</t>
  </si>
  <si>
    <t>30 de septiembre de 1809</t>
  </si>
  <si>
    <t>Gazeta del Gobierno n.º 26 · 2.ª serie (suplemento 2.º)</t>
  </si>
  <si>
    <t>D. Juan Loarte, mayor de ór­ denes de mi división, el subteniente del misino D. Eduardo López, ayu­ dante del Juéz militar, el teniente del de Murcia D. Antonio Aivarez, es­ tos dos oficiales de quienes echo mano quando los necesito, D. José Buchel, c.apitan del misino Murcia, que por hablar el ingles me sirvió de interprete,…</t>
  </si>
  <si>
    <t>Aivarez, Miguel Gómez</t>
  </si>
  <si>
    <t>Miguel Gómez Aivarez</t>
  </si>
  <si>
    <t>26 de mayo de 1809</t>
  </si>
  <si>
    <t>Gazeta del Gobierno n.º 31</t>
  </si>
  <si>
    <t>PDF p. 10</t>
  </si>
  <si>
    <t>al de Ceuta vacante por muerte de D.. Ratnon Columna, á D. Francisco Ruiz Pinto, racio­ nero de la mi ma Iglesia ; y para la ración que este dex?., á D. Miguel Gómez Aivarez. Igualmente se ha servido S. M. nombrar para el Deanato de ia Catedral de Guadix vacante por fallecimiento de D. Diego Hervías, á D. Vi­ cente Ramos Gurc…</t>
  </si>
  <si>
    <t>Aívarez, Santiago</t>
  </si>
  <si>
    <t>Santiago Aívarez</t>
  </si>
  <si>
    <t>20 de octubre de 1809</t>
  </si>
  <si>
    <t>Gaceta de Madrid n.º 294</t>
  </si>
  <si>
    <t>las públicas de primeras le­ nuel Solis, B. Pedro Romeral , D. Josef tras del mismo colegio D. Antonio Ortega, Ortega Manceñido, D..Francisco de Cas­ D. Santiago Aívarez, D. Mariano Molla, tro, D. Antonio Torremocha y D. Ale— D. Julián Roxo, D. Francisco Lorrio y xandro Casanova. D. Manuel Josef García , y pasantes de los art…</t>
  </si>
  <si>
    <t>Al, Miriano</t>
  </si>
  <si>
    <t>Miriano Al</t>
  </si>
  <si>
    <t>Gazeta del Gobierno n.º 20</t>
  </si>
  <si>
    <t>se ha publicado la proclama siguiente con motiva de haber corrido la vea de que los franceses intentaban po­ ner uu sitio riguroso á esta plaza. = „ D. Miriano Al varea de Castro , Gobernador Militar y Político ictérico de est¿</t>
  </si>
  <si>
    <t>AL, S</t>
  </si>
  <si>
    <t>S AL</t>
  </si>
  <si>
    <t>11 de diciembre de 1809</t>
  </si>
  <si>
    <t>Gaceta de Madrid n.º 346</t>
  </si>
  <si>
    <t>11</t>
  </si>
  <si>
    <t>s, pri­ al qual se habían incorporado los dos navios mer presidente del tribuna! de Cuentasgr de línea y el bergantín que estaban aposta­ ha dirigido d S- AL d nombre de! con­ dos en el Belt, pasó anteayer este brazo de sejo en la audiencia de este día. mar. Este convoi ha seguido su rumbo ha­ cia las cercanías de Langeland. …</t>
  </si>
  <si>
    <t>Álalacuera, Antonio</t>
  </si>
  <si>
    <t>Antonio Álalacuera</t>
  </si>
  <si>
    <t>lasicos y en las de tipografía , en todas las Pedro León Echevarría y á D. Josef Uce— quales se sirvió hacer varias preguntas en ta ; por limadores á D. Antonio Álalacuera, orden á algunas medallas, bustos, códices á Simón Serrano, á Juan Díaz, y á Santiago y ediciones. Malacuera como agregado ; por maestro Pasando por las di…</t>
  </si>
  <si>
    <t>Alb'gnac</t>
  </si>
  <si>
    <t>21 de julio de 1809</t>
  </si>
  <si>
    <t>Gaceta de Madrid n.º 202</t>
  </si>
  <si>
    <t>guar­ en la batalla de Raab. La insurrección’húo- dia, el regimiento de Bergy la división ho­ gara fue la primera que comenzó á replegar­ landesa. El general Alb'gnac. con su divi­ se , lo que obligó á las tropas de línea á batir­ sión se ha unido hoi enWeissenféld con te en retirada. Por lo demas, dice el diario, los sáxone*…</t>
  </si>
  <si>
    <t>Albarracin, Luis</t>
  </si>
  <si>
    <t>Luis Albarracin</t>
  </si>
  <si>
    <t>14 de septiembre de 1809</t>
  </si>
  <si>
    <t>Gazeta del Gobierno n.º 19 · 2.ª serie</t>
  </si>
  <si>
    <t>174</t>
  </si>
  <si>
    <t>174 tn por muerte de D. Luis Albarracin, k D, Manuel Venegas : para la de Cartagena, vacante por fallecimiento de D. Luis Antonio Valcarcel, á D. Francisco Bernaldo de Quirós, lectoral en la de Ciu­ dad-Rodrigo: y para otra vacan</t>
  </si>
  <si>
    <t>Albers</t>
  </si>
  <si>
    <t>23 de febrero de 1809</t>
  </si>
  <si>
    <t>Gaceta de Madrid n.º 54</t>
  </si>
  <si>
    <t>n el qual ha hecho consi, derables mejoras en todos ramos. Nuestras murallas se han cambiado en un vasto y delicioso jardín botánico: él gabinete del doctor Albers es un teso­ ro aprecíabiepárala5acatornea comparada; :r’fok,paí&amp;ge£!dé su hermano An­ tonio Albers ■, aficionado á; la pintura ¿ son la admiración de los artistas …</t>
  </si>
  <si>
    <t>Alberto</t>
  </si>
  <si>
    <t>momento hai en las fronteras del Austria superior, á otro á los húsares de Sripsitz y á Jos co­ y tiene aqui su quartel general. Nuestra raceros del duque Alberto. Han salido de guarnición ha recibido orden de estar pron­ este arsenal muchos transportes de artille­ ta para marchar. Se compone de un regi­ ría para las fortalez…</t>
  </si>
  <si>
    <t>Alborton</t>
  </si>
  <si>
    <t>4 de agosto de 1809</t>
  </si>
  <si>
    <t>Gaceta de Madrid n.º 217</t>
  </si>
  <si>
    <t>10</t>
  </si>
  <si>
    <t>gunos cerros de poca monta , por tada , quanto sus generales han llegado á donde atraviesa el camino de la Puebla de saber la marcha d-l exército del mariscal Alborton, distante de Belchite cerca de una duque de D^lmacia , y la facilidad con que legua. Las alturas por donde pasa el camino ha arrollado la corta resistencia que…</t>
  </si>
  <si>
    <t>Alburquerque</t>
  </si>
  <si>
    <t>1 de marzo de 1809</t>
  </si>
  <si>
    <t>Gazeta del Gobierno n.º 9 (extraordinaria 2)</t>
  </si>
  <si>
    <t>-el campo , para replegarse sobre su Quartel •general,/al paso ■queiniuestEa pérdida no ex­ cedió de diez individuos entre muertos y dieiides. f, ÍE1 General Alburquerque * q ue á sues-fiierzo'y'Ooñocimientos, reunía una singular íconfíanza á favor de da ciega obediencia y vaíéntía de los cuerpos de infantería y cabaíJlería d…</t>
  </si>
  <si>
    <t>nte : las grandes guar­ dias avisaron con tiempo , y maniobraron prodigiosamente ; esto, y las medidas ¿que sabia y militarmente había anticipado el •General Alburquerque, no dieron dugar á da ¿sorpresa, y desde el primer tiempodiraá- • tornaron la. empresa á los enemigos r ía 'in­ fantería, como en parada , tomó las posicio­…</t>
  </si>
  <si>
    <t>7 de marzo de 1809</t>
  </si>
  <si>
    <t>Gaceta de Madrid n.º 66</t>
  </si>
  <si>
    <t>35</t>
  </si>
  <si>
    <t>de Champagni , ministro nición se halla en el mismo caso. de relaciones exteriores, Mrs. Braamcamode El cuerpo de exército del general Ou- Sobral, el coronel Alburquerque y el conde dinot, que ocupa las dos orillas del Mein, de Sabugal, portugueses; y el barón de Gaha empezado ya á marchar á las del Lech, gern, ministro dirig…</t>
  </si>
  <si>
    <t>Alcedo</t>
  </si>
  <si>
    <t>Gaceta de Madrid n.º 48</t>
  </si>
  <si>
    <t>255</t>
  </si>
  <si>
    <t>n inficionado el aire. El principal cuidado del duque de Dalmacia fue restablecer la salubridad, tan necesaria al sol­ dado como á los habitantes. El general Alcedo, gobernador de la Coruña, parece que no había to­ mado partido con los insurgentes sino obligado por la fuerza. El ha presta­ do con entusiasmo el juramento de fi…</t>
  </si>
  <si>
    <t>Alcedo, Antonio</t>
  </si>
  <si>
    <t>Antonio Alcedo</t>
  </si>
  <si>
    <t>20 de marzo de 1809</t>
  </si>
  <si>
    <t>Gaceta de Madrid n.º 79</t>
  </si>
  <si>
    <t>uvo también iglesia: á D. Pedro del Castillo para una el honor de presentar al goberna­ canongía de la colegial de Castroxeriz, dió­ dor de la Coruña D. Antonio' Alcedo. cesis de Burgos ; y á D. Pedro del Castillo El mÍQistro de Relaciones exteriores al para otra canongía de la colegiata de Almarques de Almenara » enviado ext…</t>
  </si>
  <si>
    <t>astian y otros tantos en TóJosa. Se asegura estar cortados los del Ferrol,, y hay una prueba no mala que es la siguiente. „El 6 ó 7 liego á ValUdolid D. Antonio Alcedo gobernador de la Corona, gran traydor; se hospedó con unos que venían de Madrid y les cogió que venia sofocado , trepando por mon­ tes , porque los insurgente*…</t>
  </si>
  <si>
    <t>Alcxandro</t>
  </si>
  <si>
    <t>87</t>
  </si>
  <si>
    <t>donando las excelentes posiciones que pudo haber tomado en los-montes intermedios para impedirle el paso con poca tro­ pa ? ¿ Y por qué finalmente el emperador Alcxandro ha entrado pa­ cíficamente , ó á lo menos sin anterior rompimiento solemne ó de­ claración de guerra , en el territorio de iAustria , para ebrar despuéscomo …</t>
  </si>
  <si>
    <t>Aldana, Joaquín</t>
  </si>
  <si>
    <t>Joaquín Aldana</t>
  </si>
  <si>
    <t>d: Medina. C. 2C.OOO B. Domingo ligarte. C. 4-000 D. Vicente Eguia. C. 50.000. D. Esteban Velez de Escalante. C. 50.000 D. Pedro Muguerza. C. 10.000 D. Joaquín Aldana. C. 10.000 D. Domingo Ignacio Lardizabal. 50.000 D. Mateo Palacios. C. — 50.000 D. Antonio Ugaldéa. C. 2.000 D. Gregorio Saenz de Sicilia. C. 15.000 D. Fernando…</t>
  </si>
  <si>
    <t>Aldobrandihi, Borghese</t>
  </si>
  <si>
    <t>Borghese Aldobrandihi</t>
  </si>
  <si>
    <t>Publicación o actividad intelectual</t>
  </si>
  <si>
    <t>20 de agosto de 1809</t>
  </si>
  <si>
    <t>Gaceta de Madrid n.º 233</t>
  </si>
  <si>
    <t>consejo de ceses yt austríacos han.ido á Raab* en don­ Estado , hemos decretado y decretarnos lo de han de continnar las negociaciones. que sigue: El príncipe Borghese Aldobrandihi, her­ artículo 1. Tolo docünento de la mano de S. A. I. el príncipe gobernador de deuda pública ,de quaí juiera naturaleza que los departamentos m…</t>
  </si>
  <si>
    <t>Aldobrandini</t>
  </si>
  <si>
    <t>12</t>
  </si>
  <si>
    <t>án animados para con HOLANDA. su angusta persona. Dicha diputación sé compone de los señores duque de Br.-rschíj Amsterdan 12 de agosto. -presidente, príncipe Aldobrandini, prínci­ pe Colohna de Avelia , príncipe Gabriel!/, Las providencias tomadas hasta el día príncipe santa Croce, príncipe Spada, duponen á nuestras tropas e…</t>
  </si>
  <si>
    <t>Ale</t>
  </si>
  <si>
    <t>19 de marzo de 1809</t>
  </si>
  <si>
    <t>Gaceta de Madrid n.º 78</t>
  </si>
  <si>
    <t>19</t>
  </si>
  <si>
    <t>ras, dice que el gobierno de aquellos estados 30© hombres desde Zelandia á Scania. habia ya publicado dos actas , la una , di­ Se dice también que el Emperador Ale- rigida á sostener el embargo con el mayor xandro insiste en manifestar á S. M. el Rei rigor, imponía severas penas á los infracto­ de Dinamarca la necesidad que h…</t>
  </si>
  <si>
    <t>27 de junio de 1809</t>
  </si>
  <si>
    <t>Gaceta de Madrid n.º 178</t>
  </si>
  <si>
    <t>por esta ciudad algunos centenares de pri­ Ayer después de medio dia-ha pasado sioneros de guerra r.uuri.icos , que se h.-b:.m por aqui un edecán del Emperador Ale­ escapado á su escoba entre Caim - i'i y je miro, que va al quartel general del Em­ Strasbnrgo, con el designio de ir al Tiro!; perador Napoleón. pero fueron cogí …</t>
  </si>
  <si>
    <t>27 de julio de 1809</t>
  </si>
  <si>
    <t>Gaceta de Madrid n.º 208</t>
  </si>
  <si>
    <t>á dos compañías de artilleros westse encaminó de Tornea hacia Pitea, en don­ falianos, y á algunos centenares de solda­ de entró el 26. La coluna del general Ale— dos de á pie saxnnes, la mayor parte reclu­ xejew pasó el golfo de Botnia por encima tas, que se exerciran todos los días en él de los hielos, en donde hizo un cami…</t>
  </si>
  <si>
    <t>26 de septiembre de 1809</t>
  </si>
  <si>
    <t>Gaceta de Madrid n.º 270</t>
  </si>
  <si>
    <t>l 122.0 regimiento de línea. Este bata­ arco que sirve de entrada , sobre el qual llón,-armado y equipado completamente, estaba colocada la cifra del Emperador Ale­ puede, á juicio de los militares que lo han jandro. visto, competir con las mejores tropas de El 3 i de agosto y i,° de setiembre ha línea por la ralla y fuerza d…</t>
  </si>
  <si>
    <t>19 de octubre de 1809</t>
  </si>
  <si>
    <t>Gazeta del Gobierno n.º 34 · 2.ª serie</t>
  </si>
  <si>
    <t>321</t>
  </si>
  <si>
    <t>ver pronto á la Francia y Suecia aliadas contra Rusia, y á'la Gran-Bretaña nueva aliada de Alexandro, Uno de nuestros papeles se explica así : “Si el emperador Ale­ jandro no carece de todos los sentimientos de interes general y seguridad , es preciso que vea la necesidad de oponerse á los ex­ tensos injustos proyectos de eng…</t>
  </si>
  <si>
    <t>14 de diciembre de 1809</t>
  </si>
  <si>
    <t>Gazeta del Gobierno n.º 58 · 2.ª serie (suplemento 2.º)</t>
  </si>
  <si>
    <t>20</t>
  </si>
  <si>
    <t>es D. José Fermín Gonget, D. Pedro Fran-. cisco de Cambra , D. Sebastian de Gambra , D. Genaro Mar­ tin , D. Matías de Aras , D. Tomás de Renovales , D. Ale-* ¿andró Amigot, D. Juan Casao, y los cadetes D. Xavier An­ gel Ros , D, Vicente de Soravilla , D. José María Barricat,D. Pedro Antonio Barrena , D. Gregorio Cruchaga , D…</t>
  </si>
  <si>
    <t>Alegre, Manuel</t>
  </si>
  <si>
    <t>Manuel Alegre</t>
  </si>
  <si>
    <t>. Antonio Ximensz, 20 rls. para dos pares de medias. D. Francisco Martin , 10 para unas medias» D. Tomas González , 20 rls. para dos pares de medias» D. Manuel Alegre , 10 rls. para un par de medias. D. Josef García , 70 rls. para 4 mochilas y unas medias» D. Joan Josef Benitea , 60 rls. para .4 mochilas» D. Bernardo Coroviqu…</t>
  </si>
  <si>
    <t>ALEMANIA</t>
  </si>
  <si>
    <t>e 1809.:= Firmado obipo de provincias de la monarquía austríaca. Chiemsea , el consejero de regencia í'eltr.er, el consejero de regeneja Pichler , el barón ALEMANIA. de Auer ¡ el cohsejerode estado Mezger.” r Saltzburgo 20 de julio. v '' BAVÍERÁ. "• " La junta encargada del gobierno de -. Attgsburgo z¡¡ de julio. Saltzburgp h…</t>
  </si>
  <si>
    <t>AleNuremberg</t>
  </si>
  <si>
    <t>a Las tropas del gran ducado de Badén justicia. El feliz éxito de esta; guerra es se­ pasaron en los dias 6 y 7 por Ulma; guro; está sostenida por el Emperador AleNuremberg 14 de abril. xandró,' fiel á Stlit tratados de paz y de S. E. el mariscal duque de Auerstaedt guerra', por stJS!exérClros i quienes estimáis, ha mandado p…</t>
  </si>
  <si>
    <t>Alexandro</t>
  </si>
  <si>
    <t>2 de febrero de 1809</t>
  </si>
  <si>
    <t>Gaceta de Madrid n.º 33</t>
  </si>
  <si>
    <t>86</t>
  </si>
  <si>
    <t>nuevos desastres su obstinación en persistir aliada nuestra. Dos veces ha sido arrojada de la Fin­ landia después de dos armisticios, que ha roto el Emperador Alexandro re­ pentinamente, y solo porque ha querido. ¿ Y será posible que nuestros mi­ nistros no lloren de dolor al ver la Finlandia sembrada de cadáveres de los guer…</t>
  </si>
  <si>
    <t>4 de marzo de 1809</t>
  </si>
  <si>
    <t>Gaceta de Madrid n.º 63</t>
  </si>
  <si>
    <t>M. vasos de porcelana , un trage magnifico , y pasaron la noche. Estando cenando vino re­ varios sckivals de Turquía. SS. MM. II. re­ pentinamente el Emperador Alexandro á galaron al Rei muchas plumas y penacho*^ sorprehender á los convidados , á quienes hi­ de gran valor; Jos príncipes Guillermo y zo muchos agasajos. S. M. I…</t>
  </si>
  <si>
    <t>a guerra* Unidos de América; Mr. Blankenhagen, co­ SAXONIA. ronel; y e! príncipe de Hohenlohe , mayor Leipsick _9 de febrero. y edecán de S. A. R. el duque Alexandro Las operaciones con que la Dinamarca de \V urtemberg. debía auxiliar el ataqué de los rusos contra Por S. E. el marfsea! Werhuel, emba­ Suecia por el golfo bótní…</t>
  </si>
  <si>
    <t>21 de marzo de 1809</t>
  </si>
  <si>
    <t>Gaceta de Madrid n.º 80</t>
  </si>
  <si>
    <t>40</t>
  </si>
  <si>
    <t>evas tro­ pólvora. Por nuestra parte no se ha hecho pas , á fin de continuar la guerra contra la hasta ahora mas qne llamar los licenciados Rusia. El Emperador Alexandro ha hecho que se hallan mas distantes de los puntos al Rei de Suecia nuevas proposiciones de adonde deben acudir; yen las providencias paz ; pero este Soberan…</t>
  </si>
  <si>
    <t>29 de marzo de 1809</t>
  </si>
  <si>
    <t>Gaceta de Madrid n.º 88</t>
  </si>
  <si>
    <t>a de la corte de Pctersburgo, Ataque de la izquierda. Se han abier­ había tenido ya la primera audiencia del to varias comunicaciones con el convento Emperador Alexandro; añadiendo ciertas de Capuchinos. particularidades, que son absolutamente Noche del 2 al 3. filsas. El príncipe de Schwarzemberg no se Ataque de la derecha. …</t>
  </si>
  <si>
    <t>28 de abril de 1809</t>
  </si>
  <si>
    <t>Gaceta de Madrid n.º 118</t>
  </si>
  <si>
    <t>3) Ved justamente lo que ha sucedido*, el explicaí esta.neutralidad de la Rusia, porque no príncipe Proaorowski lia roto con los negocia - existe..El Emperador Alexandro ha sido largo dores turcos, declarándoles abiertamente que si tiempo vuestro aliado para dexar de conocer vues­ Mr. Adair no salla al instante de Constantino…</t>
  </si>
  <si>
    <t>10 de mayo de 1809</t>
  </si>
  <si>
    <t>Gaceta de Madrid n.º 130</t>
  </si>
  <si>
    <t>17</t>
  </si>
  <si>
    <t>ecido la garan­ ciales franceses, y cometido violencias con tía é integridad de su territorio ; quando el varios de sus súbditos italianos; y espera­ Emperador Alexandro , al manifestar al em­ ba pacientemente la satisfacción á estos baxador de Austria, que reside cerca de agravios , quando el día 2 de marzo (2) vi­ su person…</t>
  </si>
  <si>
    <t>istema que adoptará la Rusia; pero en una carta de Holanda , de toda confianza^ se nos asegura que en un alboroto del pueblo ruso había pe» reeido el Emperador Alexandro , y que toda la Nación cla­ maba por .la paz con la Inglaterra. Sea de esto lo que fuere, aun quando la Rusia no se declare en nuestro favor , es de esperar …</t>
  </si>
  <si>
    <t>9 de junio de 1809</t>
  </si>
  <si>
    <t>Gazeta del Gobierno n.º 35</t>
  </si>
  <si>
    <t>f7f decir que el Encargado de negocios ruso en Viena había declarado á aquella Corte que el Emperador Alexandro ha­ ría causa común con la Francia en esta guerra ; y sabe­ mos que este artículo se ha puesto de órden de los fran­ ceses, sin embargo de ser falso, como se dexa ver en la proclama del Archiduque , en la qual anunc…</t>
  </si>
  <si>
    <t>11 de julio de 1809</t>
  </si>
  <si>
    <t>Gaceta de Madrid n.º 192</t>
  </si>
  <si>
    <t>, el Ans- por diferentes puntos de la Montaña, co­ tria no podría recurrir á la amistad y á los meten en los pueblos toda suerte de atro­ empeños del Emperador Alexandro sino en cidades y de latrocinios. Las personas aco­ el momento en que las tropas enemigas es­ modadas, los curas mismos, y aun los po­ tuviesen ya establecid…</t>
  </si>
  <si>
    <t>Gazeta del Gobierno n.º 47</t>
  </si>
  <si>
    <t>nó murió en Strálsund, como se ha dicho, sino que se escapó á la isla de Rugen. = De Petersburgo escriben, que la principal Nobleza rusa ha hecho al Emperador Alexandro una representación en que le amenaza con que perderá su trono, si hace causa común con la Francia. GR AN-BRET AÑ A. Londres r 7 de junio. ' Acabamos de recibi…</t>
  </si>
  <si>
    <t>734</t>
  </si>
  <si>
    <t>n en Ratisbona; que los tiroleses están en completa y formida­ ble insurrección; que la Prusia manda hacer ciertos movimientos á sus tropas, y que el Emperador Alexandro salió de Petersburgo con dirección á Moravia. Los franceses dicen que va á favor suyo; pero si así fuese gqué alabanzas no darian? ¿qué manifiestos no public…</t>
  </si>
  <si>
    <t>21</t>
  </si>
  <si>
    <t>ndo una expedición contra La Guadalupe. Londres 2 8 de julio. Se han recibido dias pasados cartas de S. Pete rsh urge , por las quales sabemos que el emperador Alexandro se preparaba para su víage a la Gaiiitzia , y que dei Mie­ mos esperar grandes sucesos luego que llegue al exército, irá acompasa io dei gran duque Constanti…</t>
  </si>
  <si>
    <t>Aléxandro</t>
  </si>
  <si>
    <t>5 de septiembre de 1809</t>
  </si>
  <si>
    <t>Gazeta del Gobierno n.º 15 · 2.ª serie</t>
  </si>
  <si>
    <t>! Sabemos que el rey de Prusia está muy dispuesto á'declarar­ se contra la Francia, y lo que es mas , tiene para ello el beneplácito de la- Rusia. El emperador Aléxandro le ha dicho, que pues sus.:CÍrcnñsstanCMiseran tan críticas qué no podían empeorar, de­ terminase lé? que le tuviese mas- cugñta ; aludiendo á una exposi­ ci…</t>
  </si>
  <si>
    <t>1 de octubre de 1809</t>
  </si>
  <si>
    <t>Gaceta de Madrid n.º 275</t>
  </si>
  <si>
    <t>er de Totis» adonde docta que guardan con las autoridades do habia ido el día 3 para presentar una carta Ragusa y de Cáttaro el baxá de Scútari y del Emperador Alexandro á S. M. el Em­ el obispo de lós montenegrinos. Uño y otro perador de Austria. Se asegura que el señor han mandado á sus súbditos que traten ami­ conde perman…</t>
  </si>
  <si>
    <t>os coloniales siempre están muy caros, — Tal es el resultado ífe las leyes prohibitivas del comercio, que la amistad de Bonaparte ha Hecho adoptar al emperador Alexandro. La corte ha mandado publicar un diario de nuestro exércíte de operaciones contra la Suecia. Después de algunas acciones re­ ñidas, la Vestro-Botnia está ent…</t>
  </si>
  <si>
    <t>10 de octubre de 1809</t>
  </si>
  <si>
    <t>Gazeta del Gobierno n.º 30 · 2.ª serie</t>
  </si>
  <si>
    <t>te al gobierno francés. — Se dice que si co­ mienzan de nuevo las hostilidades entre Austria y Francia, ten­ dremos también .parte en esta guerra. El emperador Alexandro se ha incomodado mucho de quedas polacos hayan tomado pose­ sión de ia Gallitzia en nombre de Napoleón.</t>
  </si>
  <si>
    <t>an sido nombrados plenipotenciarios , y las negociaciones estuvieron para comenzarse en Abo. El ministro ruso estuvo allí per algún tiempo : el mismo emperador Alexandro en persona se presentó también en el mismo sitio para facili­ tar mas ia conclusión del tratado; pero el gobierno sueco ha to­ mado de repente un tono entera…</t>
  </si>
  <si>
    <t>icher (D. Nicolás), teniente del regi­ Vázquez (D. Juan), capitán del regi­ miento Real Extrangero. miento núm. i'.°, infantería de línea. Rivacobi ( D. Alexandro), capitán direc­ Weingartner, g,efe de batallón de la arti­ tor de la fábrica de Placencia. llería de la guardia. Roa ( D. Rafael) , cabo i.° del regimiento Vellido…</t>
  </si>
  <si>
    <t>iento núm¡ 2 infantería de línea. — Rey (D. Jorge) consejero de Estado. — Riclier (D. Nicolás) teniente del re­ gimiento real extrangero. — Rivacoba (D. Alexandro) capitán director de la fábrica de Placencia. — Roa (D. Rafael) cabo pri­ mero del regimiento núm. 1 infantería de línea. — Romero (D. José) sargento segundo del ba…</t>
  </si>
  <si>
    <t>Alexandro-y</t>
  </si>
  <si>
    <t>diario d'e Hamburgo , publica las condiciones, siguientes acerca de esta paz entre-Rusia y Suecia; I. La Finlandia se ha cedido en toda soberanía al emperador Alexandro-y á sus sucesores, y las fronteras de Suecia al norte se­ rán A land-Halt, el golfo de Bothnia y los rios-Torneo y Muenioj -en lós confines de la Noruega. IIL…</t>
  </si>
  <si>
    <t>Alexaudro</t>
  </si>
  <si>
    <t>14 de marzo de 1809</t>
  </si>
  <si>
    <t>Gaceta de Madrid n.º 73</t>
  </si>
  <si>
    <t>s católicos. correo á Trieste con. la'orden dé que'se sus­ pendan los seguros de los buques. ALEMANIA. Mr. Schwarzenberg, nuestro embaxador cerca del Emperador Alexaudro, no había Hambnrgo i $ de febrero. llegado , aun &lt;á‘{Petersburgo el 24 de enero, El cónsul austriaco residente en esta pot haber caído enfermo en el camino. …</t>
  </si>
  <si>
    <t>Alfon</t>
  </si>
  <si>
    <t>Berruezo , á D. José Rafael de Sebastiani, y á D. José Morales Zurita ; y para la ración de la catedral de Murcia, que resulta vacante por ascenso de D. Alfon­ so Revira en canongía de la misma iglesia, á D. Juan Nicasio Gallego, director eclesiástico de los caballeros pages de S.M. _________*_________ Tratado de la Táctica m…</t>
  </si>
  <si>
    <t>Alfonso</t>
  </si>
  <si>
    <t>5 de julio de 1809</t>
  </si>
  <si>
    <t>Gaceta de Madrid n.º 186</t>
  </si>
  <si>
    <t>de las «sieren, é si non, que las diesen á otros de Valladolid de 1351 es mui notable; di­ «qualesquier que las quisiesen comprar. Y ce asi: ,,E1 Rei D. Alfonso mío padre ho- «si non hobiere quien las comprare, que » bo ordenado en las cortes de Alcalá, 6 en «las comprasen los conceios.” Estos justos olas otras cortes que fiz…</t>
  </si>
  <si>
    <t>31</t>
  </si>
  <si>
    <t>ligeros de mier.to núm. i.° la guardia. Cornebois, sargento de granaderos del Real García (D. Ventura), capitán de caballeril. Extrarigero. García ( D. Alfonso.), granadero del regi­ Cortes.( D. Antonio), alcalde de corte. miento núm. t.u, brigada ir.andera. Cosío ( D. Diego), idem. Grcía Suelto ( D. Tomas), incaico del Cout …</t>
  </si>
  <si>
    <t>de la artillería de la guardia. — Gamin , coronel de los caballos ii-'geros de la guardia. — García ( D. Ventura ) capitán dé caba­ llería. — García (D. Alfonso) granadero del regimiento núm., i , brigada irlandesa. — García Suelto (D. Tomás) médico dél exército de primera clase. — García de la Prada (D. Manuel) regidor de Ma…</t>
  </si>
  <si>
    <t>15 de diciembre de 1809</t>
  </si>
  <si>
    <t>Gaceta de Madrid n.º 350</t>
  </si>
  <si>
    <t>imonio de la Reina de Cas­ prometido so cumplimiento casi todos los tilla Doña Urraca con el Rei de Aragón obispos) re distinguieron algunos en mani­ D. Alfonso el batallador, su tío segundo, festar su aprobación expresa de la doctrina que todos los obispos de ambos reinos tu­ del decreto, con especialidad el cardenal vieron …</t>
  </si>
  <si>
    <t>28 de diciembre de 1809</t>
  </si>
  <si>
    <t>Gaceta de Madrid n.º 363</t>
  </si>
  <si>
    <t>adores de la Orden Real de España , drico de salir de sus acantonamientos , y. de­ Los Señores . . ; volver á Francia para marchar á España. Aguado ( D. Alfonso);, obispo auxiliar de. El cuerpo de tropas wurtcmberguesas Toledo. „ ' está todavía en Passau y. en sos inmedia­ Amat (D. Félix), abatí dt'S. Ildefonso. ciones* Angul…</t>
  </si>
  <si>
    <t>Algarra, Vicente</t>
  </si>
  <si>
    <t>Vicente Algarra</t>
  </si>
  <si>
    <t>Gazeta del Gobierno n.º 11</t>
  </si>
  <si>
    <t>Batres, y á mis ayu­ dantes IX Julián Poveda, y D. Nicolás Ortiz de Landazuri, igualmente que al teniente coronel D. Miguel de Alava, á los capitanes D. Vicente Algarra, y D. N. Sechmager, y el te­ niente dél regimiento dé voluntarios de Madrid D. Jose£ Manso, adictos á mi estado mayor. A la actividad y zeló de estos individu…</t>
  </si>
  <si>
    <t>Allenda, Manuel Josef</t>
  </si>
  <si>
    <t>Manuel Josef Allenda</t>
  </si>
  <si>
    <t>15 de junio de 1809</t>
  </si>
  <si>
    <t>Gaceta de Madrid n.º 166</t>
  </si>
  <si>
    <t>25</t>
  </si>
  <si>
    <t>e ca­ pintarse por este solo pasage. La capital se sa y corte, vacante por ascenso de D. Ma­ abastece de pan por quarenta molinos que nuel Saravia: á D. Manuel Josef Allenda hai en la orilla izquierda del rio, y han he­ para el corregimiento de la villa de Sahacho que se destruyan. gun: á D. Genaro de Quevedo para la va­ ra d…</t>
  </si>
  <si>
    <t>Almagro</t>
  </si>
  <si>
    <t>21 de octubre de 1809</t>
  </si>
  <si>
    <t>Gazeta del Gobierno n.º 35 · 2.ª serie</t>
  </si>
  <si>
    <t>330</t>
  </si>
  <si>
    <t>fragatas Venus y Sirena, con 12 cañoneras y 2 bombardás, haciéndome el honor de decirme qué "todo quedaba á mi disposición Contribuyó mucho á ello el capitán Almagro, y levando anclas vino inmedia­ tamente á reímirsériíe aquí 'el dia 14 ; el principé Canosa desem­ barcó con 150 hombres y 2 piezas de campaña ; y se determinó q…</t>
  </si>
  <si>
    <t>Almendariz, José</t>
  </si>
  <si>
    <t>José Almendariz</t>
  </si>
  <si>
    <t>588</t>
  </si>
  <si>
    <t>Solomero.— D. José Davila. — D. José Sta. María. — D. Pasqual Quilez. — Marques de Ruena. — Duquesa del Arco y Monteilano. — Condesa de Superunda. — D. José Almendariz. — D. Iginio Antonio Llórente; —• Fr. Ignacio Gómez Ibluzqueta. — D. Luis Melendez Bruna. — D. José Mariano Dineo.—D. Joaquin Muñoz, recibidor de Mal­ ta. — Co…</t>
  </si>
  <si>
    <t>Alolercreutz</t>
  </si>
  <si>
    <t>13 de marzo de 1809</t>
  </si>
  <si>
    <t>Gaceta de Madrid n.º 72</t>
  </si>
  <si>
    <t>nte-»-V. M. hasta ahora mas que. 3 hombres. que en la situación crítica en que se halla En las tierras del Austria superior, si­ nuestro exército, el general Alolercreutz tuadas á uno y otro lado del Danubio , ha ha manifestado grande habilidad en las ne­ causado muchos estragos el deshielo y la gociaciones del armisticio, pu…</t>
  </si>
  <si>
    <t>Alon</t>
  </si>
  <si>
    <t>24 de marzo de 1809</t>
  </si>
  <si>
    <t>Gaceta de Madrid n.º 83</t>
  </si>
  <si>
    <t>e la izquierda. Se han cons­ tristes y amargos recuerdos sobre este par­ truido dos ramales de i 70 toesas cada uno ticular. En las cortes que el Rei D. Alon­ á la izquierda de la paralela. (¿V conti­ so el xi celebró en Madrid el año 1330 nuará. ) se quejaron ya altamente los diputados de que las rentas de la corona se distr…</t>
  </si>
  <si>
    <t>1 de septiembre de 1809</t>
  </si>
  <si>
    <t>Gaceta de Madrid n.º 245</t>
  </si>
  <si>
    <t>el consejo de Castilla, ilus­ cu aquel tiempo; aumentándose mas y mal trado ya con ios escritos de varios histo­ al ver que, á pesar de que los Reyes D. Alon­ riadores , asi en pro como en contra de es­ so xt y su hijo D. Pedro en los años 133* te privilegio, vio el recurso de los cinco y 13 fi confirmaron este privilegio, pe…</t>
  </si>
  <si>
    <t>Alonso</t>
  </si>
  <si>
    <t>0 rls. p^ra dos pares de medias. D, Francisco Ximenez Berdtjo , 10 r s. para un par de m.dias. ijtaft'a Josefa Tiayo , 10 rls. para un par de medias. D. Alonso valere, 20 rvs. para dos* pires de medias» D. iViiguel Espejo . 20 rls. para dos pares de fnnlias. D. J uan Josef Espejo., 20 rls. para dos pires de imdia** ¿francisco…</t>
  </si>
  <si>
    <t>21 de junio de 1809</t>
  </si>
  <si>
    <t>Gaceta de Madrid n.º 172</t>
  </si>
  <si>
    <t>recaria organización ) hicieron esfuerzos reales: crearon también algunos juros. Sa­ para ligarle las manos. D. Henrique iv, bidos son los empeños de D. Alonso el xt: tercer nieto del bastardo, llegó al colmo del demasiado conocido el influxo que tuvo desorden, de la miseria y del oprobio. Su cerca de él su combleza Doña Leon…</t>
  </si>
  <si>
    <t>ero , et «vino hi después manera porque se acre«vostra costumbre aquelo mismo.” » centó mas, porque por la gran mortandad En el privilegio que el Rei D. Alonso «que después acaescia todos los homes que el Sabio despachó á favor de la ciudad de «fallescian, con devoción que hobieron, Cuenca, sus aldeas y vecinos en el año » ma…</t>
  </si>
  <si>
    <t>6 de julio de 1809</t>
  </si>
  <si>
    <t>Gaceta de Madrid n.º 187</t>
  </si>
  <si>
    <t>s monasterios adquiriesen mas fincas. rona de Aragón. Irritado justamente contra Los religiosos mendicantes habían adquiri­ semejante conducta el Rei D. Alonso v, do ya en el siglo xv muchas posesiones, resolvió, hallándose en Ñipóles en el año contra lo que previene su propio instituto; 1451 , arrancar á las iglesias quanto …</t>
  </si>
  <si>
    <t>2 de septiembre de 1809</t>
  </si>
  <si>
    <t>Gaceta de Madrid n.º 246</t>
  </si>
  <si>
    <t>res del sol, limitado su albergue nocturno nando como no reinaba entonces Ramiro I, á una rústica casa, su vestido ¿ un tosco puesto que su antecesor D. Alonso n, ape­ paño , y su alimento á manjares groseros y llidado el Casto, reinaba aun en el de 873. escasos, mantienen con el sudor de su fren­ Se pasará en silencio la pru…</t>
  </si>
  <si>
    <t>13 de octubre de 1809</t>
  </si>
  <si>
    <t>Gaceta de Madrid n.º 287</t>
  </si>
  <si>
    <t>Los oliciales reformados, sea qual fuese Por real decreto de 10 del corriente su grado, y la clase de arma en que hayan S. M. se ha servido nombrar á D. Alonso servido, tendrán por uniforme una casaca, Mair, subteniente del regimiento Real Exchupa y calzón de los mismos colores que trangero, teniente de tefi¡nterí;¡: á D. Ild…</t>
  </si>
  <si>
    <t>Alonso, Cayetano</t>
  </si>
  <si>
    <t>Cayetano Alonso</t>
  </si>
  <si>
    <t>14 de febrero de 1809</t>
  </si>
  <si>
    <t>Gaceta de Madrid n.º 45</t>
  </si>
  <si>
    <t>14</t>
  </si>
  <si>
    <t>o Cosío. Por el Cabildo D. Benito Semprun, D. Josef Gómez de Villavedon, D. Josef Sacrista* y D. Tomas Moyano. Por la Ciudad D. Vicente Martin Gómez, D. Cayetano Alonso , D. Mariano Santatíder, D. Simón Durango, D. Francisco Berzosa y D. Tomas Rodríguez. Por S. Basilio P. D. Ignacio Reyezo y P. D. Luis Estevez. Por los Agusti…</t>
  </si>
  <si>
    <t>Alonso, Mariano</t>
  </si>
  <si>
    <t>Mariano Alonso</t>
  </si>
  <si>
    <t>ución del estado, REI de las Españas?y de las Indias:,hemos decretado y decretamos lo siguiente: ^o ? ■ ARTICULO I. ,,Nombro á. los alcaldes de corte D. Mariano Alonso, D. Diego Cosío, D. Franciscó&gt;Remon, D. ¿ Laureano Jado y D. Domingo Rico de. ^illademoros para jueces de la junta criminal extraordinaria.,, que h^ de co­ noc…</t>
  </si>
  <si>
    <t>10 de julio de 1809</t>
  </si>
  <si>
    <t>Gaceta de Madrid n.º 191</t>
  </si>
  <si>
    <t>870</t>
  </si>
  <si>
    <t>la plaza la circulación, fuera de 70 millones de fa­ dé alcalde de casa y corte vacante por pro­ negas, entonces seria de 140 : y si con el moción de D. Mariano Alonso : para la de valor de los 70 millones de fanegas pueden juez de la junta criminal extraordinaria, vivir cómodamente 10 millones de almas, que también obtenía a…</t>
  </si>
  <si>
    <t>Alonso, Nicolás</t>
  </si>
  <si>
    <t>Nicolás Alonso</t>
  </si>
  <si>
    <t>3 de septiembre de 1809</t>
  </si>
  <si>
    <t>Gaceta de Madrid n.º 247</t>
  </si>
  <si>
    <t>ámen y Hervás Rodríguez, Racionero df la de Pa­ aprobación. tencia, para una canongía de la misma igier art. tv. El rector y el ecónomo han de sia: á D. Nicolás Alonso, beneficiado deja vivir en la casa enfermería , tendrán la ra­ parroquia de S. Nicolás de Miranda de ción ordinaria en ella, y gozarán por suel­ libro, para la…</t>
  </si>
  <si>
    <t>Alonso, Pedro</t>
  </si>
  <si>
    <t>Pedro Alonso</t>
  </si>
  <si>
    <t>144</t>
  </si>
  <si>
    <t>pantalon.s=D. Josef Rodríguez , unos botines.O. Francisco Franco , unos botines.mO, Juan Ravelo, ur» poncho.= D. Josef Rodríguez , un par de medias.^D. Pedro Alonso, un poncho.-== Jj. Francisco Solano , unos zapatos.= i). Francisco Sánchez , unos z pato?. —O.* Juan de la Cambra , una camisa.— &gt;. An­ tonio del Pozo , unos zapa…</t>
  </si>
  <si>
    <t>Alonso, Santiago Martínez</t>
  </si>
  <si>
    <t>Santiago Martínez Alonso</t>
  </si>
  <si>
    <t>on. D. Bonifacio Muñoz y D. Ensebio López. Diputación de Santander. D. Joaquín Ramón de Sarraga y D. Pedro de Hacha. Diputación de Medina de Ríoseco. D. Santiago Martínez Alonso; D. Luciano de Salcedo y D. Vicente Soto y Pastor. Diputación de Salamanca. D. Josef Pando y D, Juan de Peñalosa, ciudad. D. Cosme de Trespalacios y …</t>
  </si>
  <si>
    <t>Alonso, Zenon</t>
  </si>
  <si>
    <t>Zenon Alonso</t>
  </si>
  <si>
    <t>12 de marzo de 1809</t>
  </si>
  <si>
    <t>Gaceta de Madrid n.º 71</t>
  </si>
  <si>
    <t>do curran en lo sucesivo en los expresados de­ extraordinario cerca de la corte de Cons- litos , proponiéndonos el juez ó tribunal que ra::rinopla; á D. Zenon Alonso, consejero haya de entender en estas causas. Dado en de Lidias ; i D. Manuel María Cambrone- nuestro palacio de Madrid á 9 de marzo de r&lt;&gt; y a! conde de Guzman ,…</t>
  </si>
  <si>
    <t>4 de mayo de 1809</t>
  </si>
  <si>
    <t>Gaceta de Madrid n.º 124</t>
  </si>
  <si>
    <t>59</t>
  </si>
  <si>
    <t>e Sal­ gentes mas ilustradas, escuchar los votos de cedo, D. Bernardo de Iriarte , el marques todas las ciases de la nación para dirigir de Almenara, D. Zenon Alonso, D. Ma­ con el mayor acierto los negocios públicos, nuel María Cambronero , el conde de Gua­ y llegar del mejor modo posible al momen­ rnan , D. Francisco Xavier…</t>
  </si>
  <si>
    <t>Aloran, Pedro</t>
  </si>
  <si>
    <t>Pedro Aloran</t>
  </si>
  <si>
    <t>19 de abril de 1809</t>
  </si>
  <si>
    <t>Gaceta de Madrid n.º 109 (suplemento)</t>
  </si>
  <si>
    <t>na tierra sita en calle del Recodo, núm. 4, manz. 421, perteneciente el arroyo Abroñigal, su cabida fanega y media, valua­ ¿la capellanía fundada por D. Pedro Aloran, cuyo si­ da en yoo rs., y rematada en 2550 á pagar en vales tio es el de 1858 pies, retasada en 41669 rs. 17 infs.¡ reales, acuda I la audiencia del Sr. D. León…</t>
  </si>
  <si>
    <t>Aloy, Juan</t>
  </si>
  <si>
    <t>Juan Aloy</t>
  </si>
  <si>
    <t>Gazeta del Gobierno n.º 29 · 2.ª serie (suplemento 2.º)</t>
  </si>
  <si>
    <t>278</t>
  </si>
  <si>
    <t>Juan Claros. P. S. Acaba de saber el Gobierno Supremo que ha entrado en Gerona un segundo convoy. D. Lorenzo Rico , los subtenientes D. José Zanon , D. Juan Aloy , D. Es­ teban Oros. De Suizos de Wimpffen, 1 3 muertos , 37 heridos : el capitán D. Car­ las Escolar j y el teniente D. Francisco Cructer salieron heridos , y D. Fé…</t>
  </si>
  <si>
    <t>Altuna, Josef Ignacio</t>
  </si>
  <si>
    <t>Josef Ignacio Altuna</t>
  </si>
  <si>
    <t>3 de junio de 1809</t>
  </si>
  <si>
    <t>Gaceta de Madrid n.º 154</t>
  </si>
  <si>
    <t>711</t>
  </si>
  <si>
    <t>un todo para este objeto las dencia como la mas á propósito pata con­ disposiciones del vice-comisario de policía solidar la paz pública en Alemania: D. Josef Ignacio Altuna, alcalde de la ex­ Habernos decretado y decretamos lo que presada villa de Azpeitia. La Guipúzcoa to­ sigue : da está sumamente agradecida al gobierno ar…</t>
  </si>
  <si>
    <t>Alvarado, Benito</t>
  </si>
  <si>
    <t>Benito Alvarado</t>
  </si>
  <si>
    <t>ez, 20 rls. para dos pares de medias. D. Aidres Gutiérrez, 10 rls. para un par de medias. Doña María Manuela Escobar, 1 o rls. para un par de medias* D. Benito Alvarado , 20 rls. para dos pares de inedias* D. Sebastian de Lora, 10 rls. para unas medias* -D. Juan Ruiz , 10 rls. para un par de medias., D. Francisco Domínguez , …</t>
  </si>
  <si>
    <t>Alvarado, Bernardo</t>
  </si>
  <si>
    <t>Bernardo Alvarado</t>
  </si>
  <si>
    <t>medias. P. Juan Duran, .20 rl?. para dos pares desmedías* D. Miguel Morfín, 15 rls. para una mochila. P. Josef Romero 60 rls. para quatro mochilas* -D. Bernardo Alvarado, 20 rls. para dos pares de medias. D. Joaqain Ballestero 20 rls. para dos pares de medias. ^D. Miguel - de la Portilla , 20 rls. para dos pares de medias* D.…</t>
  </si>
  <si>
    <t>Alvarado, Josefa</t>
  </si>
  <si>
    <t>Josefa Alvarado</t>
  </si>
  <si>
    <t>48 rls. para unos pantalones. D. Ramón Romero, 80 rls. pira 4 mochilas y 2 pares de medias* Do ña Librada Solano , 12 rls. para una gorra de quartel* Doña Josefa Alvarado , 30 rls. para dos mochila?. D. Lorenzo Paez, 20 rls. para dos pares de medias. D. Aidres Gutiérrez, 10 rls. para un par de medias. Doña María Manuela Escob…</t>
  </si>
  <si>
    <t>Alvares, María del Carmen</t>
  </si>
  <si>
    <t>María del Carmen Alvares</t>
  </si>
  <si>
    <t>43</t>
  </si>
  <si>
    <t>Josef de Silva , 30 rls. para dos mochilas. D. Cipriano de Flores , 10 rls. para un par de medías. D. Manuel Gonzahz, 10 rls. para un par de medias. Doña María del Carmen Alvares , 17 rls. para unos zapatos* D. Pedro Ruiz , 153 ris. para diez mochilas. D. Antonio Quesada, 60 rls. para quatro mochilas. D. Juan de Mora , 10 rls…</t>
  </si>
  <si>
    <t>Alvarez</t>
  </si>
  <si>
    <t>9 de enero de 1809</t>
  </si>
  <si>
    <t>Gaceta de Madrid n.º 9</t>
  </si>
  <si>
    <t>18</t>
  </si>
  <si>
    <t>ce pre­ sumir que los habitantes van abandonando la plaza. La vanguardia enemiga » compuesta de $ a 69 hambres, acampada sobre el Fluvia al mando del general Alvarez , vino el dia 24 en varias colunas á atacar los puestos de Navata, Puntos, Armadas y Garriga, ocupados por</t>
  </si>
  <si>
    <t>5 de octubre de 1809</t>
  </si>
  <si>
    <t>Gazeta del Gobierno n.º 28 · 2.ª serie</t>
  </si>
  <si>
    <t>256</t>
  </si>
  <si>
    <t>etiembre* Entre las tropas del socorro que en el primero;del corriente entró de refuerzo en la plaza de Gerona , se contaba el regimiento de Baza. El general Alvarez, cuyo valor y acendrado patriotismo es tan conocido entre la nación española, les arengó en los términos siguientes. Gefes, oficiales y soldadas: si alguno hay e…</t>
  </si>
  <si>
    <t>Alvarez, Bernardo González</t>
  </si>
  <si>
    <t>Bernardo González Alvarez</t>
  </si>
  <si>
    <t>PDF p. 7</t>
  </si>
  <si>
    <t>Rayara. — D. Segismundo Malats. — D. José Antonio Ruiz. — D. José Moreno. — D. José Marco del Pont. — D. José Llanos. — Ei-conde de Montes-claros. — D. Bernardo González Alvarez. — Doña" Francisca Siró de Gre. --El marques de Mo­ nasterio y de Paredes. — D. Rafael Costa. — D. José Angel Foncillas. -- D. Andrés Nuñez de Haro.-…</t>
  </si>
  <si>
    <t>Alvarez, Domingo</t>
  </si>
  <si>
    <t>Domingo Alvarez</t>
  </si>
  <si>
    <t>19 de enero de 1809</t>
  </si>
  <si>
    <t>Gaceta de Madrid n.º 19</t>
  </si>
  <si>
    <t>128</t>
  </si>
  <si>
    <t>$r. D. Juan Manuel Xaramillo y Sr. D. Juan Matía de Satini, por el ayuntamiento: Sr. D. Manuel Felipe Sagarvinaga, por el cuerpo de ti no­ bleza: Sr. D. Domingo Alvarez, presbítero, por el estado eclesiástico: el P. abad de S. Basilio¿ por el estado regular: Sr. D. Juan de Mata Iilana, por vecinos de parroquias: Sr. D. Roque …</t>
  </si>
  <si>
    <t>Alvarez, Josef</t>
  </si>
  <si>
    <t>Josef Alvarez</t>
  </si>
  <si>
    <t>242</t>
  </si>
  <si>
    <t>os El P. Vicario y su compañero. Por tos Benedictinos Fr. Agustín Sanz y Fr. Fernando Seguí. Los diputados de la ciudad de León son D. Pedro Alvarez, D. Josef Alvarez de tos Ríos y D. Diego Ribero. Los de la ciudad de Avila son Por el Cabildo limo. Sr. obispo D. Manuel Gómez dé la Salazar , Sr. deán 0. Juan Alonso Gorjon, Sr.…</t>
  </si>
  <si>
    <t>Alvarez, Mariano</t>
  </si>
  <si>
    <t>Mariano Alvarez</t>
  </si>
  <si>
    <t>25 de noviembre de 1809</t>
  </si>
  <si>
    <t>Gazeta del Gobierno n.º 50 · 2.ª serie</t>
  </si>
  <si>
    <t>os;de pa­ triotismo- dentro de estos mures, dignos de presentarse al universo por modelo, qué es preciso reservarlos para días mas felices. Suspi­ ra D. Mariano Alvarez al salir de las. tahonas , porque de ellas po harina qü%- desesbanp y al punto-oy© una voz entonada de flíh- i&amp;is&amp;lio"cfuéf&lt;fe¿Í4Jj SManijsTWfÁgfcqye*0gii*se.…</t>
  </si>
  <si>
    <t>Alvarez, Pedro</t>
  </si>
  <si>
    <t>Pedro Alvarez</t>
  </si>
  <si>
    <t>. Por los Capuchinos El P. Vicario y su compañero. Por tos Benedictinos Fr. Agustín Sanz y Fr. Fernando Seguí. Los diputados de la ciudad de León son D. Pedro Alvarez, D. Josef Alvarez de tos Ríos y D. Diego Ribero. Los de la ciudad de Avila son Por el Cabildo limo. Sr. obispo D. Manuel Gómez dé la Salazar , Sr. deán 0. Juan …</t>
  </si>
  <si>
    <t>Alzaref</t>
  </si>
  <si>
    <t>15 de octubre de 1809</t>
  </si>
  <si>
    <t>Gaceta de Madrid n.º 289</t>
  </si>
  <si>
    <t>ue en dicha batalla desafíos. Todos los vocales han prometido quedó muerto el general Tutchof, y heri­ solemnemente no dar jamas su voto en las do el general Alzaref. elecciones á favor de ningún individuo que Cotejando atentamente los diversos par» haya tenido 6 tenga parte directa ó indi­ tes remitidos por el general en gef…</t>
  </si>
  <si>
    <t>Am, D</t>
  </si>
  <si>
    <t>D Am</t>
  </si>
  <si>
    <t>4 de julio de 1809</t>
  </si>
  <si>
    <t>Gazeta del Gobierno n.º 42</t>
  </si>
  <si>
    <t>PDF p. 6</t>
  </si>
  <si>
    <t>ene­ migo'; y en efecto el dia 23 á legua y media descubrió sus columnas y empezaron el fuego con nuestras guer­ rilla*. La vanguardia , al mando del teniente coronel D» Am­ brosio de la Quadra , desplegó con indecible prontitud , ,y colocó su fcftillería en tan buena posición que parecía esco­ cida al' intentó * empezando '¿…</t>
  </si>
  <si>
    <t>Amar, Jaime</t>
  </si>
  <si>
    <t>Jaime Amar</t>
  </si>
  <si>
    <t>28 de agosto de 1809</t>
  </si>
  <si>
    <t>Gaceta de Madrid n.º 241</t>
  </si>
  <si>
    <t>añas y de las Indias. "Vizcaya á D. Joaquín de Uria Nafarrondo, He nos decretado y decretamos lo si­ con igual sueldo. Para la de Segovia á guiente : D. Jaime Amar, con el propio sueldo. Para ,,Por consecuencia de la supresión de la de Toledo á D. Josef Serra, con el mis­ las órdenes de religiosos en nuestros domi­ mo sueldo.…</t>
  </si>
  <si>
    <t>Amarillas, José</t>
  </si>
  <si>
    <t>José Amarillas</t>
  </si>
  <si>
    <t>588 ~ nuel Albuerrte. — D. José Palafox. — Condesa viuda de Llerena.— D. José Amarillas.— D. Francisco Xavier Ochoa.—-D. Joaquin Tamayo. — D. José Compani. — Marques de la Romana.— Conde de Cimera. —; D. Eusebio Bardaxi y Azara. — D. Evaris­ to Perez de Castro.— D. Tadeo Franc</t>
  </si>
  <si>
    <t>Amaya, Marcelo</t>
  </si>
  <si>
    <t>Marcelo Amaya</t>
  </si>
  <si>
    <t>16 de diciembre de 1809</t>
  </si>
  <si>
    <t>Gazeta del Gobierno n.º 59 · 2.ª serie</t>
  </si>
  <si>
    <t>572</t>
  </si>
  <si>
    <t>dos muías, valuadas en 900 reales; la mar­ quesa su madre una en 550; el marques de Villaverde 2 en 1200; D. Francisco de Paula Camilla una en 650 ; D. Marcelo 'Amaya 2 en 10 ; D. Francisco Ximenez una en 850. — De Cádiz, la real aduana ocho mulos en 13.300 ; D. Fermín Elizalde2 en 5?-; Don Miguel Lobo uno en 1800; D. Ceferin…</t>
  </si>
  <si>
    <t>Amberes</t>
  </si>
  <si>
    <t>Gaceta de Madrid n.º 284</t>
  </si>
  <si>
    <t>1146</t>
  </si>
  <si>
    <t>que ción bávara, de la que teneis el honor de haga el nombramiento de los oficíales do formar una parte. diferentes grados. ,,El general de brigada, comandante Amberes de setiembre. de la legión de Honor, y gobernador de Todavia permanecen delante de Flesínlindan, ib Suire." ga 130 velas enemigas. los ingleses, lejos de haber…</t>
  </si>
  <si>
    <t>Amberes, Diego</t>
  </si>
  <si>
    <t>Diego Amberes</t>
  </si>
  <si>
    <t>4 de octubre de 1809</t>
  </si>
  <si>
    <t>Gaceta de Madrid n.º 278</t>
  </si>
  <si>
    <t>, que articulo i. Nombramos regidores de muestran también un celo infatigable. la villa de Madrid á D. Manuel Juez Sar­ miento, D. Francisco Bringas, D. Diego Amberes iS de setiembre. Barreda y D. J *scf Carranza. S. A. el prín. ipe de Pontecorvo ha vi­ art. 11. Nuestro ministro de lo In­ sitado esta mañana nuestra ciudadela.…</t>
  </si>
  <si>
    <t>Amcnde</t>
  </si>
  <si>
    <t>8 de octubre de 1809</t>
  </si>
  <si>
    <t>Gaceta de Madrid n.º 282</t>
  </si>
  <si>
    <t>13</t>
  </si>
  <si>
    <t>!* la de Sevilla le d ió mayor importancia por­ ciudad. En la misma gazeta se anunciaba en se­ que asi le acomodaba; y suponiéndola como guida que el general Amcnde habia escrito al cierra en sus cálculos, deduce de ella la situa­ general saxon Thielmann, dkiéndole que aca­ ción verdadera de los negocios entre Austria y baba …</t>
  </si>
  <si>
    <t>Amende</t>
  </si>
  <si>
    <t>15</t>
  </si>
  <si>
    <t>SAXONIA. Dresde 15 de junio. El 11 á eso del anochecer, y quando menos se esperaba, en­ tró en esta capital un cuerpo austríaco, mandado por el General Amende. Constaba de 12$ hombres (a lo menos pidieron este nú­ mero de raciones) con 11 piezas de artillería, y vinieron, sin ser observados, por el camino de Dippoldswalde, y …</t>
  </si>
  <si>
    <t>22 de julio de 1809</t>
  </si>
  <si>
    <t>Gaceta de Madrid n.º 203</t>
  </si>
  <si>
    <t>1784</t>
  </si>
  <si>
    <t>ia á la cabeza de un 'España. cuerpo de tropas »era probablemente él an­ tiguo elector de Hesse. Un militar que ha Madrid 2i de julio. servido con el general Amende acaba de dar­ Extracto de las minutas de la Secretaría nos de este oHcial la noticia siguiente: de Estado. ,,E1 general Amende, cuyo nombre se En nuestro palacio …</t>
  </si>
  <si>
    <t>11 de agosto de 1809</t>
  </si>
  <si>
    <t>Gaceta de Madrid n.º 224</t>
  </si>
  <si>
    <t>erogativas» hecho el armisticio. No ha habido dificul­ conservando solamente sus títulos. tad en convenirse sobre estos puntos, y ert consecuencia el general Amende ha Salido BA VIERA. de Drésde el dia at para retirarse primero á Pirna, y de allí á Petterswald, y el ge­ Augsburgo ij) de juli*. neral Thielmann ha entrado el a …</t>
  </si>
  <si>
    <t>21 de agosto de 1809</t>
  </si>
  <si>
    <t>Gaceta de Madrid n.º 234</t>
  </si>
  <si>
    <t>y oñciales madrugada del dia siguiente se ha oido un de ordenanza , ir al palacio de Polonia que fuerte cañoneo. Habiendo ocupado el ene­ ocupaba el general Amende. Al caer de la migo la Isla de Schouwen , no se han po­ tarde el general Thielman volvió á salir dido recibir noticias Je aquel punto. Lo de Ja ciudad, Hoi, despué…</t>
  </si>
  <si>
    <t>29 de agosto de 1809</t>
  </si>
  <si>
    <t>Gazeta del Gobierno n.º 12 · 2.ª serie</t>
  </si>
  <si>
    <t>98</t>
  </si>
  <si>
    <t>ver si infiuia en su desaliento y su­ misión.” Leipsick 19 de julio. En los dias 13 y 14 entró en Dresde un cuerpo de tropas austríacas al mando del general Amende.— Obsérvese bien este hecho. Jíamburgo 21 de julio. Para el dia 24 se espera en Hannover al rey de VVestfatia. El general Reubell ha entrado ya allí el dia .19 con…</t>
  </si>
  <si>
    <t>a -por, algunas: par­ tidas »Saxonas,el archiduque CárL-os ha «reido deber tomar, satisfac­ ción deteste insulto , y;én consecuenciaba-dado .orden el,general Amende de entrar en -Saxonia con.el cuerpo de tropas de su man­ do-. El l-° de este-mes entraron nuestras tranasieai Dipppl'tsvválete y él; 11 á las 7 en Dresde. Los mag…</t>
  </si>
  <si>
    <t>ittemfeerg; Un déstaeaménto.austriaco que *ei 14'éH£fá«BJ¡BatirbeTgaé dirigió el? l*sr hácia¡ Schiveinrflirt.' . Al mismo tiempo; que: ef cuerpo idel general Amende entraba en Saxonia', ot rd - de.- a ustri a c os-m&amp;n dade p o r-.e lge neral lladivojeviehha penetradó'íen'eliprrocipado de-Bayreuthr. El 11 del -corrifeme entrar…</t>
  </si>
  <si>
    <t>ar un géheral en cierto punto , ó deber estar. (5) Si ha entrado en Uresde, no lo debe a victoria ó ventaja alguna, sino á la retirada espontánea del general Amende con quien hizo un conv venia particular para ello en virtud del arm sticio. (6) Después de haber sido perfectamente batido por el general Kienmayer, que hubiera a…</t>
  </si>
  <si>
    <t>mentos tenia esta noticia. La ciuda- de algún artículo adicional al tratado de armis­ dela de Gratz ha sido entregada á las tropas ticio de Znaim. El general Amende se concer­ francesas sin oposición ninguna, como era da tó cu efecto con el general saxon 'Thielmann</t>
  </si>
  <si>
    <t>Amenra</t>
  </si>
  <si>
    <t>neral de S. M. el Reí de Westfalia. testó que estaba pronto á acceder á lo: que La.gazeta de Stettio asegura que la nue­ se le pedia, siempre que el general Amenra constitución de Suecia es mui parecida de evacuase á Dresde» donde habla entrado á la de Francia, y que la nobleza sueca ha el dia (4 , esto el, al Segundo después…</t>
  </si>
  <si>
    <t>Ameude</t>
  </si>
  <si>
    <t>868</t>
  </si>
  <si>
    <t>lamas, y tratado de suble­ que están en disposición de tomar las ar­ var los habitantes. Al mismo tiempo el mas tienen que marchar al exército. Cinco general Ameude ha entrado en Dresde con batallones de milicias que había reunidos tres batallones de línea, tres batallones de el 29 de mayo en Praga han recibido allí milicias,…</t>
  </si>
  <si>
    <t>Amigo, Josef Antonio</t>
  </si>
  <si>
    <t>Josef Antonio Amigo</t>
  </si>
  <si>
    <t>mochilas y un par de medías» D. Juan Escobar, 40 rls. para dos mochilas y un par de medias» P. Josef Acosta , roo rls. para 6 mochilas y unas medias» D. Josef Antonio Amigo , 10 rls. para un par de medias. D. Matías de Soto Sánchez , 60 rls. para quatro mochilas» D- Josef Ruiz , ao rls. para dos pares de medias. Doña Eduarda …</t>
  </si>
  <si>
    <t>Amírola, Alexandro</t>
  </si>
  <si>
    <t>Alexandro Amírola</t>
  </si>
  <si>
    <t>e. americanos que lleguen en lastre á algún Quien tenga noticia de ellos se servirá entre­ puerto de Francia, y cuya navegación dé garlos en Madrid á D. Alexandro Amírola, algunos indicios de haber contravenido al apoderado de ella, que vive plazuela de Matu­ decreto sobre el bloqueo. te, y eiTLeon á D. Tomas Aivarez Villarro…</t>
  </si>
  <si>
    <t>Amorós, Francisco</t>
  </si>
  <si>
    <t>Francisco Amorós</t>
  </si>
  <si>
    <t>22</t>
  </si>
  <si>
    <t>a que hacer mas nombrados por decreto de 29 de octubre que retirar sus exércitos, y abandonarla i del mismo año; y el consejero de Indias sí misma. ' D. Francisco Amorós por el de 25 de no­ Por lo que hace á mí, os ío repito, no viembre del propio. tengo aquí ningún ínteres personal; no ha­ art. 11. Nombramos ahora ademas por…</t>
  </si>
  <si>
    <t>4 de abril de 1809</t>
  </si>
  <si>
    <t>Gaceta de Madrid n.º 94</t>
  </si>
  <si>
    <t>464</t>
  </si>
  <si>
    <t>as. La elec­ Tpdas estas jurisdicciones, y los numerosos ción que ha hecho S. M. en la persona pueblos que las componen, desean ocasio­ del limo. Sr. D. Francisco Amorós para nes en que poder acreditar la fidelidad que restablecer el orden, la armonía y so­ hán jurado, y esperan baxo el gobierno de siego en esta provincia, ha…</t>
  </si>
  <si>
    <t>PDF p. 9</t>
  </si>
  <si>
    <t>o Péreyra, de D* Juan Llórente, de D, Pidro de Estála , de D. Francisco Gallardo Ferna ndez , del Duque de ; Mahon , de D. Francisco Xavier Duran, de D. Francisco Amorós , y de D. Josef Navarro Sangr án , cuyos sugeto?, por notoriedad, son tenidos y reputados por reos de alta tracción. II. Qualquíéra de eilos que sea aprehe n…</t>
  </si>
  <si>
    <t>24 de octubre de 1809</t>
  </si>
  <si>
    <t>Gazeta del Gobierno n.º 36 · 2.ª serie</t>
  </si>
  <si>
    <t>540</t>
  </si>
  <si>
    <t>lan de su decanta­ da táctica con da fuga. Jaén v 8 de ^octubre.— "Según noticias de Madrid hasta 10 del corriente-, el dia 5 entró'3en aquella villa D Francisco Amorós, comisario regia (de José) acompañado de Villalad , con 2 batido­ res, 6 gendarmes españoles, y unos 20 franceses de caballería; ef 6 el duque de Mahon , gobe…</t>
  </si>
  <si>
    <t>Amoun, Francisco</t>
  </si>
  <si>
    <t>Francisco Amoun</t>
  </si>
  <si>
    <t>463</t>
  </si>
  <si>
    <t>lle de las Municiones Santander 27 de marzo. hasta cerca de S. Francisco El enemigo nos ha incomodiJo mucho por esta parte con Desde que el limo. Sr. D. Francisco Amoun fuego incesante de obús. rós y Ondean o, consejero de Estado de</t>
  </si>
  <si>
    <t>Ampudia, Valentín</t>
  </si>
  <si>
    <t>Valentín Ampudia</t>
  </si>
  <si>
    <t>Gazeta del Gobierno n.º 46 · 2.ª serie (suplemento 2.º)</t>
  </si>
  <si>
    <t>coroneles D. José Velarde y D José Fuentepita , el primero mayor de brigada: á ios capitanes D. Pedro Aguado y D. Diego Tolosa; y á los subtenienfes D. Valentín Ampudia , D. Miguel Ugarte, D. Juan Donoso y D. Jo­ sé María Ampudia, todos del real cuerpo de Ingenieros. A los ayudan­ tes generales D. Estanislao Sánchez Salvador …</t>
  </si>
  <si>
    <t>An, Francisco</t>
  </si>
  <si>
    <t>Francisco An</t>
  </si>
  <si>
    <t>s) soldado del regimiento núm. a de infan­ tería de línea. — Castillo Larroi (D. Dámaso). — Cervino (D. Domingo) teniente general de exército. — Cea (D. Francisco An­ tonio) xefe de división del ministerio de lo interior. — Cernebois, sargento de granaderos del regimiento real extrangero, in­ fantería de línea. — Chabert (D. …</t>
  </si>
  <si>
    <t>An, Juan</t>
  </si>
  <si>
    <t>Juan An</t>
  </si>
  <si>
    <t>10 de septiembre de 1809</t>
  </si>
  <si>
    <t>Gaceta de Madrid n.º 254</t>
  </si>
  <si>
    <t>e leyes y decretos , lo relativo touet, D. Francisco Laborda y Perez , Don á los establecimientos de educación militar, Francisco Perez del llavero , D. Juan An­ y ios asuntos que no ^correspondan á divi—¡ tonio Melón y D. Andrés Benito Quintana sion determinada. r gefes de división; á JD, Juan Josef de Az— • El oficial prime…</t>
  </si>
  <si>
    <t>és Ocarol , á D. José González Guerrero , capellán de los reales exércitos : para la canongía va­ cante en la colegiata de Lorca por fallecimiento de D. Juan An­ tonio García , á D. Mariano Gil Castroverde , cura párroco de Sta.* María de aquella ciudad : para otra vacante en la misma co­ legiata por muerte de D. Francisco Fe…</t>
  </si>
  <si>
    <t>An, Xavier</t>
  </si>
  <si>
    <t>Xavier An</t>
  </si>
  <si>
    <t>mbra , D. Sebastian de Gambra , D. Genaro Mar­ tin , D. Matías de Aras , D. Tomás de Renovales , D. Ale-* ¿andró Amigot, D. Juan Casao, y los cadetes D. Xavier An­ gel Ros , D, Vicente de Soravilla , D. José María Barricat,D. Pedro Antonio Barrena , D. Gregorio Cruchaga , D. Hi­ lario Marco, D. Cipriano Garde , los sargentos …</t>
  </si>
  <si>
    <t>Ánast</t>
  </si>
  <si>
    <t>27 de enero de 1809</t>
  </si>
  <si>
    <t>Gazeta del Gobierno n.º 5 (suplemento)</t>
  </si>
  <si>
    <t>general : — se­ tenta y ocho casas de azúcar blanco con 1367 arrobas y r-} líbras:= veinte y cinco caxas de quebrado con 399 arrobas y 12 Íibras:=D2 D. Ánast3sio Arango á la nación en general.zzcinco caxas de azúcar blanco con 90 arrobas y 9 li­ bras , y tres caxas de azúcar quebrado con 50 arrobas y 1 libra:“De Doña Barbara …</t>
  </si>
  <si>
    <t>Ande</t>
  </si>
  <si>
    <t>19 de noviembre de 1809</t>
  </si>
  <si>
    <t>Gaceta de Madrid n.º 324</t>
  </si>
  <si>
    <t>141</t>
  </si>
  <si>
    <t>inteligentes. Aseguran que durante las los señores conde de Apparent, principé heladas del invierno la guarnición no pue­ Corsini, conde Fossombroni, conde Ande contar con la protección de la marina. guissola, conde Veuturi, y el conde CarY aun quando los hielos no sean mui fuer­ bonara, todos senadores. tes para abrir al ene…</t>
  </si>
  <si>
    <t>Andino, Angel</t>
  </si>
  <si>
    <t>Angel Andino</t>
  </si>
  <si>
    <t>23 de junio de 1809</t>
  </si>
  <si>
    <t>Gaceta de Madrid n.º 174</t>
  </si>
  <si>
    <t>ata de Soria, importante. España va á ver por la primera diócesis de Osma, vacante por fallecimien­ vez un fidelísimo quadro de ia deuda nacio­ to de D. Angel Andino: á D. Juan Jo­ nal baxo sus diversas denominaciones y ra­ sef Felipe, capellán de número inas antiguo mificaciones. Ya no habrá mas misterios in­ de dicha colegi…</t>
  </si>
  <si>
    <t>Andrade, Ramón</t>
  </si>
  <si>
    <t>Ramón Andrade</t>
  </si>
  <si>
    <t>Gazeta del Gobierno n.º 8</t>
  </si>
  <si>
    <t>28</t>
  </si>
  <si>
    <t>jército, 200. = D. Juan Josef Echevarría , 100. = D. Juan Antonio Ara ojo, 200. = D* Nicolás de Rivera, Adalid nistrador general de Alcavalas, 100. = D. Ramón Andrade, Con­ tador general de idem, 100.= D. Gerónimo Gos , Alcs^dé de idem,100.= D. Manuel de Olavenri, Vista de»idem , 25. = D. Félix Castríllo , Oficial 2. 0 de ide…</t>
  </si>
  <si>
    <t>Andrcossi</t>
  </si>
  <si>
    <t>8 de mayo de 1809</t>
  </si>
  <si>
    <t>Gaceta de Madrid n.º 128</t>
  </si>
  <si>
    <t>de julio de 1808 baxo los núms. 1 y 6. 1809, que se pondrá en seguida de esta rela­ (3) Véase el pliego del ministro de S. M. ción baxo el núm. y. al general Andrcossi 4a tú de. agesto da 1808. (2) Véanse las cartas del ministro de S. M. baxo el núm. 10. EN LA IMPRENTA REAL.</t>
  </si>
  <si>
    <t>Andreas</t>
  </si>
  <si>
    <t>25 de diciembre de 1809</t>
  </si>
  <si>
    <t>Gaceta de Madrid n.º 360</t>
  </si>
  <si>
    <t>156</t>
  </si>
  <si>
    <t>as ,que había cu Servia, mandándoles de yMta han ido al .medio dia í ji^cfr la que sin. düacion ning-jna marchasen^ á- Bul­ visita de despedida ai.,, general Andreas», garia pon todas las. fuerzas de que^pudjesen que ha. , sido gobernador de la ciudad id ndisponer, y se juntasen en las inmediacio- ránte ía ocupación. Dicho, g…</t>
  </si>
  <si>
    <t>Andreosi</t>
  </si>
  <si>
    <t>general Andreosi, embaxador de Francia jado en perfeccionar el alojamiento en el cerca de la corte de Viena. convento. El corsario francés el Tilsit ha condu­ Dia ¡2. cido á Roscoff dos presas inglesas, val</t>
  </si>
  <si>
    <t>19 de mayo de 1809</t>
  </si>
  <si>
    <t>Gazeta del Gobierno n.º 29</t>
  </si>
  <si>
    <t>eses. Es­ tos acaban de perder dos corsarios, que ha apresado una cor­ beta inglesa que iba de Malta á Esmirna. ' Isas noticias de Viena traen que el General Andreosi, Erabaxador de Francia ^ había salido da aquella capiral, porque la Casa de Austria habla preferido la guerra á las proposiciones ventajosas que le hacia Bonapa…</t>
  </si>
  <si>
    <t>Andreossi</t>
  </si>
  <si>
    <t>ha ma importancia para el conde de Stadion, salido dé Estokolmo para Londres con plie­ nuestro ministro de Negocios extrangero?, gos de S. M. para el general Andreossi, embaxador da Francia, y para Mr, Niessen , embaxador AUSTRIA. de S. M. dinamarquesa. Las cartas de las fronteras de Turquía Vierta 11 de febrero. dicen que lo…</t>
  </si>
  <si>
    <t>obre tisfacción ; el Emperador Napoleón cree po­ este punto, y en Viena tampoco se ha di­ der aguardarla del Emperador Francisco, cho nada de ello al general Andreossi,' y tan cumplida , qual gustaría de daría , si ¿Quiere el Austria tranquilizarse en or­ un caso semejante hubiese sucedido en al­ den á las disposiciones de la…</t>
  </si>
  <si>
    <t>20 de mayo de 1809</t>
  </si>
  <si>
    <t>Gaceta de Madrid n.º 140</t>
  </si>
  <si>
    <t>ue zo en contestación á la promesa del gobier­ han tratado en Viena á su embaxador , y no francés de evacuar la Silesia, promesa puedo afirmar que el general Andreossi ha que ha cumplido puntualmente. Por últi­ sido tratado perfectamente por el Empera­ mo , bien habéis sabido las resultas de la dor mi amo hasta el último just…</t>
  </si>
  <si>
    <t>1 de junio de 1809</t>
  </si>
  <si>
    <t>Gaceta de Madrid n.º 152</t>
  </si>
  <si>
    <t>ieneses se han alegrado mucho de que el La patria está en inminente riesgo , y gobierno de la capital se haya conferido al es preciso veucer ó morir. general Andreossi, á quien estiman infini­ El Rei nos ha mostrado el peligro, y á to___ Apenas hai enfermos en el exército----- nosorros toca el desvanecerlo. El Austria ha gist…</t>
  </si>
  <si>
    <t>2 de junio de 1809</t>
  </si>
  <si>
    <t>Gaceta de Madrid n.º 153</t>
  </si>
  <si>
    <t>717</t>
  </si>
  <si>
    <t>os mas cia , á los comandantes de armas y á los ardientes partidarios de la guerra ; por lo demas á quienes corresponda, que hagan qual decían que el general Andreossi era executar puntualmente las disposiciones de quien dirigía las baterías. la presente orden. — El príncipe de Neuf— lia gustado sobremanera al público el chnt…</t>
  </si>
  <si>
    <t>echo varias promociones con Praga ri de agosto. motivo del día de su cumpleaños. El maris­ Después de la dimisión del archiduque cal Macdonald , y el general Andreossi, go­ Carlos, el general conde de Bellegarde ha bernador del-Austria, han sido condecora­ tomado el mando del exército austríaco; y dos con la gran cruz de la l…</t>
  </si>
  <si>
    <t>Andreossipor</t>
  </si>
  <si>
    <t>18 de mayo de 1809</t>
  </si>
  <si>
    <t>Gaceta de Madrid n.º 138</t>
  </si>
  <si>
    <t>án enregimen­ tados y adiestrados, y parte de ellos coa Pliego remitido el dia jG de agosto de vestuario; teneis abastecidas las plazas fuer­ t8o8 al general Andreossipor el señor tes; en fin, el indicio seguro para Mí de conde de Champagni. que os disponéis á la guerra es la compra Señor embaxador: S. M. el Emperador de caba…</t>
  </si>
  <si>
    <t>Andreosy</t>
  </si>
  <si>
    <t>31 de octubre de 1809</t>
  </si>
  <si>
    <t>Gazeta del Gobierno n.º 39 · 2.ª serie</t>
  </si>
  <si>
    <t>369</t>
  </si>
  <si>
    <t>aron y adornaron de flores, poniendo en sus se­ pulcros esta inscripción : mártires de lealtad por sil legitimo sobera­ no. — En 24 de junio mandó el general Andreosy en Viena ajus­ ticiar por faltas ligeras algunos infelices ciudadanos , y el 27 ex­ tendió una proclama llena de amenazas para aterrar sin duda á los habitantes…</t>
  </si>
  <si>
    <t>Andrés</t>
  </si>
  <si>
    <t>28 de mayo de 1809</t>
  </si>
  <si>
    <t>Gaceta de Madrid n.º 148 (suplemento)</t>
  </si>
  <si>
    <t>, matiz. 555 , cuyo valor pagado comienda, nútn. n, quarto principal, y en Zafra al al contado es de 18167 rs-, y al fiado 272514 : la 2.“, expresado D. Andrés. núm. 8, de la misma manzana , cuyo valor al contado Con fecha de 3 de abril próximo pasado se remitie­ es de 250800 rs., y al fiado 376200; y la 3.a sin nú­ ron desde…</t>
  </si>
  <si>
    <t>5^7 neboi* , sargento de granaderos del real extrangero. — Cortes (D. Antonio) alcalde de Corte. — Cosío (D. Diego) id. — Cout (D. Andrés) fusilero del núm. i , brigada irlandesa.ÍC “Daban (D. Juan) xefe de batallón del regimiento núm. ' i. — Dalesme (D. Pedro) capitán del núm. i , brigada irlan­ desa. — Delais ( D. David ) f</t>
  </si>
  <si>
    <t>ros. Magallon ( D. Joaquín ) , capitán de caba­ Zegers ( D. Francisco ) , oficial en el minis­ llería de líoea. terio secretaria de Estado. Mardaga ( D. Andrés ), brigadier de caba­ art. ir. Nuestros gran canciller y gran llos ligeros de la guardia real. tesorero de la Orden quedan encargados de Mata Linares (D. Benito), cons…</t>
  </si>
  <si>
    <t>Ang</t>
  </si>
  <si>
    <t>anuel Gil de la Torre. 4.000 D. Francisco de Santiago, Q. 12.000 la cofradía del Santo. Crista de Burgos. I 2.00Q D. Manuel Mateo Iglesias. C. 45.000 D. Ang#l Puyade. C. 25.OOO La cofradía de nuestra Señora de Aranzazu. 7.000 Él Sr. gobernador del Estado D&gt; Manuel Santa María. 400.000 D- Leonardo Alvarez. C 2.000 Xa archicofr…</t>
  </si>
  <si>
    <t>Angel</t>
  </si>
  <si>
    <t>San Anastasio ( conde) „ secretario de gabi­ rero de la Orden están encargados de la exenete. cucion del presente decreto. = Firmado es Saiuilv-nez (D. Angel), secretario de la YO EL'R. El. = Por S. M.- et gr?n canciller embaxadaen París. de la Orden duque del Campo de Alange” EN LA IMPRENTA REAL.</t>
  </si>
  <si>
    <t>osé Sixto) consejero de Estado. — S. Adrián (marques) primer maes­ tro de ceremonias. — S. Anastasio ( conde) secretario de gabi­ nete. — Santibanez (D. Angel) secretario de la embaxada en Pa­ rís. — Santa-María (D. Pedro) asistente al consejo de Estado. — Sergean (D. Bernardo) teniente del batallón núm. 1 infantería ligera. …</t>
  </si>
  <si>
    <t>Angela</t>
  </si>
  <si>
    <t>29 de abril de 1809</t>
  </si>
  <si>
    <t>Gaceta de Madrid n.º 119 (suplemento)</t>
  </si>
  <si>
    <t>29</t>
  </si>
  <si>
    <t>en que habita la representación de Ignacio Lupidana, bal Vicuña, se anunció por equivocación que quien qui­ que pertenece á la capellanía fundada por Doña Angela siera hacer postura i qualquiera de dichas fincas acu­ Perez de Mendía, de que es actual poseedor y patrono diera ante dicho señor intendente corregidor, pues de­ D.…</t>
  </si>
  <si>
    <t>Anguita, Antonio</t>
  </si>
  <si>
    <t>Antonio Anguita</t>
  </si>
  <si>
    <t>Gaceta de Madrid n.º 365</t>
  </si>
  <si>
    <t>ef Mcional el que una fuerza mui inferior á la Chacón capitán. de la compañía de mique- »que tienen los insurgentes en armas esté letes de Navarra; á D. Antonio Anguita w dictando leyes desde la capital del reiteniente, y á D. Cárlos Bucho y D. Fran­ » no.”.—Dicen que son pocas las fuerzas fran­ cisco María Díaz subtenientes …</t>
  </si>
  <si>
    <t>Angulo, Francisco</t>
  </si>
  <si>
    <t>Francisco Angulo</t>
  </si>
  <si>
    <t>iad vuestra situación, que todos nues­ Lugo, del consejo de Indias-, y director de tros esfuerzos se dirigen á rebalizar el amor los estudios reales; D. Francisco Angulo, á vuestro REI; y persuadios que vuestro director general de Minas, y ministro de ia mas grande ínteres es que nosotros os im­ junta de Comercio y Moneda; y …</t>
  </si>
  <si>
    <t>as nal , y cuyo espíritu ¡lustrado, superior á Amarillas , marques de Muzquiz , D. Es­ los antiguos hábitos, ha renunciado á ellos, tanislao de Lugo, D. Francisco Angulo, y hasta sns mismas afecciones por el bien D. Juan Antonio Llórente, D. Pedro Ra­ de su país: hemos querido rodearnos de las món de Echeverría, D. Josef Just…</t>
  </si>
  <si>
    <t>xto de Espinosa, Un pueblo que, incluyendo los depen­ D. Santiago Romero, al conde de S. Anas­ dientes de la antigua real servidumbre, con­ tasio y á D. Francisco Angulo. taba una población de 1500 vecinos, pue­ Uniendo por ahora las secciones de Guer­ de sin duda contar en breve tiempo hasta ra y Marina , hemos nombrado y no…</t>
  </si>
  <si>
    <t>Ano, Francisco</t>
  </si>
  <si>
    <t>Francisco Ano</t>
  </si>
  <si>
    <t>de Benavente : a los brigadieres D. Antonio Darcourt y D. José Imaz , co­ roneles de los regimientos de Zamora y Sevilla : á D. Francisco Ano, te­ niente coronel del regimiento de Lobera : á D. Antonio Margado , te­ niente del regimiento de infantería de Toledo : á D. Custodio Perez , ca­ pitán del regimiento de dragones de l…</t>
  </si>
  <si>
    <t>Ans</t>
  </si>
  <si>
    <t>8 de marzo de 1809</t>
  </si>
  <si>
    <t>Gaceta de Madrid n.º 67</t>
  </si>
  <si>
    <t>sentar á la Cámara el tratado no en vano habéis desenvainado vuestra es­ ajustado con ia España ; y añadió que qaaa- pada en estos dias de gloria. El general Ans~ do se tratase de deliberar sobre la propues­ truter ha muerto al lado vuestro; pero sil ta del lord Grosvenor, manifestaría su opi­ nombre vivirá eternamente en la …</t>
  </si>
  <si>
    <t>ANSEATICAS, CIUDADES</t>
  </si>
  <si>
    <t>CIUDADES ANSEATICAS</t>
  </si>
  <si>
    <t>19 de agosto de 1809</t>
  </si>
  <si>
    <t>Gaceta de Madrid n.º 232</t>
  </si>
  <si>
    <t>1033</t>
  </si>
  <si>
    <t>as. montañas saltzbur- bre el lugar de Tasstvitü,y por la constan­ guesas. cia con que ha defendido su posición des- pues de haberla tomador El señor mariscal CIUDADES ANSEATICAS. manifiesta igualmente su satisfacción ai 8t.u regimiento que ha defendido este mismo Hamburgo 2j dt julio. lugar, en donde ha relevado á las tropa*…</t>
  </si>
  <si>
    <t>Anselme</t>
  </si>
  <si>
    <t>9 de diciembre de 1809</t>
  </si>
  <si>
    <t>Gazeta del Gobierno n.º 56 · 2.ª serie</t>
  </si>
  <si>
    <t>53</t>
  </si>
  <si>
    <t>su fuerza y á la especie de hombres que ha perdido. Han sufrido principalmente las cabezas-de coluna y los oficiales. Entre los heridos se cuentan el coronel Anselme , ligeramente , los xefesde batallón Foussengui, mas. gravemente, St. Jean y Maurice. El xefe de batallón Borelly fué muerto.” “Las consecuencias que debían resu…</t>
  </si>
  <si>
    <t>Anson</t>
  </si>
  <si>
    <t>Gazeta del Gobierno n.º 16 · 2.ª serie (suplemento 2.º)</t>
  </si>
  <si>
    <t>143</t>
  </si>
  <si>
    <t>e, con el obgeto de atacar la altura ocu­ pada por el general Hill. Estas colunas fueron cargadas per dos cuer­ pos de dragones ingleses al mando del general Anson , dirigidos por el teniente genefaiiPayne, y sostenidos per la brigada de caballería do línea del general Taimé.- Padeció* machó uno de los dos regimien­ tos de dr…</t>
  </si>
  <si>
    <t>Gazeta del Gobierno n.º 22 · 2.ª serie</t>
  </si>
  <si>
    <t>193</t>
  </si>
  <si>
    <t>puestos avanzados del enemigo en Talavera. Su derecha fue envuelta por el regimien­ to l.o de húsares , y el 23 de dragones ligeros , mandados por el general Anson , baxo las órdenes del teniente general Payne , y por la división de infantería del mayor general Mackerrzie ; y faé rota por la vanguardia española , mandada por …</t>
  </si>
  <si>
    <t>Ansons</t>
  </si>
  <si>
    <t>142</t>
  </si>
  <si>
    <t>stas valientes y disciplinadas tropas , que se- compo­ nían de la brigada del general Mackenzie, la del coronel Donkéns, Ja brigada de caballería del general Ansons , y-sostenidos estos cuerpos por el generalPayne con los otros quatro regimientos de caballería situados en fá Hartura de Talavera y. el olivar , sé retiraron edu…</t>
  </si>
  <si>
    <t>Ansótegui, Andrés</t>
  </si>
  <si>
    <t>Andrés Ansótegui</t>
  </si>
  <si>
    <t>233</t>
  </si>
  <si>
    <t>, Canónigo de la colegial de Mora en la misma diócesi : para la canongía de la catedral de Jaén , vacan­ te por muerte de D. Luis José Cascallana , á D. Andrés Ansótegui, prebendado de la misma iglesia ; y para la ración que este</t>
  </si>
  <si>
    <t>Antbóia'Tóribio</t>
  </si>
  <si>
    <t>5 de enero de 1809</t>
  </si>
  <si>
    <t>Gaceta de Madrid n.º 5</t>
  </si>
  <si>
    <t>de AUlan:.i8o del concejo de Contreras: 540 del de Cubillo, de Losa: 68hde la cofradía-de.Anima?:8 con 28 del de D. Juan'Antonio Sinta Marí;í: &gt;8 de Doña Antbóia'Tóribio: ¿15 de ios bienes de S. Pablo : 147 del Rxcmo; Sr. duque de.Híjar: 13 del conde de Muriilo : 30 de los bienes dé S. Juan: 10 del de tos de la Vi­ toria; y 9…</t>
  </si>
  <si>
    <t>Anto</t>
  </si>
  <si>
    <t>. =:D. Pedro Herrera , un par de medias.es D. Félix Díaz , una camisa.—Doña Rosa de Castro, unos zapatos.-=L“. Leandro Riso , dos pares de botines.es:Doña Anto­ nia üomtogüez , un par de medias.mD. Pedro Ortiz, un poncho.= ). Silvestre Corzo , una camisa.— x. Josef Carmona , un pantalon.s=D. Josef Rodríguez , unos botines.O. …</t>
  </si>
  <si>
    <t>3 de agosto de 1809</t>
  </si>
  <si>
    <t>Gazeta del Gobierno n.º 1 · 2.ª serie</t>
  </si>
  <si>
    <t>as. Dios guarde á V. E. .muchos anos. Quartel General del campo de Talavera á 28 de julio de 1809. ■ Excmo. Sr. — Gregorio de la Cuesta. — Excmo. Sr. D. Anto­ nio Cúmel.” PARTE 2.w ”Excmo. Sr. — A las siete de ayer tarde participé á V. E. des­ de el campo de batalla que seguían con obstinación los ataque* del enemigo y nuestr…</t>
  </si>
  <si>
    <t>n saber que el Emperador ha hecho división ; á D. Joaquín Oms y D. Manuel los mayores y mas honoríficos elogios de la de Alonso oficiales primeros; á D. Anto­ conducta que he guardado en circunstan­ nio Xa reño y D. Eduardo Santiago Palo­ cias tan apuradas. Soi &amp;c. = Firmado — mares oficiales segundos; y por archivero Duboís …</t>
  </si>
  <si>
    <t>s y a heridos 3 pérdida total 2 oficiales, 3 hombres y 6 caballos. —, Id. regimien­ to de cazadores del General, 8 muertos , entre ellos" el teniente D. Anto­ nio Zalameda, 21 heridos, entre ellos el capitán teniente coronel D. Ig­ nacio Irigoyen y el teniente D. Juan Soto, contusos el teniente D. Antonio Rey 3 4 caballos mue…</t>
  </si>
  <si>
    <t>de ba­ tallón del regimiento núm. 2 infantería de línea. — Salcedo (D. Basilio) capellán de honor.5* “Tascher , coronel y edecán del rey.—Tellechea (D. Anto­ nio) xefe de esquadron.— Te ada (D. Ignacio) xefe de división en el ministerio de Indias. — Thibauz, tesorero de la corona. — Turdonnet (D. Agustin) comandante de esquad…</t>
  </si>
  <si>
    <t>Anto, Jorge</t>
  </si>
  <si>
    <t>Jorge Anto</t>
  </si>
  <si>
    <t>— álgebra, geometría y principios de geogra­ trtis del mismo colegio D. Aquilino Palo­ fía; el mismo D. Ignacio Romaza de geo­ mino, D. Josef Ortega, D. Jorge Anto­ metría descriptiva, y D. Alexandro Blan­ nio Madero, D. Francisco de Guevara, co de dibuxo. D. Mariano Vera y D. Nicolás Vieites; art. iii. Quedan nombrada* profe…</t>
  </si>
  <si>
    <t>Antolinez, Francisco</t>
  </si>
  <si>
    <t>Francisco Antolinez</t>
  </si>
  <si>
    <t>brera : á espitan de fragata el graduado de la misma clase D. Francisco Alvarez de Perea s á Tenientes de navio los de fragata D. Jcsef María Tagle , D. Francisco Antolinez , D. Joan Dámelo,-D. Josef García Santa' María , D. Luisv Na vane te , D. Manuel de Luengas : á Al-* féreces de navio los de fragata D. Josef de Tiscar, D…</t>
  </si>
  <si>
    <t>Antonia, Felipe</t>
  </si>
  <si>
    <t>Felipe Antonia</t>
  </si>
  <si>
    <t>8 de julio de 1809</t>
  </si>
  <si>
    <t>Gaceta de Madrid n.º 189</t>
  </si>
  <si>
    <t>arruyiaT su país. Se le prometía la con­ do no deber-omitir lo que dice el cnt'do quista de una parte de Italia y de Alemania; y nada vulgar político D. Felipe Antonia ya se estaban partiendo estos ricos despojos, de Alosa, caballero de la orden de Calay había nombrados intendentes para admi­ trava, del consejo de S. M. el Re…</t>
  </si>
  <si>
    <t>Antonio</t>
  </si>
  <si>
    <t>14® D. Antonio de! Olmo , 10 rls. para un par de medías. IX Juan Josef Rivero, so rls. para un par de medias* I). Josef Duran , io rls, para un par de medias. JDó'ña Vicenta Perez , 20 ris. para dos pares de</t>
  </si>
  <si>
    <t>1 de mayo de 1809</t>
  </si>
  <si>
    <t>Gazeta del Gobierno n.º 23</t>
  </si>
  <si>
    <t>» á ún de que -¡i J&gt;|ü¿d?n pasar al Danubio las, tropas francesa; que actual­ mente se hallan de guarnición en aquellas plazas*. Se dice que el Archi-duque Antonio está para salir de ¿ aquí, de un memento á otro, con. una. comisión muy im~ i portante , para. Petersbu/go.. ; ALE MANTA. Francfort 26 de marzo*. x ;EI Barón Deden…</t>
  </si>
  <si>
    <t>allón de Velez-Málaga, al mando de su coronel el bri­ gadier D. Josef Antonio Sauz , fué destinado á defender el vado del jardin, llamado del infante D. Antonio. El regimiento de Ecija al mando de su coronel el brigadier marqués de las Cuevas del Bezerro, se colocó sobre el puente Verde. El regimiento de Ciudad-Real al mando …</t>
  </si>
  <si>
    <t>48</t>
  </si>
  <si>
    <t>a derecha del rio , y empezaron á tirotear con una partida de la tercera compañía- de zapadores que se precipitó á buscarlas en el jardín del infante D. Antonio, y al instante después con las guerrillas y todo el regimiento de Velez-Malaga. A poco rato, rompió su fuego la artillería-y la ac­ ción empezó á travarse mas y mas e…</t>
  </si>
  <si>
    <t>ral da división Fiorelta ha reci­ dirección de bienes nacionales , con el suel­ bido esta mañana una carta del comandante do de 30© reales anuales. A D. Antonio austríaco enTrento, en la qual le da parte Bre’.nond para contador , coa igual sueldo. de que las tropas austríacas saldrán de aque­ A D. Viceote Chasco de Abaituá po…</t>
  </si>
  <si>
    <t>31 de agosto de 1809</t>
  </si>
  <si>
    <t>Gaceta de Madrid n.º 244</t>
  </si>
  <si>
    <t>e los extraños en las cosas mas necesarias Iturmcndi, á D. Miguel O juendo , á L&gt;on á la vida, y debe por consiguiente diri­ Juan Manuel de Gavina, á D. Antonio girse por una sola autoridad, que junte con Castillo Lsrin y 1 í) Josef Mcrin. las luces el interes personal al del est ido. art. n. Nombramos procurador del Ni debe …</t>
  </si>
  <si>
    <t>isos de su asistencia , y dé cuen­ medio-racionero de ella, para una canon— tas mensuales, visadas por el rector, al in­ gía en ia propia catedral: á D. Antonio tendente de la provincia para su exámen y Hervás Rodríguez, Racionero df la de Pa­ aprobación. tencia, para una canongía de la misma igier art. tv. El rector y el ecó…</t>
  </si>
  <si>
    <t>22 de septiembre de 1809</t>
  </si>
  <si>
    <t>Gaceta de Madrid n.º 266</t>
  </si>
  <si>
    <t>gada irlandesa.. ninguna especie de provisiones ni ganado: Por decretos de 19 del mismo S- .M. hq todo lo han consumido ó llevado. El núme­ nombrado» D. Antonio de laNuevay Taro tan considerable de guardias nacioaalec pia , teniente coronel del real cuerpq de ar­ que han acudido de y&gt; Jas. partes, ha deci­ tillería , coronel …</t>
  </si>
  <si>
    <t>gía al general in­ gles en: gefe, como asimismo mis ayudantes de campo los capitanes de los cuerpos de infantería de la Corona y batallón de Valencia,D Antonio Del­ gado y D. Manuel Santos, oficiales todos que han servido con valor y en particular, áestos dos oficiales, al de Ingenieros,el ayudante del Juez militar y á D. Ant…</t>
  </si>
  <si>
    <t>301</t>
  </si>
  <si>
    <t>sitio será, según se dice, de al­ Bendaña (marques), gentilhombre de &lt;j* guna duración. mara. Benavent (marque» ) , primer montero. ESPAÑA. Beraza ( D. Antonio), administrador geni* ral de correos. Madrid 2$ de octubre. Béu-za ( D. Fermín Ignacio). Bigaré, general y edecán del Reí. GRAN CASCILLERÍA ■ DE LA ORDEN REAL Bouligni…</t>
  </si>
  <si>
    <t>sargento de granaderos del re­ de Estado. gimiento Real Extranjero , infantería de Echeverría (D. Cipriano), intendente de línea. exército. Chabert (D. Antonio ), sargento t.° del re­ Escolari (D. Pedro), cabo i.° del regi­ gimiento núm. r.°, brig.da irlandesa. miento núm. iinfantería de línea. Chamboran ( D. Moimes ), capitá…</t>
  </si>
  <si>
    <t>imer médico de cámara. Soto-Mayor (duque), maestro de cere­ Pazos ( D. Domingo) , sargento del bata­ monias. llón de infantería ligera núm i.® Soto ( D. Antonio )„ ex-premonstratense. Paisan. gefe de batallón de los granaderos Strolz ,' general y primer esendero del ,Réi, de la guardia real. Strolz, gefe de batallón, comandan…</t>
  </si>
  <si>
    <t>Carlos IV, y aun en el tiempo que .permaneció en Madrid nuestro augusto soberano el Sr. D. Fernando VII; y después, de su ausencia por el Sr. infante D. Antonio y su Junta de Gobierno, para que estuviese absolutamente á las órdenes del general fran­ cés Junot, que valido de esta autoridad sobre las tropas españolas, y con el …</t>
  </si>
  <si>
    <t>xefe de división del ministerio de lo interior. — Cernebois, sargento de granaderos del regimiento real extrangero, in­ fantería de línea. — Chabert (D. Antonio) sargento primero del regimiento núm. i, brigada irlandesa. — Chamboran (D. Moimes) capitán del mismo regimiento. — Chelli ( D. Miguel ) xefe de •batallón. — Chevalli…</t>
  </si>
  <si>
    <t>5^7 neboi* , sargento de granaderos del real extrangero. — Cortes (D. Antonio) alcalde de Corte. — Cosío (D. Diego) id. — Cout (D. Andrés) fusilero del núm. i , brigada irlandesa.ÍC “Daban (D. Juan) xefe de batallón del regimiento núm. ' i. — Dalesme (D. Pedro) capit</t>
  </si>
  <si>
    <t>1. — Paisan , xefe de batallón de los granaderos- de la guardia real. — Pavía (D. Félix) teniente del, regimiento infantería de línea núm. 1.—Perez (D. Antonio) sargento pri­ mero del mismo. — Pereyra (D. Luis Marcelino) de la junta ci­ vil.—Piñuela (D. Sebastian) consejero de Estado. — Pitel, xefe de esquadron de los caballo…</t>
  </si>
  <si>
    <t>520 dia reaL — Rastigñae , escudero del rey. — Redondo (D. Antonio) subteniente del regimiento núm¡ 2 infantería de línea. — Rey (D. Jorge) consejero de Estado. — Riclier (D. Nicolás) teniente del re­ gimiento real extrangero. — Rivacoba (D. Alexandro) cap</t>
  </si>
  <si>
    <t>i5** bulleros de la Orden Real de España Méndez Pacheco (D. Agustín), canónigo Los Señores de Segovia. Alcedo ( D. Antonio ) , mariscal de campo. Mevolhon (D. Gaspar), comandante de: Amichd (D. Jorge), oficial del regimiento esquadron. Real Extrangero. Morí ( O. Carlos ) , teniente general. Balbueoa (D. Josef) ,</t>
  </si>
  <si>
    <t>ard (D. Luis) , capitán del regimien­ En virtud de orden del señor cónsul de to Real Extrangero. Francia en esta corte se cita á los acreedo­ Nneva ( D. Antonio la) , coronel de arti­ res del difunto D. Juan Remigio Sedeillan, llería. comerciante francés, para que personalmen­ O-Reilli (D. Juan ), gefe de batallón del te, ó p…</t>
  </si>
  <si>
    <t>21 de diciembre de 1809</t>
  </si>
  <si>
    <t>Gaceta de Madrid n.º 356</t>
  </si>
  <si>
    <t>de Daroca con el regimiento 14.0 de in­ Por real decreto de 13 del corriente fantería , algunas compañías escogí das del S. M.-ha venido en nombrar á D. Antonio 2.0 del Vístula, el 13.0 de coraceros, y Durivoire comandante de batallón del regi­ con tres cañones: en el mismo dia ahuyen­ miento de infantería Real Extrangero, co…</t>
  </si>
  <si>
    <t>Antonio, Francisco</t>
  </si>
  <si>
    <t>Francisco Antonio</t>
  </si>
  <si>
    <t>f ntería de línea. Doran (D. Francisco Xavier), consejera de Castiüo-Ljrroi ( D. Dunasn). Estado. Cervino(D. Domin¿o) , teniente general de Echague ( D. Francisco Antonio). ejército. Echegaraya ( D. Jacobn), capitán del re­ Cea ( D. Francisco Antonio), gefe de divi­ gimiento núm. 2.°, infantería de línea. sión del ministerio …</t>
  </si>
  <si>
    <t>nete. — Despres , teniente coronel y edecán. ~ Donna, general y gobernador del palacio.—Duran (D. Fran­ cisco Xavier) consejero de Estado.” “Echague (D. Francisco Antonio). -- Echegaraya (D.Jacobo ) capitán del regimiento núm. 2 , infantería de línea. — Echeverría ( D. Pedro Ramón) consejero de Estado. — Eche­ verría ( D. Cip…</t>
  </si>
  <si>
    <t>Antonio, Juan</t>
  </si>
  <si>
    <t>Juan Antonio</t>
  </si>
  <si>
    <t>ría de línea. Llano (D. Martin), maestro de ce retino— Gómez Tícrmosilla (D. Josef}, gefe d,$ di­ niqs., visión en el minLteiio de Policía. Llórente (D. Juan Antonio), consejero de Gómez de Terao ( D. Leonardo) , ministro ? Estado. en Holanda. Llovet ( D. Ramón), caniran del regimienGimes de Ajala (D. Pió), secretario de ,• t…</t>
  </si>
  <si>
    <t>2 de noviembre de 1809</t>
  </si>
  <si>
    <t>Gaceta de Madrid n.º 307</t>
  </si>
  <si>
    <t>de no que dan esperanzas de ser útiles á la Santander á D. Juan Manuel de Amechepatria , interesarse en sus 'adelantamientos, zura , presbítero, y á D. Juan Antonio de y atraerlos al servicio público. Llarena , presbítero ex- mercenario calzado; art. vn. Nuestros ministros de lo In­ y para una ración de la colegiata de Roa, t…</t>
  </si>
  <si>
    <t>enanza. — Lu­ go ( D. Estanislao) consejero de Estado. — Lucotte, general y primer mayordomo. — Llano (D. Martin) maestro de ceremojiias. — Llórente (D. Juan Antonio) consejero de Estado. — Llobet ( Di Ramón) capitán del regimiento núm. i , infantería de línea.” “Malherer (D. Cárlos) teniente coronel de infantería. — Ma-</t>
  </si>
  <si>
    <t>­ gimiento número i infantería de línea. — Mench (D. Luis) in­ tendente de Aragón. — Melito (conde) superintendente general de la casa real. — Melón (D. Juan Antonio) xefe de división en el ministerio de Hacienda.—Mena (D. Tomas) granadero del regimiento núm. 2 infantería de línea. — Mila de la Roca (D. Jo­ sé Ramón). — Miot …</t>
  </si>
  <si>
    <t>Antonio, Marco</t>
  </si>
  <si>
    <t>Marco Antonio</t>
  </si>
  <si>
    <t>y edecán. Fuentes (D. Jnlian). Colonna, escudero. Four (D. Juan), sargento i.° del Real Colonna (el conde), intendente de Soria. Extrangero. Colonna (D. Marco Antonio), montero. Gainza ( D. Luis). Corbalan ( D. Joaquín), coronel del regi­ Galdiano (D. Josef María), regente de la miento núm. i.° audiencia de Navarra. Cornide (…</t>
  </si>
  <si>
    <t>teniente coronel y escudero. — Clairmont ■Tonnerre , coronel y edecán. — Colonna , escudero. — Colonna -( el conde ) intendente de Soria. — Colonna (D. Marco Antonio) montero. — Corbalan (D. Joaquín) coronel del regimiento núme­ ro i. — Cornide (D. Antonio) mayor del regimiento núm.- 2. — Cortinez (D. Ignacio) capitán del reg…</t>
  </si>
  <si>
    <t>Ao, Ramón</t>
  </si>
  <si>
    <t>Ramón Ao</t>
  </si>
  <si>
    <t>7 de julio de 1809</t>
  </si>
  <si>
    <t>Gazeta del Gobierno n.º 43</t>
  </si>
  <si>
    <t>PDF p. 8</t>
  </si>
  <si>
    <t>árgós D. Pedro Lamperes , que no quiso retiraíse \ habiendo salido contuso en la cabeza cea varis» cuchillada* en .e! sombrero el coronel de Far? rio D. Ramón Ao:z ,d¿ Zuza, Todo lo que pongo en consideración de V. E. para mi inteligencia^ y que deter­ mine lo mas conveniente. =r Calzada de Cilatrava 29 de junio de 1809.» Exc…</t>
  </si>
  <si>
    <t>Aoevedo, Gaspar</t>
  </si>
  <si>
    <t>Gaspar Aoevedo</t>
  </si>
  <si>
    <t>Gazeta del Gobierno n.º 12</t>
  </si>
  <si>
    <t>de Molleda. El brigadier D. Remigie Ohara con los fusileros de su regimiento del Infante D. Carlos, el de Navia á las órdenes de su sargento.ma­ yor D. Gaspar Aoevedo y 8o cazadores de Riyadeva y Peñamellera al .mando de sus capitanes D. Ignacio de Ho­ yos y D. Hipólito de Hoyos, pasaron por la barca de Nar* ganes á colocarse…</t>
  </si>
  <si>
    <t>Aogüsta'y</t>
  </si>
  <si>
    <t>Gaceta de Madrid n.º 185</t>
  </si>
  <si>
    <t>44</t>
  </si>
  <si>
    <t>os Abruzzos no for­ el príncipe primado, y algunas horas des­ marán en adelante mas que una sola. pués SS. MM. el Rei y Reina de Saxonia, S. A. R. la princesa Aogüsta'y toda la fa­ IMPERIO FRANCES. milia real. De la comitiva dé SS* MM. el conde de Marcolini es el único que estí Parts 23 de junio. aquí , y mañana llegarán los …</t>
  </si>
  <si>
    <t>Aqúaroni, Nicolás</t>
  </si>
  <si>
    <t>Nicolás Aqúaroni</t>
  </si>
  <si>
    <t>68</t>
  </si>
  <si>
    <t>Nicolás Truxillo, escriba­ no del Real Tribunal del Consulado de la ciudad de Cá­ diz, penden autos de concurso de acreedores á la testamen­ taría de D. Nicolás Aqúaroni, del comercio de aquella ciu­ dad , en les quaks se ha dado providencia , con fecha de 2 de mayo ultimo, mandando citar a quantos se estimen con derecho á lo…</t>
  </si>
  <si>
    <t>Ara, Juan Antonio</t>
  </si>
  <si>
    <t>Juan Antonio Ara</t>
  </si>
  <si>
    <t>r , 4®. = D. Víctor Zavala , 200. zz D. Juan Hernández, 100. — D. Juan Antonio Gómez, Contador de .Ejército, 200. = D. Juan Josef Echevarría , 100. = D. Juan Antonio Ara ojo, 200. = D* Nicolás de Rivera, Adalid nistrador general de Alcavalas, 100. = D. Ramón Andrade, Con­ tador general de idem, 100.= D. Gerónimo Gos , Alcs^dé…</t>
  </si>
  <si>
    <t>Aragón, Francisco Revolledo de Palafox</t>
  </si>
  <si>
    <t>Francisco Revolledo de Palafox Aragón</t>
  </si>
  <si>
    <t>11 de enero de 1809</t>
  </si>
  <si>
    <t>Gazeta del Gobierno n.º 2</t>
  </si>
  <si>
    <t>SEÑORES VOCALES DE LA JUNTA Central Suprema Gubernativa del Reyno. Serenísimo Señor Presidente Exc. Sr* Vioe-Presidente, Marques de Astorga. Exc. Sr. D. Francisco Revolledo de Palafox Aragón.,.*, •••••*•»•••«• • { y Melci. ^»Exc. Sr. D. Lorenzo Calvo. Asturias... Exc. Sr, D. Gaspar Melchor de Jovellanos* ¿Exc.Sr. Marques de C…</t>
  </si>
  <si>
    <t>Aragón, Ramón Luares</t>
  </si>
  <si>
    <t>Ramón Luares Aragón</t>
  </si>
  <si>
    <t>. Benito Salgado , y el subteniente D. Mariano Felez 3 General, contusos el teniente D. José Huertes y el cadete D. Luis Vázquez , y muerto el cadete D. Ramón Luares3 Aragón , herido D. Vicente Jandenes 3 Betanzos , contuso el" ayudante D. Francisco Armero. Segundo estado que manifiesta los oficiales, tropa y caballos muertos…</t>
  </si>
  <si>
    <t>Aramat, Jilas</t>
  </si>
  <si>
    <t>Jilas Aramat</t>
  </si>
  <si>
    <t>28 de octubre de 1809</t>
  </si>
  <si>
    <t>Gaceta de Madrid n.º 302</t>
  </si>
  <si>
    <t>32</t>
  </si>
  <si>
    <t>id del art. «. Nuestros ministros de lo Inte- viernes 27 del corriente, núm. 301, pági­ ri#r, de la Justicia y de Hacienda quedan na 1317, donde dice D. Jilas Aramat debe leerse D. Mía* Aranza. encargados, cada uno en la parte que le to­ Pág. 13 10, donde dice D. Josef Garca , de la execucion del presente decreto. =r riga , a…</t>
  </si>
  <si>
    <t>Aranjuez, Celestino Gaen</t>
  </si>
  <si>
    <t>Celestino Gaen Aranjuez</t>
  </si>
  <si>
    <t>inguido hospital zar allí su residencia. del Rei en Búrgos, para una ración de la Debemos esperar que la estancia de S. M. santa iglesia de Toledo: á D. Celestino Gaen Aranjuez producirá mejoras de suma ribaldi de la Torre, capellán del oratorio importancia para la agricultura, ganadería del Caballero de Gracia, en Madrid, pa…</t>
  </si>
  <si>
    <t>Arascot, Felipe</t>
  </si>
  <si>
    <t>Felipe Arascot</t>
  </si>
  <si>
    <t>, á D; Cayetano Márquez, canónigo de la colegial del Sacromonte de Granada : para una canongía de la catedral de Teruel, vacante por fallecimiento de D. Felipe Arascot, á D.Joaquin Calbo Cervantes, Canónigo de la colegial de Mora en la misma diócesi : para la canongía de la catedral de Jaén , vacan­ te por muerte de D. Luis J…</t>
  </si>
  <si>
    <t>Arascot, Ramón</t>
  </si>
  <si>
    <t>Ramón Arascot</t>
  </si>
  <si>
    <t>—D Jo­ sé Olatte. — D. Francisco y D. Manuel del Valle. — Duque de Yiilahermosa.— D. Felipe Vallejo. — Marques de las Horma­ zas.— D. Manuel Soria. — D. Ramón Arascot.—D. Antonio Komanilios. — D. Francisco PritnauL — D. Francisco Romano. —► D. Antonio Cano Manuel. — Conae de Bondad Real. — Conde de Sta. Coloma..— Conde de Tal…</t>
  </si>
  <si>
    <t>Arata, José</t>
  </si>
  <si>
    <t>José Arata</t>
  </si>
  <si>
    <t>541</t>
  </si>
  <si>
    <t>, y sirviesen de pie á los cuerpos que debian formarse : á poca tiempo envió otros 350 hombres con sus respectivos oficiales, al mando del co­ ronel D. José Arata , y procuró, que hubiese siempre en la boca del rio de Sto. Domingo 3- lanchas cajoneras, para que no entrasen víveres en la plaza. — También, remitió 2 morteros , …</t>
  </si>
  <si>
    <t>Araujo, Manuel</t>
  </si>
  <si>
    <t>Manuel Araujo</t>
  </si>
  <si>
    <t>an Carrera, 20 rs. para dos pa* res- de media?. D. F/a ncisco Miranda , 15 rls. para una mochila. D. Francisco Ramírez, 60 rls. para quatro mochilas. D. Manuel Araujo, 10 rls. para un par de medias. P. Francisco Zurita , 10 rls. para Un par de medias, P. Manuel de Fuentes , 10 rls, para un par de medias. P. Juan Duran, .20 rl…</t>
  </si>
  <si>
    <t>Araujo, Manuel López</t>
  </si>
  <si>
    <t>Manuel López Araujo</t>
  </si>
  <si>
    <t>de Orieco. — Duque de Abrantes. — Conde de Cervellon. — D. Mauricio Pa­ rada. — D. Ambrosio Chocano. — Conde de Castroterreño. — Marques de Palacio.— D. Manuel López Araujo.— D. José Gar­ cía de León y Pizarro. — Marquesa viuda de Fontanar. — D. Ra­ món Beliran y Sarraiz.— Conde Solomero.— D. José Davila. — D. José Sta. María…</t>
  </si>
  <si>
    <t>Archi'canciller</t>
  </si>
  <si>
    <t>27 de febrero de 1809</t>
  </si>
  <si>
    <t>Gaceta de Madrid n.º 58</t>
  </si>
  <si>
    <t>58</t>
  </si>
  <si>
    <t>é fue conduci­ do á esta audiencia por un maestro y un ayudante de ceremonias ¿ introdu­ cido por S. E. el gran maestro, y presentado por S. A. S. el príncipe Archi'canciller del impetio. , El señor conde Garat, senador y presidente del Instituto, dirigió á “S. M.-él discurso siguiente-: Seííor ; Siempre que el Instituto de F…</t>
  </si>
  <si>
    <t>Archicancillér</t>
  </si>
  <si>
    <t>Gazeta del Gobierno n.º 22</t>
  </si>
  <si>
    <t>ecretarlos* Este decreto fué presentado el 28 de febrero último al Senado por los consejeros de Estado^ Condes Regnaud y Defermon, en cuya ocasión el Príncipe Archicancillér pro­ nunció un discurso, queriendo probar que el espíritu de las leyes no prohíbe absolutamente el gobierno á las mugeres: „ Nuestras leyes, dixo, no con…</t>
  </si>
  <si>
    <t>Ardines, Miguel</t>
  </si>
  <si>
    <t>Miguel Ardines</t>
  </si>
  <si>
    <t>533</t>
  </si>
  <si>
    <t>5.000 D. Antonio Olarte, sin estar matriculado. 2.000 D. José Llain. 10.000 D. José Martínez Barenque. 40.000 El subteniente D Nicolás Noriega. 1.000 D. Miguel Ardines. 10.000 D. Gerónimo Mateo de la Parra. 2.000 El capitán D. Manuel Horcasitas. 10.000</t>
  </si>
  <si>
    <t>Areyzaga</t>
  </si>
  <si>
    <t>19 de septiembre de 1809</t>
  </si>
  <si>
    <t>Gazeta del Gobierno n.º 21 · 2.ª serie</t>
  </si>
  <si>
    <t>, y llegaron á la villa de la Almolda, distante 12 leguas de Zaragoza, donde cogieron 150 cabices de cebada que habían acopiado allí los enemigos. El general Areyzaga recibió ayer la noticia, de que 60 fran­ ceses que se dirigían a Jaca por el valle de Roncal , fueron ataca­ dos por los róneaíeses , los quales mataron 8' , é-…</t>
  </si>
  <si>
    <t>Areyzaga, Juan Carlos</t>
  </si>
  <si>
    <t>Juan Carlos Areyzaga</t>
  </si>
  <si>
    <t>14 de noviembre de 1809</t>
  </si>
  <si>
    <t>Gazeta del Gobierno n.º 45 · 2.ª serie</t>
  </si>
  <si>
    <t>tado singularmente en esta acción. Dios guarde á V. E. muchos años. — Tembleque 9 de no­ viembre de 1809. — Excmo. Sr. — Manuel Freyre. — Exorno. Sr. D. Juan Carlos Areyzaga.” Lo que se anuncia al público para su satisfacción ínterin se reciben los detalles que ya se han pedido. En el diario mercantil de Cádiz, se ha insertad…</t>
  </si>
  <si>
    <t>Argel, Fran</t>
  </si>
  <si>
    <t>Fran Argel</t>
  </si>
  <si>
    <t>mo los pasos que he dado duran­ D. Juan Bautista Sauvinety D. Juan Agus­ te los últimos dias de mi permanencia en tín Ezterripa oficíales primeros; á D. Fran­ Argel inclinaron á la regencia á disposicio­ cisco Zegers oficial segundoy á D. An­ nes mas amigables, S. M. ha hecho revocar tonio de Santiago Palomares archivero. las…</t>
  </si>
  <si>
    <t>Arias, Felipe</t>
  </si>
  <si>
    <t>Felipe Arias</t>
  </si>
  <si>
    <t>Gurrea.— Marques de Dosaguas.— Marques de Sta. Coloma.— D. Ma­ nuel Ulzurrun de Asan za, Sr. de Conduero. — D. Ventura Elorduy. — D. Felipe Porte. — D. Felipe Arias. — D. Juan Casaus. — D. José Ponte.— D. Mariano Olaso.—D. Juan Mallada. — D. Mi­ guel Porte. — D. Jacinto Garisa. — D. Bruno Huici. — D. Manuel Larruga.— D. Ventu…</t>
  </si>
  <si>
    <t>Arias, Santiago</t>
  </si>
  <si>
    <t>Santiago Arias</t>
  </si>
  <si>
    <t>6 de abril de 1809</t>
  </si>
  <si>
    <t>Gaceta de Madrid n.º 96</t>
  </si>
  <si>
    <t>an­ vincia , segnn el estado de indigencia y de tander 2 y de marzo de 1809. =s El condo mayores ó menores subsistencias en que se de Montarco. = Sr. D. Santiago Arias.” hallen y califiquen, cortando los abusos, „ Y la traslado á V. para que inme­ estilos y costumbres perjudiciales, y los diatamente » y con preferencia á todo…</t>
  </si>
  <si>
    <t>Aristi, Juan Antonio</t>
  </si>
  <si>
    <t>Juan Antonio Aristi</t>
  </si>
  <si>
    <t>. Juan Marcos Rada. 25.000 D. Dionisio Cicero Lombrana. 2.000 D. Cecilio Armiño Martínez. 7.000 D. Diego Movellan. 16.000 D. José Bernardo Baz 10.000 D. Juan Antonio Aristi. 2.000 D. Joaquín de Echarte. 15.000 D. José María Landa. 4.000 D. Domingo Llano Torre. 2.000 D. Ignacio Suarez. 9.000 El subteniente D. Gabriel Manuel It…</t>
  </si>
  <si>
    <t>Armand</t>
  </si>
  <si>
    <t>atrincheramientos en los pantos prin­ parte, es mui singular por ia elegancia y el cipales por donde pueda intentar el enemi­ 2seo que hai en él. El coronel Armand , gego pasar el Morawa: el desfiladero de Ba— fé del 22.0 regimiento de infantería de lí­ kardan y el bosque inmediato se han forti­ nea, es quien tiene el mando d…</t>
  </si>
  <si>
    <t>Arme, Francisco</t>
  </si>
  <si>
    <t>Francisco Arme</t>
  </si>
  <si>
    <t>: al brigadier conde de Friegue y á D. Benito Sierra', coronel y teniente de granaderos provin­ ciales dé Galicia : á D. José Quiroga y Quindos , y á D. Francisco Arme­ ro , coronel y ayudante ¿1 provincial de Betanzos ; y á D. Fernando Váz­ quez y D. José María de Castro, teniente coronel y sargento mayor del provincial de O…</t>
  </si>
  <si>
    <t>Armen, Froilan</t>
  </si>
  <si>
    <t>Froilan Armen</t>
  </si>
  <si>
    <t>246</t>
  </si>
  <si>
    <t>io deD. Andrés Lo­ renzo Remate , para el dia 21 del presente , y sus 11 horas de la mañana, las casas y heredades siguientes: una casa en qüe habita D. Froilan Armen- / tía , sita la primera vecindad de la calle de la Gorrería dé dicha ciudad’ ,¿per­ teneciente á la obra pia de Doña Marina López de Escoriaza, como igual­ men…</t>
  </si>
  <si>
    <t>Armenteros, Josef</t>
  </si>
  <si>
    <t>Josef Armenteros</t>
  </si>
  <si>
    <t>De D. Josef Ricardo Ofarriü: = ciento ochenta caxas de azúcar blanco con 2890 arrobas ; y ciento veinte caxas de azúcar blanco con 2890 arrobas.zzDe D. Josef Armenteros:=treinta ca­ xas de azúcar blanco con 490 arrobas y 5 libras; y 20 ca­ xas de quebrado con 328 arrobas y 3 libras.r= De D. Josefa Penal ver: —sesenta caxas de…</t>
  </si>
  <si>
    <t>Armero, Francisco</t>
  </si>
  <si>
    <t>Francisco Armero</t>
  </si>
  <si>
    <t>José Huertes y el cadete D. Luis Vázquez , y muerto el cadete D. Ramón Luares3 Aragón , herido D. Vicente Jandenes 3 Betanzos , contuso el" ayudante D. Francisco Armero. Segundo estado que manifiesta los oficiales, tropa y caballos muertos, heridos y contusos que han tenido los regimientos de caballería del expresa­ do exárci…</t>
  </si>
  <si>
    <t>Arms</t>
  </si>
  <si>
    <t>14 de abril de 1809</t>
  </si>
  <si>
    <t>Gaceta de Madrid n.º 104</t>
  </si>
  <si>
    <t>openhague, parece que la Inglaterra se sa. i.a Los buques desembargados se pon­ ve amenazada de grandes turbulencias in­ drán á disposición del señor general Arms— teriores. trong , ministro plenipotenciario de los Es­ Se ha esparcido la voz de que las tropas tados-Unidos , quien deberá salir por| ga­ rusas han marchado ya co…</t>
  </si>
  <si>
    <t>Armstrong</t>
  </si>
  <si>
    <t>1 de agosto de 1809</t>
  </si>
  <si>
    <t>Gazeta del Gobierno n.º 50</t>
  </si>
  <si>
    <t>764</t>
  </si>
  <si>
    <t>ra vez Memingen en riesgo de caer en. poder de los ^insurgentes.* ' •,nru,! rr;, /iliona de. junio*. ' &gt;$ l ;Xa^tic^t4&gt; .dq* Holanda. aseguran que eL General Armstrong , Ministro de íós' Estados-Énidos de América no ha</t>
  </si>
  <si>
    <t>195</t>
  </si>
  <si>
    <t>GOBIERNO DEL JUEVES 21 DE SETIEMBRE DE 1809. ESTADOS-UNIDOS DE AMERICA. Washington 27 de junio. La semana pasada recibió el gobier­ no despachos del general Armstrong, ministro de los Estados-Uni­ dos en Paris, con la noticia de que el levantamiento parcial del embargo ha inspirado á Boaaparte el mayor odio contra M. Madison …</t>
  </si>
  <si>
    <t>342</t>
  </si>
  <si>
    <t>ores. La co­ dicia mercantil no hubiera respetado nada, Carta del ministro de Relaciones exterio­ y el restablecimiento de. los usos bárbaros res. al general Armstrong , ministro ple- é inhumanos hubieia sido obra deí gobier­ nipctenciario de, los Estados-Unidos en no de una nación ilustrada , que ha perfec­ Francia. cionado …</t>
  </si>
  <si>
    <t>Arnedo, Josef</t>
  </si>
  <si>
    <t>Josef Arnedo</t>
  </si>
  <si>
    <t>visitar la real biblioteca: exXninó S. M. to­ cero á D. Tomas Cruz; por quarto á Don do el edificio, deteniéndose particularmente Podro Sepúlveda , á D. Josef Arnedo , á en las piezas del monetario, salas de ma­ D. Josef Muñoz, á D. Josef Coronal, á Don nuscritos y antigüedades, en las de autores Rafael Piañiol, á D. Remigio …</t>
  </si>
  <si>
    <t>Arnedo, Josef Morales</t>
  </si>
  <si>
    <t>Josef Morales Arnedo</t>
  </si>
  <si>
    <t>ez Hui- Jenner. D. Francisco Balmis logró á fuerza ci ; y para la fiscalía del crimen de este tri­ de constancia, de persuasiones y de racio­ bunal á D. Josef Morales Arnedo: asimis­ cinios convencer á los médicos ingleses, mo confirió S. M. el corregimiento de la quienes se desengañaron de su error y pre­ ciudad de Segovia á…</t>
  </si>
  <si>
    <t>Arnim</t>
  </si>
  <si>
    <t>Gaceta de Madrid n.º 326</t>
  </si>
  <si>
    <t>1427</t>
  </si>
  <si>
    <t>adelante ha­ fuera de la circulación, y serán reemplazadas brá en esta capital una universidad. por otro papel-moneda de nueva creación, El teniente general Arnim. ha fallecido cuyo crédito se sostendrá probablemente, el 26 do setiembre anterior en su* hacien­ pues tendrá por hipoteca los bienes, tierras das de Fredenwald á l…</t>
  </si>
  <si>
    <t>Arnistrong</t>
  </si>
  <si>
    <t>enipotenciario de namarqueses , ha dado muchas y mui acti­ S. M. católica cerca de la sublime Puerta. vas disposiciones para su defensa. Por S. E. el general Arnistrong, minis­ Los suecos hacen también nuevos pre­ tro plenipotenciario de los Estados-Unidos, parativos para defenderse en las fronteras Mr. Schat, ministro plenip…</t>
  </si>
  <si>
    <t>Arocena, Gerónimo</t>
  </si>
  <si>
    <t>Gerónimo Arocena</t>
  </si>
  <si>
    <t>ensión , conduc­ nizar á sus súbditos de las coatribuciones, ción y custodia de los reos. y otras cargas y pérdidas ocasionadas por la Los expresados D. Gerónimo Arocena guerra. y Antonio Juaristi prendieron anteayer en Y la otra mitad á beneficio nuestro, y el caserío de Loitia de Anguiozar, jurisdic­ se invertirán en indemn…</t>
  </si>
  <si>
    <t>Arrechea, Fetiro Josef</t>
  </si>
  <si>
    <t>Fetiro Josef Arrechea</t>
  </si>
  <si>
    <t>z, i® pesos fuertes. = El Fiscal D. Josef Yanez , 200.zz El Marqués de Ayzinena , s®. =±: D. .Gregorio Urruela , 4®. zz D, Josef de Urruelcin, 1®- == D. Fetiro Josef Arrechea , 1®. = D. Manuel Francisco Arreqei, 1®. = D. Josef Manuel Arrechta , io¿&gt;. =5 D. Pedro# Martínez Delgado , 100. zz D. Josef Isasi , i®*=D. Josef Munill…</t>
  </si>
  <si>
    <t>Arrechta, Josef Manuel</t>
  </si>
  <si>
    <t>Josef Manuel Arrechta</t>
  </si>
  <si>
    <t>de Ayzinena , s®. =±: D. .Gregorio Urruela , 4®. zz D, Josef de Urruelcin, 1®- == D. Fetiro Josef Arrechea , 1®. = D. Manuel Francisco Arreqei, 1®. = D. Josef Manuel Arrechta , io¿&gt;. =5 D. Pedro# Martínez Delgado , 100. zz D. Josef Isasi , i®*=D. Josef Munilla , 500. zz D. Sebastian Melón , 500. = D. Loren­ zo Moreno, 4®. = D…</t>
  </si>
  <si>
    <t>Arreqei, Manuel Francisco</t>
  </si>
  <si>
    <t>Manuel Francisco Arreqei</t>
  </si>
  <si>
    <t>D. Josef Yanez , 200.zz El Marqués de Ayzinena , s®. =±: D. .Gregorio Urruela , 4®. zz D, Josef de Urruelcin, 1®- == D. Fetiro Josef Arrechea , 1®. = D. Manuel Francisco Arreqei, 1®. = D. Josef Manuel Arrechta , io¿&gt;. =5 D. Pedro# Martínez Delgado , 100. zz D. Josef Isasi , i®*=D. Josef Munilla , 500. zz D. Sebastian Melón , …</t>
  </si>
  <si>
    <t>Arribas, Pablo</t>
  </si>
  <si>
    <t>Pablo Arribas</t>
  </si>
  <si>
    <t>Gaceta de Madrid n.º 265</t>
  </si>
  <si>
    <t>on, D. Ma­ división en el ministerio de Relaciones ex­ nuel Romero, marques Caballero, conde teriores , al cabo de una enfermedad aguda. de Cabarrus, D. Pablo Arribas, D. Tomas Vivió una temporada mui larga en Bucha- de Moría y conde de Montarco. rest, teniendo á su cargo la educación y en­ art. 11. Nuestro gran canciller de …</t>
  </si>
  <si>
    <t>Arriende</t>
  </si>
  <si>
    <t>10 de agosto de 1809</t>
  </si>
  <si>
    <t>Gazeta del Gobierno n.º 4 · 2.ª serie</t>
  </si>
  <si>
    <t>rimer correo , y ántes ha enviado á aquella ciudad un sugeto que tome las disposiciones nece­ sarias para su vuelta. Un militar que ha servido con el general Arriende , ha dado no­ ticias de. este oficial de quien hoy se habla tanto ,. por haber pasa­ do de las fronteras de Bohemia á la cabeza de una división austría­ ca , y …</t>
  </si>
  <si>
    <t>ar la importante fortaleza de Gratz, que y 14 entró en Dresde un cuerpo de tropas segnn el art. 9.0 del armisticio debía que­ austríacas al mando del general Arriende. dar «n poder de los franceses el día 16, si Nota. » Obsérvese bien -este hecho (4). (O El compilador de estas noticias adolece esperar; y por mas señas que los…</t>
  </si>
  <si>
    <t>Arrighi</t>
  </si>
  <si>
    <t>13 de mayo de 1809</t>
  </si>
  <si>
    <t>Gaceta de Madrid n.º 133</t>
  </si>
  <si>
    <t>Caustadt el mariscal Duroc, duque sepultados en España. de Friul; el mariscal Bessieres , duque de ‘ El dia 11 ha corrido la voz en Viena Istria; él general Arrighi, duque de Paque los exótcitos rusos habían formado una dua; el mariscal Lannes , duque de Mora— línea en toda la extensión de las fronteras tebello; el general Sa…</t>
  </si>
  <si>
    <t>491</t>
  </si>
  <si>
    <t>reveni­ dos caballos áe posta para el servicio del Emperadory ea todas partes hay cambien carruage» de diligencia preparados.. 1^1 Duque de P&amp;dua (el General Arrighi) comandante de ¡os dragones de la guardia imperial ha llegado aquí. Se espera1, la próxima llegada de su: cuerpo,. París&gt; 19; de abrtlL Eli 13; del corriente par…</t>
  </si>
  <si>
    <t>Arrióla, Julián</t>
  </si>
  <si>
    <t>Julián Arrióla</t>
  </si>
  <si>
    <t>a, que goza su cabildo como pertenecientes á varias pías fundaciones , al con­ tado 9163, y 13744 al fiado: varias heredades en el de Iá fundación de D. Julián Arrióla, al contado 1869, y 2803 y medio al fiado: varias tier­ ras en el de la obra pia de huérfanas del lugar de Elguea, al contado 748, y it22 al fiado: ídem otras …</t>
  </si>
  <si>
    <t>Arroyo, Camilo</t>
  </si>
  <si>
    <t>Camilo Arroyo</t>
  </si>
  <si>
    <t>no ^correspondan á divi—¡ tonio Melón y D. Andrés Benito Quintana sion determinada. r gefes de división; á JD, Juan Josef de Az— • El oficial primero D. Camilo Arroyo piroz , D. Cristóbal . Fernandez Cuesca, todo lo concerniente á la organización ’y X). Serapio Saviñac, D. Juan Santa María, gobierno de los regimientos que se …</t>
  </si>
  <si>
    <t>Arsion, Salvador</t>
  </si>
  <si>
    <t>Salvador Arsion</t>
  </si>
  <si>
    <t>mer escuadrón, al capitán D. Josef Maestre v al capitán graduado y ayudan­ te del mismo cuerpo D. Ignacio Paino , y al espitan del primero de húsares D. Salvador Arsion. El mismo General elegía á toda su tropa , por quanto la ve llena de eotu~ siascio , y con deseos de Pegar á tas minos con ei enemigo.9* S. M. ha quedado muy …</t>
  </si>
  <si>
    <t>ÁrtiOrós, Francisco</t>
  </si>
  <si>
    <t>Francisco ÁrtiOrós</t>
  </si>
  <si>
    <t>26 de abril de 1809</t>
  </si>
  <si>
    <t>Gaceta de Madrid n.º 116</t>
  </si>
  <si>
    <t>rid 26de abrit. los exércitos de uña nación que estuviese en El comisario regio éo la provincia de guerra con U Francia» serán considerados Guipúzcoa D. Francisco ÁrtiOrós da parte como personas que han tomado las armas á S. M. de qne habiéndose presentado los contra Nos: los que fueren cogidos en las ingleses en aquella cost…</t>
  </si>
  <si>
    <t>Arturo</t>
  </si>
  <si>
    <t>13 de enero de 1809</t>
  </si>
  <si>
    <t>Gaceta de Madrid n.º 13</t>
  </si>
  <si>
    <t>e vino. Este último buque se encontró con el brick ingles la Marta x y le apresó/ En Derptfort se ha construido una corbeta de 18 cañones, llamada el Príncipe Arturo, cuyo camarote principal está ricamente adornado: todos los cañones son de cobre. Muchos curiosos van á ver esta corbeta , la qual, provista de todos los aparejo…</t>
  </si>
  <si>
    <t>13 de abril de 1809</t>
  </si>
  <si>
    <t>Ascough</t>
  </si>
  <si>
    <t>tras­ Las cartas de Cá~iz, de cuya autenti- lucido nada del contenido de sus pliegos. sidad no salimos por fiadores, refieren que En el mismo día el capitán Ascough, (O Estas máquinas, llamadas justamente aguarda con impaciencia la señal del combate, infernales, han hecho mucho daño ; sin embargo, que será la de la victoria. …</t>
  </si>
  <si>
    <t>Asken</t>
  </si>
  <si>
    <t>23 de octubre de 1809</t>
  </si>
  <si>
    <t>Gaceta de Madrid n.º 297</t>
  </si>
  <si>
    <t>el mar, desembarca­ llas. Ademas hai otras quatro baterías llama­ ron ayer en Chatatn con sus oficiales, el das Guilford, To-umshtnd, Armfiert y Ar- capitán Asken y el capitán Hables. Las chelifft i de manera que después de Malta compañías de guardias de Coldstreara lle­ y Gibraltar, Douvres será la plaza mas garon anteayer á…</t>
  </si>
  <si>
    <t>Asker-kan</t>
  </si>
  <si>
    <t>1 de enero de 1809</t>
  </si>
  <si>
    <t>Gaceta de Madrid n.º 1</t>
  </si>
  <si>
    <t>entre la Francia, la Puerta y la Persia. El Soberano de este último imperio se ha propuesto tener siempre en París un ministro plenipotenciario; y el príncipe Asker-kan, que en el dia desempeña este encargo en la corte de Francia, no regresará á la Persia hasta que se le haya nombrado sucesor. &gt;. Cuerea de un año á esta parte…</t>
  </si>
  <si>
    <t>Asociaos</t>
  </si>
  <si>
    <t>uestra ins­ cibido. trucción , con vuestras virtudes, y con Dado en el palacio del gobierno de Bár­ vuestro influxo. gos á.2T de febrero de 1809 = El general Asociaos conmigo para que vuestras de división gobernador de Castilla la vieja = ovejas sean fel ces. Thiebault. = Por S. E. = Dí Vaucoret, se­ Instruidlas en sus intere…</t>
  </si>
  <si>
    <t>Aspiróz, Juan Joséfde</t>
  </si>
  <si>
    <t>Juan Joséfde Aspiróz</t>
  </si>
  <si>
    <t>232</t>
  </si>
  <si>
    <t>ista Destouel, D. Francisco Laborda y Perez , D. Francisco Perez del Rivero, D. Juan Antonio Melón y D. Andrés Benito Quintana xefes de di­ visión; á D. Juan Joséfde Aspiróz, D. Cristóbal Fernandez'Cuesta, D. Serapio Saviñac , D. Juan Santa-María , D. Josef Antonio Ibarrela., D. Vicente Perez de Hervás, D. Manuel Celestino Ca…</t>
  </si>
  <si>
    <t>Astuti, Nicolás</t>
  </si>
  <si>
    <t>Nicolás Astuti</t>
  </si>
  <si>
    <t>Gaceta de Madrid n.º 272</t>
  </si>
  <si>
    <t>s ca­ porque de esta manera cuenta por seguro bos primeros de la compañía de vélites Don su triunfo. Agrégase á esto el que otros suGenaro Jaccariní, D. Nicolás Astuti, Don getos que se ven excluidos del gobierno, y Rafael Bustamante , y á los vélites D. Fran­ que quisieran tener en él influencia, no ce­ cisco Prina , D. Leon…</t>
  </si>
  <si>
    <t>Ataque</t>
  </si>
  <si>
    <t>23 de marzo de 1809</t>
  </si>
  <si>
    <t>Gaceta de Madrid n.º 82</t>
  </si>
  <si>
    <t>1811</t>
  </si>
  <si>
    <t>entro. Se han ensanchado para , Mosca ti, Parad ¡si., Cortabili y Guic- las comunicaciones por derecha é izquierda. ciardi, const jeros de estado. El Príncipe Ataque de la izquierda. Se ha cubier­ virei hará la abertura del senado el día i-° to con fagina la escarpa interior y las tro­ de abril próximo. neras de iá batería de…</t>
  </si>
  <si>
    <t>Ataque, Juan Josef María</t>
  </si>
  <si>
    <t>Juan Josef María Ataque</t>
  </si>
  <si>
    <t>nti­ Motrico el dia 7 de este mes 4 buques nuado en la obra de los reductos. franceses, acometidos del enemigo, el al­ Dia 14. calde de aquella villa D. Juan Josef María Ataque de la derecha. Se ha perfeccio­ de Ácilooa tomó las providencias flka$ 'efi­ nado una parte de la tercera paralela , y se caces para proteger su entra…</t>
  </si>
  <si>
    <t>Ateza, Ventura</t>
  </si>
  <si>
    <t>Ventura Ateza</t>
  </si>
  <si>
    <t>. Juan Casaus. — D. José Ponte.— D. Mariano Olaso.—D. Juan Mallada. — D. Mi­ guel Porte. — D. Jacinto Garisa. — D. Bruno Huici. — D. Manuel Larruga.— D. Ventura Ateza. — D. José Soler.— D. Miguel Echinique. — D. Antonio Lajíeña. — D. Baltasar Barragan. — D. Joa­ quín Palacios.— D. Baltasar Val. — D. Mariano Ramírez.-- D. Lo­ …</t>
  </si>
  <si>
    <t>Atr, Francisco</t>
  </si>
  <si>
    <t>Francisco Atr</t>
  </si>
  <si>
    <t>20 de junio de 1809</t>
  </si>
  <si>
    <t>Gaceta de Madrid n.º 171</t>
  </si>
  <si>
    <t>789</t>
  </si>
  <si>
    <t>,789 &lt;Jac¡a de atacar al general Noirot, de San­ estas provincias D. Francisco Atr.orós, al tander, una multitud de insurgentes ba­ mismo tiempo que obraba como miiitar, jeados de las montañas de Asturias, que se auxiliando al general .Abril en todas las dis­ tubün reunid</t>
  </si>
  <si>
    <t>Augasto</t>
  </si>
  <si>
    <t>. Espert, coronel y mayordomo del Reí. Chevallier, gefe de batallón de la guardia Espinosa ( D. Manuel Sixto ), consejero de real. Estado. Choisseul (D. Augasto) , comandante de Estala (D. Pedro) , canónigo de Toledo. esquadron. Franceschideloue, general y edecán del Chuo ( D. Domingo ) , fusilero del regimien­ Reí. to núm. i…</t>
  </si>
  <si>
    <t>Augcreau</t>
  </si>
  <si>
    <t>4 de noviembre de 1809</t>
  </si>
  <si>
    <t>Gazeta del Gobierno n.º 41 · 2.ª serie</t>
  </si>
  <si>
    <t>lvos de Salamanca- 4 de octubre de1.809. —- júiian Sánchez.” ■ ' El ataque que los franceses; dieron,el- 19 de. setiembre á_Ge.rena,fué por orden del mariscal Augcreau. De resultas de- él entraron en Ptrpiñan el dia 23 doscientos carros de heridos , y se esperaban muchos :nas. De Lérida escriben con fecha del 15 de octubre,, …</t>
  </si>
  <si>
    <t>Augercau</t>
  </si>
  <si>
    <t>4.oo hombres de tropas francesas, y tal vez con ellos el General Augercau, salí inmediatamente de Meya para ver si podía cogerlos á todos, y en efec­ to habría conseguido el fin de mi empresa, á no haber sido el que todo el dia tuvimos que sufrir una lluvia tan f</t>
  </si>
  <si>
    <t>Augereau</t>
  </si>
  <si>
    <t>8 de enero de 1809</t>
  </si>
  <si>
    <t>Gaceta de Madrid n.º 8</t>
  </si>
  <si>
    <t>del de Ratzeburgo, 83461 fran­ cos.: el mariscal N'ei, duque de Elcningén, el bailiage de Lauenburgo y otra parte del de Ratzeburgo,83031 francos: el mariscal Augereau , duque de Castillón, los bailiages &lt;Je Wisehhafert y Neubaus, en el pais de Brema,' 80Ó33 francos: el.mariscal Masená , duque ue Rivolf, una parte del bailia¿…</t>
  </si>
  <si>
    <t>30 de junio de 1809</t>
  </si>
  <si>
    <t>Gaceta de Madrid n.º 181</t>
  </si>
  <si>
    <t>genera! en Augsburgo. luchar contra la doble escasez de obras na­ S. E. el señor duque de Castiglione (el cionales y extrangeras. Por grande que sea mariscal Augereau) sale hoi para mandar el daño que de aquí nos resulte, debemos el exército de Cataluña. sin embargo convidar á los. libreros de las provincias británicas á que …</t>
  </si>
  <si>
    <t>17 de agosto de 1809</t>
  </si>
  <si>
    <t>Gazeta del Gobierno n.º 7 · 2.ª serie</t>
  </si>
  <si>
    <t>oso empe­ llo con que han jurado sacrificarse por su libertad y su ho­ nor, ninguna hemos visto comparable á la que acaba de esparcir por Cataluña el mariscal Augereau , enviado por Bonaparte re­ cientemente á tomar el mando de sus tropas en aquella fidelísima provincia. Expresiones tan baxas y rastreras, ideas tan miserables…</t>
  </si>
  <si>
    <t>11 de noviembre de 1809</t>
  </si>
  <si>
    <t>Gazeta del Gobierno n.º 44 · 2.ª serie</t>
  </si>
  <si>
    <t>413</t>
  </si>
  <si>
    <t>o partió el 17 de Praga, hacia el ejér­ cito austríaco» (Journal du Soir 8 de octubre). NOTICIAS DE ESPAÑA» Manresa 25 dé octubre.. Aseg.ur.an que el general Augereau pidió se le excusase de pasar á: París , y se le permitiese para vindicar su honor , ir á dar el último asalto á Gerona , pues se</t>
  </si>
  <si>
    <t>Augus</t>
  </si>
  <si>
    <t>Gazeta del Gobierno n.º 25</t>
  </si>
  <si>
    <t>79</t>
  </si>
  <si>
    <t>hasta muy de noche. ■BAVIER A. AugshfÁtgo 20 de marzo. El número de tropas austríacas en el Austria superior se aumenta de dia en día.—Hasta ahora el Príncipe Augus­ to es el único Príncipe que ha llegado á nuestros muros. Se ocupa en reorganizar la artillería, que está baxo su man4o, y pasa frtqüentes revistas á las trepas d…</t>
  </si>
  <si>
    <t>Augusta</t>
  </si>
  <si>
    <t>2 de marzo de 1809</t>
  </si>
  <si>
    <t>Gaceta de Madrid n.º 61</t>
  </si>
  <si>
    <t>, que la habla y persuasión ó las amenazas: es preciso some­ escribe con perfección. El Rei, la Reina y terlos por la fuerza de las armas. Dé aquí la princesa Augusta honran frecuentemente viene la necesidad de mantener un nume­ con su presencia el teatro polaco. roso cxército, y dar actividad á las levas Se establece en el d…</t>
  </si>
  <si>
    <t>Augustenabourg, Cristiano de Schlesvvig Holsteia-Sanderbourg</t>
  </si>
  <si>
    <t>Cristiano de Schlesvvig Holsteia-Sanderbourg Augustenabourg</t>
  </si>
  <si>
    <t>na reusa aceptar esta suprema dignidad después del restablecimieato de la paz. • En un periódico de Hamburgo se ha insertado la carta siguien­ te del príncipe Cristiano de Schlesvvig- Holsteia-Sanderbourg-Augustenabourg , al canciller de estado sueco barón Adlersparre, coa fecha de 25 de agosto último. “Señor: en vista de la …</t>
  </si>
  <si>
    <t>Augusto</t>
  </si>
  <si>
    <t>502</t>
  </si>
  <si>
    <t>a se han han contribuido , cuyo? pagarés quedarán acampado en los lugares que les estaban se­ agregados al capital de su comercio ó giro. ñalados. El príncipe Augusto dePrusia, hi­ Estos pagarés circularán en las plazas como jo del príncipe Fernando, ha ido á aquella las letras de cambio, y ganarán sus intere­ provincia para …</t>
  </si>
  <si>
    <t>26 de noviembre de 1809</t>
  </si>
  <si>
    <t>Gaceta de Madrid n.º 331</t>
  </si>
  <si>
    <t>16</t>
  </si>
  <si>
    <t>exercicio de fue­ do en Silesia entre los mas agradablet de go de¡ cuerpo de artillería. mi vida) puesto qne en «líos he conocido Del /o. S. A. R. el príncipe Augusto el afecto particular que profesa esta uacloa Fernando salió ayer de aqoi en medio de fiel á la familia de so Soberano. las aclamaciones del pueblo y de las trop…</t>
  </si>
  <si>
    <t>(D. Moimes) capitán del mismo regimiento. — Chelli ( D. Miguel ) xefe de •batallón. — Chevallier, xefe de batallón de la guardia real. — ■Choisseül (D. Augusto) comandante de esquadron. — Chuo (D. Domingo) fusilero del regimiento núm. i , brigada irlandesa. — Ciaran (D. Manuel) intendente de León. — Cibat , inspector de sanid…</t>
  </si>
  <si>
    <t>AUxandro</t>
  </si>
  <si>
    <t>17 de junio de 1809</t>
  </si>
  <si>
    <t>Gaceta de Madrid n.º 168</t>
  </si>
  <si>
    <t>Perersburgn, publi­ ,,Ya no fue posible pensaren un armis­ cada por el conseio de Estado , anuncia que ticio, porque detener de este modo los pro­ el Emperador AUxandro ha enviado orden gresos de las armas rusas sin una esperanza al príncipe Sergio Gallitnn , que manda segura de la paz, y sin una basa sobre la 480 hombres de …</t>
  </si>
  <si>
    <t>Avalle, Manuel Maria</t>
  </si>
  <si>
    <t>Manuel Maria Avalle</t>
  </si>
  <si>
    <t>......... S *xc&gt; |e"ot £• ^Ia,rtin „de .?*'**• ^ Exc, Señor D. Félix Ovalle. Galicia y Exc. Señor Conde de Gimonde. ’**”**.............. ] Exc. Señor D. Manuel Maria Avalle. /f*Exc. Señor I&gt;. Rodrigo Rsqueltne. .......... \ Exc. Siñor D. Luis Funes y Salido. 1ae r Exc. Señor D. Francisco Castañedo. *****.... *.••••••«•'•• j7X…</t>
  </si>
  <si>
    <t>Avellan, Diego Flores</t>
  </si>
  <si>
    <t>Diego Flores Avellan</t>
  </si>
  <si>
    <t>Juan Diaz Franco, fiscal de la curia eclesiástica de Cádiz : para el deanato de la colegial de Alicante, vacante por muerte de D. An­ tonio Sala , á D. Diego Flores Avellan , rector del seminario con­ ciliar de Orihuela : para la dignidad de arcipreste de la colegial de Sta. María de la ciudad de Baeza , vacante por fallecimi…</t>
  </si>
  <si>
    <t>Avi-és, Félix Fernandez</t>
  </si>
  <si>
    <t>Félix Fernandez Avi-és</t>
  </si>
  <si>
    <t>di á V. SS, parte por mi Ayudante, sa­ lió de este punto con el total de sa compañía y treinta tiradores con su; sargento primero Francisco Martin, y D. Félix Fernandez Avi-és vecino de dicho Fuente el Saúco que se convidó á acompañarles, darles instrucciones del ter­ reno y demás, y á las doce de este dia me remitió par­ te …</t>
  </si>
  <si>
    <t>Aviles, Félix Fernandez</t>
  </si>
  <si>
    <t>Félix Fernandez Aviles</t>
  </si>
  <si>
    <t>e­ gó SaofmÜ conduciendo treinta y tres prisioneros, entre ellos quatro heridos, y me dio el parte siguiente. „ Al romper del dia cinco instruido por D. Félix Fernandez Aviles de los qnarteles que ocupaba el enemigo, tomadas todas las avenis del pueblo con infjntería y caballería , se echó sobre ellos, pero no pudo conseguir …</t>
  </si>
  <si>
    <t>Ayala, Benito</t>
  </si>
  <si>
    <t>Benito Ayala</t>
  </si>
  <si>
    <t>sido co­ el sincero homenage que por nuestra me­ mendadores del extinguido hospital del REI diación y en medio de la mayor tranquili­ en Burgos; y á D. Benito Ayala, comen­ dad le tributa un valle, que como el resto dador novicio del dicho hospital, para una del señorío de Vizcaya, se ha distinguido 'media ración de la referi…</t>
  </si>
  <si>
    <t>Aymer</t>
  </si>
  <si>
    <t>336</t>
  </si>
  <si>
    <t>de agosto, nos informa ■('The,'Times 8 de setiembre) que el cuerpo de tropas francesas destacado desde Verana por el ge­ neral Fiorella, al mando del general Aymer ,■ hacia la parte italia­ na del Tiró], se encontró don los insurgentes voralbergnesf»., par­ ticularmente con los de Pu%terthal, cerca de Trento, en donde se divi…</t>
  </si>
  <si>
    <t>Azanza, Miguel</t>
  </si>
  <si>
    <t>Miguel Azanza</t>
  </si>
  <si>
    <t>or y fidelidad hacia su Mszsrredo , duque de Frias, marques de Soberano. Valdecarz-ma , principe Maserano , marques REINO DE ÑAPOLES. de Branciforte, D. Miguel Azanza, mar­ ques de Bajamar, D. Gonzalo O-Farrill, Ñápales 24 de agosto. duque de Cotadilla, general D. Cristóbal Nuestra patria y las letras acaban de Merlín, D. Mar…</t>
  </si>
  <si>
    <t>Azcon, Juan</t>
  </si>
  <si>
    <t>Juan Azcon</t>
  </si>
  <si>
    <t>Gazeta del Gobierno n.º 64 · 2.ª serie</t>
  </si>
  <si>
    <t>618</t>
  </si>
  <si>
    <t>a , solicitaba pervertir su patriotismo y que abrazase el partido francés contra la causa justa que defiende con tanto heroísmo. —“Mi pariente y í&gt;r. D. Juan Azcon : recibo la de vm. con los dos impresos. Soy español , y si la España no puede sacudir el yugo , justo será que yo quede en­ vuelto en las ruinas. Este es mi carác…</t>
  </si>
  <si>
    <t>B, Francisco</t>
  </si>
  <si>
    <t>Francisco B</t>
  </si>
  <si>
    <t>o , 17 rls. para unos zapatos* D. Josef González , 10 rís. para un par de medias. XX .Antonio de la Cruz,40 rís. para 2 mochilas y 2 pares de medias. D. Francisco B^ítran , -y D* Josef de Flores, 29 rls. para dos pares de medias. IX Francisco Moreno , 10 rls. para un par de medias. D. F iorencio Rivera , 48 rls. para unos pan…</t>
  </si>
  <si>
    <t>B, Josef</t>
  </si>
  <si>
    <t>Josef B</t>
  </si>
  <si>
    <t>e esquadron; blecer allí una escala, por decirlo asi , ne­ á D. Angel Boulancourt, D. Gregorio Hi­ cesaria para su empresa , y le han propor­ dalgo , D. Josef B.irrachino y D. Manuel cionado ademas los medios de asegurar y Vellido , Subtenientes del regimiento de de estrechar su amistad con Alexaudro, y infantería española de…</t>
  </si>
  <si>
    <t>B, Juan Josef</t>
  </si>
  <si>
    <t>Juan Josef B</t>
  </si>
  <si>
    <t>io¿&gt;. =5 D. Pedro# Martínez Delgado , 100. zz D. Josef Isasi , i®*=D. Josef Munilla , 500. zz D. Sebastian Melón , 500. = D. Loren­ zo Moreno, 4®. = D. Juan Josef B^rberena, 5* zz D. Dosningó Gómez de Segura , 200, = D. Manuel Garda Muro, íaoo. = D. Miguel Rebato , 25. zz D. Gregorio Castriciones, vecino de S. Salvador , 4®. …</t>
  </si>
  <si>
    <t>B, María</t>
  </si>
  <si>
    <t>María B</t>
  </si>
  <si>
    <t>to Sánchez , 60 rls. para quatro mochilas» D- Josef Ruiz , ao rls. para dos pares de medias. Doña Eduarda Ordoñez , 10 rls. para dos pares de medias» Doña María B¿rmudez , 10 rls. para un par de medias» D. Manuel Navarro , 30 rls. para dos mochilas» D. Antonio González , 20 rls. para dos pares de medias» D. Manuel Díaz, to rl…</t>
  </si>
  <si>
    <t>Ba, Francisco</t>
  </si>
  <si>
    <t>Francisco Ba</t>
  </si>
  <si>
    <t>Gazeta del Gobierno n.º 64 · 2.ª serie (suplemento 2.º)</t>
  </si>
  <si>
    <t>militares que manifestaren en esta^accion mi se­ gundo el mariscal de campo D. Gabriel de Mendizabal, y los del mismo grado D. Martin de la Carrera , D. Francisco Ba­ llesteros y D. Francisco-Xavier Losada.” “Recomiendo asimismo á V. M. á todos los oficiales que elo­ gian los generales, conceptuando á estos y á aquellos muy d…</t>
  </si>
  <si>
    <t>Baeza, Miguel</t>
  </si>
  <si>
    <t>Miguel Baeza</t>
  </si>
  <si>
    <t>io Hen riquez , Intendente de Marina , 528 rs. = Varici vecinos de la Parroquia de S. Julián , por una vez, 446 r3.= J&gt;. Antonio Olavarría, 40 rs. == D. Miguel Baeza , 24 rs. =D. Peregrino Mallen , por una vez, 40 rs. cu El P. Prepósito de S. Felipe Nefi , 200 r«.*= D. Pedro de Castillo , 60 r?. — D. Josef Chamorro, ¿oo rs. m…</t>
  </si>
  <si>
    <t>Bages, José</t>
  </si>
  <si>
    <t>José Bages</t>
  </si>
  <si>
    <t>23 de septiembre de 1809</t>
  </si>
  <si>
    <t>Gazeta del Gobierno n.º 23 · 2.ª serie (suplemento 2.º)</t>
  </si>
  <si>
    <t>los dos batallones ligeros de Valencia, y Valencia de Alburquerque, á las órdenes de su comandante el coronel D. José María Pusterlá, y del cápitan- D. José Bages. El enemigo no ha dexado de tener una pérdida de consideración. En la nuestra es extremamente sensible la del coronel de Villavicicsa bároa de Aimendariz, exetnplo …</t>
  </si>
  <si>
    <t>Baget</t>
  </si>
  <si>
    <t>Gazeta del Gobierno n.º 58 · 2.ª serie</t>
  </si>
  <si>
    <t>551</t>
  </si>
  <si>
    <t>artidas de Abarras, que se van poniendo en un pie respetable. Idem: 30. Hemos tenido noticias de que los enemigos se han manifestado generosos con el coronel Baget, á quien hicieron prisionero y está en Zaragoza. Atribuiríamos de buena gana es­ ta conducta al aprecio que hacen de las grandes qualidads* mi­ litares , si no tuv…</t>
  </si>
  <si>
    <t>20 de diciembre de 1809</t>
  </si>
  <si>
    <t>Gaceta de Madrid n.º 355</t>
  </si>
  <si>
    <t>toridades francesas civiles y mili­ ESPAÑA. tares , quedarán al cuidado de comisarios austríacos nombrados al efecto. Zaragoza ¡¡ de noviembre.. t El coronel Baget que mandaba un cnéíHOLANDA. po de insurgentes eivTorres del Segre, don­ de fue hecho prisionero por los franceses el Amsterdan 2 4 de noviembre. dia 30 de octubre …</t>
  </si>
  <si>
    <t>Báget, Juan</t>
  </si>
  <si>
    <t>Juan Báget</t>
  </si>
  <si>
    <t>Gazeta del Gobierno n.º 33</t>
  </si>
  <si>
    <t>a, habiéndolos batido en Tamarite las tropas apostadas allí de mi órden , de unos sainetearos hom­ bres al mandó de los Coroaeles D.'Felipe Pareas, y D. Juan Báget, y de varios somatenes aragonesas y catalanes, reti^ jándose la mayor pyrte de ellas á Barbastro, y quedando como unos doscientos e?i Moozoa. Causados los naturale…</t>
  </si>
  <si>
    <t>Baglioui</t>
  </si>
  <si>
    <t>duponen á nuestras tropas en disposición de ique de Bracciano , conde Maréscolri, cabaobrar, contra el enemigo en las orillas del J.'tro'Falconieri, marqués Baglioui, 7 señor Escalda por la parte de Francia y por la Palombi. ‘de Holanda. Se dice qne las tropas holandesas hats ESPAÑA. , t* Tecóh^ítistádo»! él fuerte'de Batz. .…</t>
  </si>
  <si>
    <t>Bagouít</t>
  </si>
  <si>
    <t>ión (por haber sido entresacados en for­ mación) al mando del xefe de batallón D. José Piiisalis, y del capitán Barvier, primer ayudante de campo del general Bagouít , dirigiéndose á los valles de Roncal y Ansó en seis colunas por seis distintos puntos , y ccn el plan acordado de reunirse todos en ellos la madrugada del e.i d…</t>
  </si>
  <si>
    <t>Bagratíon</t>
  </si>
  <si>
    <t>Generalmente se conoció que S. M. con esta repulsa, no quería mas que la guer­ Estockelmo jrp de marzo. ra, sin razón ni motivo, y únicamente por El príncipe Bagratíon con 2 5© rasos alimentar su odio personal contra el Empe­ acababa de sitiár las islas de Aland quando rador Napoleón, y seguir la execucion de llegó allí la no…</t>
  </si>
  <si>
    <t>9 de noviembre de 1809</t>
  </si>
  <si>
    <t>Gaceta de Madrid n.º 314</t>
  </si>
  <si>
    <t>37</t>
  </si>
  <si>
    <t>paciones marítimas de la prosperidad de la nación. Debe pues po­ los ingleses. R&lt; iíer.n estas cartas que el nerse el mayor esmero ea la educación de príncipe Bagratíon. que manda actualmen­ los niños: esta puede ser pública ó privadas te las fuerzas rusas e-&lt; Turquía, ha recibi­ la una es obra toda de los padres , y la otra …</t>
  </si>
  <si>
    <t>Bagration</t>
  </si>
  <si>
    <t>409</t>
  </si>
  <si>
    <t>erzos considerables, y varias colunas van á reunírsele tam­ bién, diferentes de las que se kan enviado de la Gallitzia. Se ase­ gura todavía , que el príncipe Bagration ha tomado el mando en xefe de aquel exército, cuyas operaciones no se han activado por los sitios que ha emprendido. Un cuerpo de 30S hombres sitia á la impor…</t>
  </si>
  <si>
    <t>1 de diciembre de 1809</t>
  </si>
  <si>
    <t>Gaceta de Madrid n.º 336</t>
  </si>
  <si>
    <t>1469</t>
  </si>
  <si>
    <t>cerca de las operaciones de n«es- bradas el día 6 de este mes, y anunciadas tro exército en Turquía. al público de esta capital por una salva d* *,E1 príncipe Bagration, comandante en artillería de 101 cañonazos, y por un so­ ge fe del exército ruso en Turquía , escribe lemne Je Deurn en acción de gracias. En que después de l…</t>
  </si>
  <si>
    <t>26 de diciembre de 1809</t>
  </si>
  <si>
    <t>Gazeta del Gobierno n.º 63 · 2.ª serie</t>
  </si>
  <si>
    <t>613</t>
  </si>
  <si>
    <t>yendo casi toda la Arabia , sin exceptuar las ciudades santas de Meca y Medi­ na. — Los rusos se cree estarían en Varna á principios de octu­ bre. El príncipe Bagration atacó á los turcos ei 16 de setiembre en su campo de Rassevvat, los derrotó, les tomó grau parte del campamento , algunos cañones y estandartes, y les mató 10…</t>
  </si>
  <si>
    <t>Baguena, Mariano</t>
  </si>
  <si>
    <t>Mariano Baguena</t>
  </si>
  <si>
    <t>. — D. Antonio Laspuertas.— D. Narciso Laclara. — D. Mariano Ciria. — D. José Pons. — D. Antonid' Buil. — D. Pedro Blecüa. — D. Salvador Puycercus. — D. Mariano Baguena.— Condado de Plasencia.— Baronía de' Gurrea.— Marques de Dosaguas.— Marques de Sta. Coloma.— D. Ma­ nuel Ulzurrun de Asan za, Sr. de Conduero. — D. Ventura El…</t>
  </si>
  <si>
    <t>Baird</t>
  </si>
  <si>
    <t>12 de enero de 1809</t>
  </si>
  <si>
    <t>Gaceta de Madrid n.º 12</t>
  </si>
  <si>
    <t>Fexércíto; ingles pudiese obrar según las circunstancias en defensa de la causa común. ■ „ Ademas sabemos qué los bagages del exército mandado por el general Baird habian principiado ya desde el dia z á embarcarse en los transportes, y seguramente debe servirnos de satisfacción el saber que están tomadas las medidas mas efica…</t>
  </si>
  <si>
    <t>sta brigada quiso acometer para me­ jorar la suerte de sus armas. ¡ Esfuerzos inútiles! Esta tropa fue dispersada, y su general muerto entre ella. El general Baird estaba ya herido: atravesó por la Coruña para llegar prontamente á su buque; y no pensó en curarse hasta que hubo entrado á bordo. Se ha dicho que murió el dia 19.…</t>
  </si>
  <si>
    <t>l ataque. El capitán Gordon, mi edecán, tendrá el honor de poner este parte en mano de V. E, y podrá dar las demás noticias que sean conve-, nieates."D. Baird." . . . [Se Cwhmará.)</t>
  </si>
  <si>
    <t>r.o puede ser citado para dar cuenta de su de esta expedición están acantonadas en el conducta, aun quando le falten la prudencia condado de Kent. El general Baird ha lle­ y habilidad necesarias en un negocio tan gado á Portsmout á bordo del navio la Ciu­ importante. ¿Por qué no se echó mano de dad de París. este admirable re…</t>
  </si>
  <si>
    <t>Gaceta de Madrid n.º 101</t>
  </si>
  <si>
    <t>489</t>
  </si>
  <si>
    <t>o, observaciones sobre los acaecimientos de la ¿qual era el proyecto de Bonaparte? El última campaña. .coronar á sti hermano en Madrid: 3 sema­ ,, El general Baird estaba en la Coruña, nas le han bastado para efectuarlo desde el general Moore en Salamanca, y el gene- que llenó con sus tropas al Pirineo. ara! Ilope en Aranjuez…</t>
  </si>
  <si>
    <t>Bal</t>
  </si>
  <si>
    <t>tos de la recompensa en el modo que sea mas grato á los ojos de su Divina magestad , etc. etc.” Sevilla 13 de octubre. El nuevo virey de Buenos Ayres D. Bal­ tasar Hidalgo de Cisneros, avisa desde Montevideo con fecha de 11 de julio último, que ha sido reconocido por las autoridades de (1) Era. D. Juan Antonina Colmenarescorr…</t>
  </si>
  <si>
    <t>Balanza, Miguel</t>
  </si>
  <si>
    <t>Miguel Balanza</t>
  </si>
  <si>
    <t>.................. C Exc. Señor Marques del Villar. *’’................. ^Exc. Señor. Navarra.................... ^r}ot Gatlos, ^matria‘ \ Exc. Señor D. Miguel Balanza. Exc. Señor Arzobispo Co-Administrador de Sevilla. Exc. Señor Conde de Tilly. _ , , f Exc. Señor D. Pedro Rivero. Toledo.......*......... ****|íExc. Señor D. J…</t>
  </si>
  <si>
    <t>Balbontin, José Manuel</t>
  </si>
  <si>
    <t>José Manuel Balbontin</t>
  </si>
  <si>
    <t>D. Francisco Sales Quintero. 50.000 El Sr. Marques de Santa Fe de Guardiola. 10.000 El capitán D. Juan Francisco Gallo. 3 ooo D. Luis Escolar. 8.000 D. José Manuel Balbontin. 2.000 D. Juan Antonio Estanillo. 2.000 D. José Bernabé lzita. 16.000 D. Pedro Marcos Gutiérrez. 8.000 D, Francisco Almirante. 10.000 D. Juan Manuel Bust…</t>
  </si>
  <si>
    <t>Balduque, Pedro</t>
  </si>
  <si>
    <t>Pedro Balduque</t>
  </si>
  <si>
    <t>--------- ó«y de Ito. — D. Pedro Balduque. — D. Francisco Carrica. — D. Faus­ tino Lecha. — D, Ramón Robres. — D. Pedro Benisa. — D. Joaquin Manrique de Lara.-- D. Manuel García del Campo.— D. Vi­ cente Aragón. — D. Antonio Viscasi</t>
  </si>
  <si>
    <t>Balestriet, Guillermo</t>
  </si>
  <si>
    <t>Guillermo Balestriet</t>
  </si>
  <si>
    <t>mcl á D. Guillermo Balestriet; para mayor los mandones de Sevilla no se atreven á ma­ á D. Miguel Schelli; para capitanes á Don nifestarse tan abiertamente. El desaliento Miguel Chacoletti, D. Luis d’Elorme y es ya gene</t>
  </si>
  <si>
    <t>Balles</t>
  </si>
  <si>
    <t>12 de agosto de 1809</t>
  </si>
  <si>
    <t>Gazeta del Gobierno n.º 5 · 2.ª serie</t>
  </si>
  <si>
    <t>Morder; Kelierman concluxo también algunas de sus tropas; y Ney sa­ có del Ferrol las pocas que pudo.” “Poco antes de verificarse esta invasión , el general Balles­ teros, que se hallaba en Colombres defendiéndolos desfila­ deros de las Montañas, rechazó á los franceses hácia Santan­ der; otro cuerpo de patriotas perseguía al…</t>
  </si>
  <si>
    <t>Ballestero, Joaqain</t>
  </si>
  <si>
    <t>Joaqain Ballestero</t>
  </si>
  <si>
    <t>s* D. Miguel Morfín, 15 rls. para una mochila. P. Josef Romero 60 rls. para quatro mochilas* -D. Bernardo Alvarado, 20 rls. para dos pares de medias. D. Joaqain Ballestero 20 rls. para dos pares de medias. ^D. Miguel - de la Portilla , 20 rls. para dos pares de medias* D. Francisco Martínez , io rh?. para un par de medias. Do…</t>
  </si>
  <si>
    <t>Ballesteros</t>
  </si>
  <si>
    <t>3 de enero de 1809</t>
  </si>
  <si>
    <t>Gazeta Ministerial de Sevilla n.º 63</t>
  </si>
  <si>
    <t>508</t>
  </si>
  <si>
    <t>os tenido un herid# en un. brazo, y nosotros les habremos muerto algu-; no. y herido varios, aunque no puedo asegurarlo.. las 4. de la tarde entró el general Ballesteros con unos 400. hombres de. los regimientos de Covadonga y Fer­ nando . VII , acompañándole dos oficiales ingleses y su es­ tad# mayor : parece ha determinado …</t>
  </si>
  <si>
    <t>559</t>
  </si>
  <si>
    <t>as conocidas ventajas coa fuerzas iuferiores dan lugar á esta acción entre las distícguiías. Por lo tanto , merece aten­ ción la recomendación que el brigadier Ballesteros me hace de la bizarría del capitán IX Miguel Rosales, demostrada á la evidencia en el hecho de habar sido el primero que á la cabrz* de la caballería, y á.…</t>
  </si>
  <si>
    <t>26 de junio de 1809</t>
  </si>
  <si>
    <t>Gazeta del Gobierno n.º 40</t>
  </si>
  <si>
    <t>spañola: que en todo e! Principado de Asturias habrá de cinco i seis mil hombres, los quáles ocupaban los puntos de Gijon, Oviedo , y Aviles : que ei General Ballesteros perseguía á estos cuerpos, intimando á Oviedo que aprootiss té® raciones , con cuyo motivo lo evacuaron los enemigos, ocupando? sus alturas ; en está retirad…</t>
  </si>
  <si>
    <t>1 de julio de 1809</t>
  </si>
  <si>
    <t>Gaceta de Madrid n.º 182</t>
  </si>
  <si>
    <t>bres de infante­ El exército francés lfegd á las 11 de la no­ ría y ¿jo caballos, capitaneado por el lla­ che al campamento que-había dexado por mado general Ballesteros , fueron causa de la mañana el general No¡rot , puso en des­ que un b «tallón francés , que se hallaba en orden y confusión una&gt; división de 2jooinTorrclaveg…</t>
  </si>
  <si>
    <t>28 de julio de 1809</t>
  </si>
  <si>
    <t>Gazeta del Gobierno n.º 49</t>
  </si>
  <si>
    <t>759</t>
  </si>
  <si>
    <t>invasión ya. no quedaban en Asturias mas franceses que los heridos y prisioneros. . ‘ ' / .. Mientras esto pasaba en/lo interior de la Provincia, él general Ballesteros que con su bizarra división cubría la frontera oriental^ corrió á unirse con la de Worster; pero hallando interpuesto al ge­ neral francés Bonnet, que se habi…</t>
  </si>
  <si>
    <t>e Asturias y se apoderaron de Oviedo y Gijon. El marqués de la Romana se embarcó con dificultad , para reu­ nirse con su exército , cerca de Lugo. El general Ballesteros marchó á Santander , y sorprendió la guarnición francesa, compuesta de 800 hombres ; mató 500 , y envió 300 prisione­ ros £t Inglaterra ; pero en la noche de…</t>
  </si>
  <si>
    <t>322</t>
  </si>
  <si>
    <t>ha llegado de Gijon en 8 dias de travesía un barco cargado da lana. Las cartas que trae nos in­ forman de haberse apoderado otra vez de Santander el general Ballesteros. Se asegura que su exército es de 123 hombres , y que la mitad fué enviado al punto hacia Bilbao, y el resto que­ daba en Santander. En los papeles de Bath se…</t>
  </si>
  <si>
    <t>Ballesteros, Francisco</t>
  </si>
  <si>
    <t>Francisco Ballesteros</t>
  </si>
  <si>
    <t>i sargento mayor, y herido 27: y en tanto Dios guarde á Y. E. muchos años. — J. M. R. zz: Zedofeyta 31 de enero de 1809.” —El mismo Mariscil de Campo D. Francisco Ballesteros, desde su quartel general de Villanueva dirige á la Junta General de este Principado el oficio siguiente. —Viendo que la situación de los puestos enemig…</t>
  </si>
  <si>
    <t>Ballet, Bourbon</t>
  </si>
  <si>
    <t>Bourbon Ballet</t>
  </si>
  <si>
    <t>27 de diciembre de 1809</t>
  </si>
  <si>
    <t>Gaceta de Madrid n.º 362</t>
  </si>
  <si>
    <t>60</t>
  </si>
  <si>
    <t>avor de la obscuridad La partida del Empecinado, que con de la noche: 60 caballos han quedado en tanta frecuencia se ha presentado á la iz­ poder del capitán Bourbon Ballet,.del 27.* quierda de Madrid, y que es famosa por de cazadores de á caballo, que es quien ha las atrocidades que ha cometido robando y dirigido esta operac…</t>
  </si>
  <si>
    <t>Balmís</t>
  </si>
  <si>
    <t>ación lian acudido á su defensa , animando con sus en las tierras de lo interior del continente. palabras y exemplo á los otros vecinos , y Quando el doctor Balmís llegó de vuelta de cargando él mismo, y apuntando los caño­ Cantón á la isla de Sta. Elena , sujeta á los nes de las baterías. ingleses , y que á la sazón astaban …</t>
  </si>
  <si>
    <t>Balmis, Francisco</t>
  </si>
  <si>
    <t>Francisco Balmis</t>
  </si>
  <si>
    <t>rimiento de su na­ de alcalde del crimen de la chancillería de ción , y de habérselo remitido el mismo Valladolid á D. Antonio Hernández Hui- Jenner. D. Francisco Balmis logró á fuerza ci ; y para la fiscalía del crimen de este tri­ de constancia, de persuasiones y de racio­ bunal á D. Josef Morales Arnedo: asimis­ cinios con…</t>
  </si>
  <si>
    <t>BaLos</t>
  </si>
  <si>
    <t>olunas para re­ yas capitales son Liatz , Bruno, Presburgo, unirse con las que kan sido enviadas de la Graetz y Trieste. Gallitzia. Se asegura que el príncipe BaLos habitantes de Trieste no han cum­ gration ha tomado el mando de este exér— plido con las primeras condiciones de la cito, cuyas operaciones han ido con alguna con…</t>
  </si>
  <si>
    <t>Bancide, Cárlos</t>
  </si>
  <si>
    <t>Cárlos Bancide</t>
  </si>
  <si>
    <t>z Valiente. — D. Gregorio Tocanecorro. — Baronesa de Togia. — Marquesa de Villanueva. — D. Juan del Castillo. — D. Jo­ sé del Casal. — D. José Bea. — D. Cárlos Bancide. — Doña Ra­ mona Cabillas. — D. José Bes. — D. Antonio Oliveros. — Doña Jo­ sefa Luna. -- El conde de Cíavijo.— La muger de D. Andrés Elasti. — Francisco Talay…</t>
  </si>
  <si>
    <t>Baños, Juan</t>
  </si>
  <si>
    <t>Juan Baños</t>
  </si>
  <si>
    <t>estrechos y rodeados, se abrieron paso y escaparon de las garras del enemigo. El comandante Acosta, y el subteniente da la segunda partida de Murcia D. Juan Baños, se han portado con mu­ cho valor, y en general toda la tropa ;pero habiendo Acosta emprendido contra las órdenes que tenia, esta arro­ jada acción, fué puesto en a…</t>
  </si>
  <si>
    <t>Baquerizo, Manuel Junguito</t>
  </si>
  <si>
    <t>Manuel Junguito Baquerizo</t>
  </si>
  <si>
    <t>57</t>
  </si>
  <si>
    <t>ndante de Ja compañía partidaria y frontera del Sur de Córdoba del Tucumán:; para el’ de Cumaná al coronel D. Ensebio Es­ cudero: para el de Chiapa á D. Manuel Junguito Baquerizo, capitán del regimiento de infantería de Cartage­ na de; Indias:: para el del presidio del Carmen al coronel D. Cosme: Antonio Urquiolá ; y para el …</t>
  </si>
  <si>
    <t>Bar</t>
  </si>
  <si>
    <t>D. Juan Sánchez , D. Nar­ se atreve á decir francamente su sentir al ciso García, D. Juan Casamayor y Don vecino., Jaime Gailt; y para subtenientes á D. Bar­ ,, Los disturbios y desavenencias entre los tolomé Deañino, D. Josef Palomino, Don vocales de la junta son todavía mas escan­ Manuel Litran , D. Beltran Galdes y Don dal…</t>
  </si>
  <si>
    <t>Bar, Antonio</t>
  </si>
  <si>
    <t>Antonio Bar</t>
  </si>
  <si>
    <t>afael Cano, y el capitán primero D. Alexandro de Castro 3 Lemos, contuso el subteniente D. José Losada 3 granaderos Provinciales, contuso el teniente D. Antonio Bar­ rios 3 León, contuso el teniente D. Santiago Marton 3 voluntarios de la Corona , heridos los tenientes D. Pedro Perez y B. Benito Salgado , y el subteniente D. M…</t>
  </si>
  <si>
    <t>Baraguay</t>
  </si>
  <si>
    <t>erecha , en la van­ deseado siempre su independencia. La parte guardia; una división italiana mandada por de ¡a imurreccion, que se halla va en el .1 general Baraguay d’Hiliiers, formando exército, se habia organizado por la última</t>
  </si>
  <si>
    <t>Baratiuski</t>
  </si>
  <si>
    <t>Gaceta de Madrid n.º 279</t>
  </si>
  <si>
    <t>1 5 de setiem­ 4.0 La primera ventaja es que los ma­ bre de 1809. = Carlos , príncipe primado. yores jurisconsultos franceses han concurri­ S. E. el príncipe Baratiuski, embaxador do á su formación baxo la dirección del de Rusia cerca de la cor?e de Baviera, ha hombre mas grande de este siglo. Los nom­ pasado el dia 8 por Nur…</t>
  </si>
  <si>
    <t>Barato</t>
  </si>
  <si>
    <t>9 de mayo de 1809</t>
  </si>
  <si>
    <t>Gaceta de Madrid n.º 129</t>
  </si>
  <si>
    <t>e 38 barcos cargados de víveres que que sirve de límites al reino de Italia y i los españoles tenían en Mataró; y en efec­ la monarquía austríaca. El general Barato te ha apoderado de ellos , á excepción guai d’Hilliers , gobernador de Venecia , se de uno solo que fue echado á pique por una dispone para marchar á tomar el man…</t>
  </si>
  <si>
    <t>Barbería, Mateo</t>
  </si>
  <si>
    <t>Mateo Barbería</t>
  </si>
  <si>
    <t>s. Para la provincia de Madrid 4 D. Ma­ Extracto dé las minutas de la secretaría tías Bayo, con 40© reales de sueldo. Para de Estado. la de Navarra á D. Mateo Barbería, con 22© En nuestro palacio de Madrid á 26 de reales. Para la de Guipúzcoa á D. Santiago agosto de 1809. Ay ala , con igual sueldo. Para la de Ala­ D0.1 Josef …</t>
  </si>
  <si>
    <t>Barceló, Estanislao</t>
  </si>
  <si>
    <t>Estanislao Barceló</t>
  </si>
  <si>
    <t>enito Tomez, ex­ rior queda encargado de la execncion del pre­ religioso escolapio, D. Manuel Lucas de sente decreto.= Firmados YO EL REI. ss. Riaza, D. Estanislao Barceló, D. Santiago Por S. M. su ministro secretario de Estado Santos, D. Antonio Godinez y D. Guiller­ Mariano Luis de Urquijo." mo Baños. art. iv. Nuestro minis…</t>
  </si>
  <si>
    <t>Barcena, Anselmo</t>
  </si>
  <si>
    <t>Anselmo Barcena</t>
  </si>
  <si>
    <t>24 de julio de 1809</t>
  </si>
  <si>
    <t>Gaceta de Madrid n.º 205</t>
  </si>
  <si>
    <t>a y vicario de la de Wolkelsdorf el dia 6 á las cinco de la misma villa de Cigaiés : para el de Mucienmañana ¿ y habia subido al mirador de una tes á D. Anselmo Barcena , presbítero y casa, desde donde veia el campo de batalla, Capellán de numero de la catedral de Vallay en donde permaneció hasta medio dia. doltd: para el de …</t>
  </si>
  <si>
    <t>Barcena, José</t>
  </si>
  <si>
    <t>José Barcena</t>
  </si>
  <si>
    <t>Gazeta del Gobierno n.º 40 · 2.ª serie</t>
  </si>
  <si>
    <t>389</t>
  </si>
  <si>
    <t>sino prolongar lina guerra destructora del pueblo : manda que estos particulares, »tue son D. José González Icedo , D. Diego de Alva, D. Juan Bello , D. José Barcena , D. Florentin Carranza , el vizconde de Rascón , D. Juan Peñalosa ,y D. N. Arteaga , todos conocidos con el nombre de ganaderos, es decir , poseedores de rebaño…</t>
  </si>
  <si>
    <t>Barclai</t>
  </si>
  <si>
    <t>27 de mayo de 1809</t>
  </si>
  <si>
    <t>Gaceta de Madrid n.º 147</t>
  </si>
  <si>
    <t>cuación de Umea he confiado ei man­ reos habrá armisticio entre las tropas rusas, do de todas las tropas que han salido da á las órdenes del teniente general Barclai de aqui en el tiempo determinado, y que hau Tolli, y las tropas suecas, al mando del pasado las fronteras del brazo de Ostro- mayor general conde de Cronstedt. B…</t>
  </si>
  <si>
    <t>Barenque, José Martínez</t>
  </si>
  <si>
    <t>José Martínez Barenque</t>
  </si>
  <si>
    <t>D. Teodoro Salazar del Puerto. 30.000 El capitán D. Ignacio García Saenz. 5.000 D. Antonio Olarte, sin estar matriculado. 2.000 D. José Llain. 10.000 D. José Martínez Barenque. 40.000 El subteniente D Nicolás Noriega. 1.000 D. Miguel Ardines. 10.000 D. Gerónimo Mateo de la Parra. 2.000 El capitán D. Manuel Horcasitas. 10.000</t>
  </si>
  <si>
    <t>Barquero, José Hidalgo</t>
  </si>
  <si>
    <t>José Hidalgo Barquero</t>
  </si>
  <si>
    <t>Gazeta del Gobierno n.º 26 · 2.ª serie</t>
  </si>
  <si>
    <t>de Grao , resultó herido D. Ramón Dieguez, subteniente de dicho regimiento. Excmo. Sr. — Francisco Ballesteros. — Excmo. Sr. Ma ­ ques de la Romana.” D. José Hidalgo Barquero , presbítero , vecino de la villa de Quintana en Extremadura , y poseedor de un beneficio en la par­ roquia de Santiago de Jumilla, dió en agosto del añ…</t>
  </si>
  <si>
    <t>Barquier</t>
  </si>
  <si>
    <t>Gazeta del Gobierno n.º 38 · 2.ª serie</t>
  </si>
  <si>
    <t>pruebas auténticas de la conivencia de. Petion con los franceses ; pues lio ha cesado durante el sitio de proporcionar víveres , municiones, etc. al general Barquier , con­ tribuyendo así eficazmente á la resistencia de la plaza; cuya guarnición al tiempo de rendirse consistía en 1200 hombres, los quales se llevaron las tropa…</t>
  </si>
  <si>
    <t>Barraca, Manuel</t>
  </si>
  <si>
    <t>Manuel Barraca</t>
  </si>
  <si>
    <t>416</t>
  </si>
  <si>
    <t>ros 468.020, 682.024,693.093. La persona que sepa de su para­ dero se servirá entregarlos ó dar razón en Valencia á D. Miguel Fuertes, y en Sevilla á-D. Manuel Barraca. SEVILLA: EN LA IMPRENTA REAL.</t>
  </si>
  <si>
    <t>Barragan, Baltasar</t>
  </si>
  <si>
    <t>Baltasar Barragan</t>
  </si>
  <si>
    <t>Porte. — D. Jacinto Garisa. — D. Bruno Huici. — D. Manuel Larruga.— D. Ventura Ateza. — D. José Soler.— D. Miguel Echinique. — D. Antonio Lajíeña. — D. Baltasar Barragan. — D. Joa­ quín Palacios.— D. Baltasar Val. — D. Mariano Ramírez.-- D. Lo­ renzo Puchol. — D. Vicente Laborda. — D. Antonio Vicente.— D. Vicente Puchol. — D.…</t>
  </si>
  <si>
    <t>Barraneche, Francisco</t>
  </si>
  <si>
    <t>Francisco Barraneche</t>
  </si>
  <si>
    <t>D. Antonio Vicente.— D. Vicente Puchol. — D. Julián Navarrete. — D. Pedro Yoldi. — D, José Unceta. — D. Fermín de Lusarreta. ~ D. Eulogio Espi­ no.— D. Francisco Barraneche. — D. Cipriano Iturraldé.— D. To­ mas Yoldi.—D. José Sánchez. — D. Luis Manuel de Benavides. — D. Lorenzo de Sobrecosas/ — D. Manuel Cárrica. — D. Venancio</t>
  </si>
  <si>
    <t>Barreda, Antonio Gómez</t>
  </si>
  <si>
    <t>Antonio Gómez Barreda</t>
  </si>
  <si>
    <t>hendidos en la promoción última general , se ha servido ascender S. M. á Brigadieres á los Capitanes de navio D. Nicolás Viilalba , D. Juan de Pifia, D. Antonio Gómez Barreda , D. JóséfJordán, D. Ma­ nuel Posadas : á Capitanes de navio los de fragata D. Jo­ sef Mollineáo , D. Pedro Cabrera : á espitan de fragata el graduado d…</t>
  </si>
  <si>
    <t>Barreiros, Josef María</t>
  </si>
  <si>
    <t>Josef María Barreiros</t>
  </si>
  <si>
    <t>1091</t>
  </si>
  <si>
    <t>caballería de línea , está fue del regimiento de infantería de Nápo- nombrado comandante de esquadron en la les, está nombrado teniente. propia arma. D. Josef María Barreiros, subteniente D. Guillermo Pergues» alférez que fue ue fue del regimiento de infantería de del regimiento de caballería del Infante , es­ S lavarra, está…</t>
  </si>
  <si>
    <t>Barrelar</t>
  </si>
  <si>
    <t>Gazeta del Gobierno n.º 30</t>
  </si>
  <si>
    <t>ra los movimientos desús tropas. Hí, hecho adelantar hasta Villarreal al General Silveyra parr observar el camino de allí á Amarante, y ha enviado a. General Barrelar contra los enemigos que se dirigían des de Mezanfrio á Pizo de 'Regra con intención sin duda, de pasar el Duero por aquella parte, Estas disposiciones</t>
  </si>
  <si>
    <t>Barrena, Pedro Antonio</t>
  </si>
  <si>
    <t>Pedro Antonio Barrena</t>
  </si>
  <si>
    <t>D. Tomás de Renovales , D. Ale-* ¿andró Amigot, D. Juan Casao, y los cadetes D. Xavier An­ gel Ros , D, Vicente de Soravilla , D. José María Barricat,D. Pedro Antonio Barrena , D. Gregorio Cruchaga , D. Hi­ lario Marco, D. Cipriano Garde , los sargentos José Manuel Jaurcgui y Marco Miguel , y Otros varios oficiales , todos al…</t>
  </si>
  <si>
    <t>Barrera, Luis</t>
  </si>
  <si>
    <t>Luis Barrera</t>
  </si>
  <si>
    <t>enientes al destacamento de 300 hombres del regimiento de /liberia , situado en S. Fciiu itc Guixols , á cuyo efecto comisione ai ayudin­ te de campo D. Luis Barrera , capitán del segundo de Saboya , para que so les divisase igualmente desde la Hsparra , si estaba ocupada por el enemigó, con el objeto de llamar su atención fi…</t>
  </si>
  <si>
    <t>Barricat, José María</t>
  </si>
  <si>
    <t>José María Barricat</t>
  </si>
  <si>
    <t>, D. Matías de Aras , D. Tomás de Renovales , D. Ale-* ¿andró Amigot, D. Juan Casao, y los cadetes D. Xavier An­ gel Ros , D, Vicente de Soravilla , D. José María Barricat,D. Pedro Antonio Barrena , D. Gregorio Cruchaga , D. Hi­ lario Marco, D. Cipriano Garde , los sargentos José Manuel Jaurcgui y Marco Miguel , y Otros vario…</t>
  </si>
  <si>
    <t>Barrié, Pedro</t>
  </si>
  <si>
    <t>Pedro Barrié</t>
  </si>
  <si>
    <t>28 de noviembre de 1809</t>
  </si>
  <si>
    <t>Gazeta del Gobierno n.º 51 · 2.ª serie</t>
  </si>
  <si>
    <t>481</t>
  </si>
  <si>
    <t>utista Jouban: Ma­ nuel Mantdian (alias Mojenja) : Juan Caula: José Benjamín: Jo­ sé Letre : Vicente Perez : Juan de Denis Mari: Froy'an de Pra­ do : D. Pedro Barrié : Claudio Soloret ó Forlé : José Bisier: Juan Piela : Ramos Reymundi y su muger : Antonio Grandor: Fran­ cisco Brujua : Juan Ferb, y dos hermanos apellidados de …</t>
  </si>
  <si>
    <t>Barrios, Antonio</t>
  </si>
  <si>
    <t>Antonio Barrios</t>
  </si>
  <si>
    <t>Gazeta del Gobierno n.º 8 · 2.ª serie</t>
  </si>
  <si>
    <t>65</t>
  </si>
  <si>
    <t>la prioral de santa María, para la religiosa y santa cere­ monia de la bendición de la bandera del batallón de esta ciudad, siendo el orador el vocal D. Antonio Barrios, cura beneficiado de la parroquial de. Santiago: y conclusa hubo salva general en la plaza mayor donde estaba formado dicho batallón, cuyos, soldados hasta ai</t>
  </si>
  <si>
    <t>Barrios, Josef</t>
  </si>
  <si>
    <t>Josef Barrios</t>
  </si>
  <si>
    <t>chos‘caballos-de.la-servidumbre de nuestro guel Hermosilla mariscal de1 campo desu* augusto-Emperador, .lo, qual nos-.hace es­ reales exércitos; y á D. Josef Barrios strbperar que. mui pronto tendremos la dicha teníente de la' compañía ’fixa de artilleros d*de ver á S. M. i . . ■■■ n • ’ &gt; guarnicion de la plaza de S.- Sebast…</t>
  </si>
  <si>
    <t>Barvier</t>
  </si>
  <si>
    <t>cazadores , lo, mas florido de aquella guarnición (por haber sido entresacados en for­ mación) al mando del xefe de batallón D. José Piiisalis, y del capitán Barvier, primer ayudante de campo del general Bagouít , dirigiéndose á los valles de Roncal y Ansó en seis colunas por seis distintos puntos , y ccn el plan acordado de …</t>
  </si>
  <si>
    <t>Basail, Manuel Antonio</t>
  </si>
  <si>
    <t>Manuel Antonio Basail</t>
  </si>
  <si>
    <t>convento de Santo Do­ mingo. 24.00a R1 Sr. marques del Apartado. 80.000 Dst iUtstre arehicofradía del Santisimo Sacramenta de la. Ca­ tedral. 10.000 D. Manuel Antonio Basail. C. 4.000 D. Tpoiás Ibarrola. C. 20.000 D. Jjian Fernando Meoqui. C. 30.000 D. Manuel del Cerro. 20.000 El Capitán de Artillería D. Manuel Gil de la Torr…</t>
  </si>
  <si>
    <t>Basil, Juan</t>
  </si>
  <si>
    <t>Juan Basil</t>
  </si>
  <si>
    <t>nimo Miro, D. José Pazos, D. Antonio Bodoy, D. José Barrera y D. Joaquín Frías, para comisarios de guerra de segunda clase. En la del iy se concede á D. Juan Basil una plaza de capitán de caballería del regimiento núm. x. Algunos de los sugetos mencionados son bien conocidos, ó por los favores y distinciones que habían mereci…</t>
  </si>
  <si>
    <t>Basilio</t>
  </si>
  <si>
    <t>rez (D. Antonio),sargento i.® del mismo. llón del regimiento núm. 2.0, infantería Pereira (D. Luis Marcelino), de la junta de línea. civil. Salcedo ( D. Basilio ), ¿apellan de honor. Piñuela (D. Sebastián), consejero de Estado. Tascher, coronel y edecán del Rei. Pitel, gefe de esquadron de los caballos li­ Tellechea (D. Anton…</t>
  </si>
  <si>
    <t>mandante de la artillería á pie de la guardia real. — Suager (D. José) comandante de ba­ tallón del regimiento núm. 2 infantería de línea. — Salcedo (D. Basilio) capellán de honor.5* “Tascher , coronel y edecán del rey.—Tellechea (D. Anto­ nio) xefe de esquadron.— Te ada (D. Ignacio) xefe de división en el ministerio de India…</t>
  </si>
  <si>
    <t>Basoco, Antonio</t>
  </si>
  <si>
    <t>Antonio Basoco</t>
  </si>
  <si>
    <t>C. ' 25.000 El Sr. marques de Santa Cruz de Inguanzo, G, 25.000 D-Josef Vicente Olloqui. C. 25.000 El Sr. conde de la Cortina, G. 50.000 El caballero D. Antonio Basoco, C, 800.000 El caballero D. Diego Agreda, C. 5o,oog El caballero D. Gabriel de Yturbe, C, g 100,000 D, Juan Día? González, C, 25.000 El capitán D, Santiago Gar…</t>
  </si>
  <si>
    <t>Basols, José</t>
  </si>
  <si>
    <t>José Basols</t>
  </si>
  <si>
    <t>239</t>
  </si>
  <si>
    <t>ignos de los mayores elogios, como también toda la gente que ha entrado en acción ; pero particularmente lo son el subteniente del tercio de Figueras D. José Basols, y el sargento segundo Esteban Soler , quienes adelantándose á los demas , han llegado k sablazos , matando á algunos , y quitando las charrete­ ras al capitán , …</t>
  </si>
  <si>
    <t>Bassecourt, Luis Alexandro</t>
  </si>
  <si>
    <t>Luis Alexandro Bassecourt</t>
  </si>
  <si>
    <t>ército , puse sobre mi izquierda con las divisiones terce­ ra., quarta y quinta del mando de los generales marques dé Portago, D. Rafael Manglano , y D. Luis Alexandro Bassecourt ; pero la de este general pasó á sostener la división, de caballería del teniente ge­ neral duque de Alburquerque, que había destacado de refuerzo a…</t>
  </si>
  <si>
    <t>Bataí</t>
  </si>
  <si>
    <t>isioneros ó heridos franceses ó italia­ tados en esta especie de cabeza de puente* nos traídos por el enemigo transitaban por Ayer 27 al medio dia el capitán Bataí- las ciudades y villas, los habitantes les lle­ lie, edecán del príncipe virei, traxo la agra­ vaban socorros, y durante la noche procu­ dable noticia de haber lle…</t>
  </si>
  <si>
    <t>Baura, Lorenzo</t>
  </si>
  <si>
    <t>Lorenzo Baura</t>
  </si>
  <si>
    <t>62</t>
  </si>
  <si>
    <t>nsabili­ dades otorgadas , y le parará perjuicio quanto se actué* Al tiempo de la última invasión del exército francés en el reyno de Aragón, remitió D. Lorenzo Baura, residente en Madrid, á los señores D. Juan Catarineu é hijo, vecinos de Areos de Mar, en eí principado de Cataluña, por el correo y con primer endoso á su favo…</t>
  </si>
  <si>
    <t>Bavales</t>
  </si>
  <si>
    <t>583</t>
  </si>
  <si>
    <t>dos dias que se están embar­ S. E. el gran maestro de las mismas, y pre­ cando con suma actividad las municiones sentada prif S. A. S. mo’rfseñor el Príncipe Bavales y militares, los enfermos y las pro­ «¡cc-graúfh; electo*. piedades de los particulares agregado* *1 Habiendo sido admitid* 1» diputación ejército. Se han embarg…</t>
  </si>
  <si>
    <t>BAVIERA</t>
  </si>
  <si>
    <t>6 de diciembre de 1809</t>
  </si>
  <si>
    <t>Gaceta de Madrid n.º 341</t>
  </si>
  <si>
    <t>49</t>
  </si>
  <si>
    <t>r­ zenberg su embaxador en París «n lugar ca de S. M. el Emperador Nápoleoa. del conde de Metternich, nombrado minis­ tro de Negocios extrangeros. El príncipe BAVIERA. de Schwarzenberg era antes de esta última Munich jo de octubre. guerra embaxador de Austria cerca d» la corte de Petersburgo. Según las últimas cartas que acab…</t>
  </si>
  <si>
    <t>Bavóust</t>
  </si>
  <si>
    <t>Gazeta del Gobierno n.º 41</t>
  </si>
  <si>
    <t>y Han sen rsé encontré el exército con uñ reconocimiento enemigo : las vanguar­ dias comenzaron á combatir , y las columnas continuaron su maychav Él Mariscal Bavóust cóñócid muy éh breve el peligfó' que le amenazaba por el único camino de comunicación por Abach , y vió la necesidad dé asegurarla con las ma­ yores fuerzas pos…</t>
  </si>
  <si>
    <t>Bay, Josef</t>
  </si>
  <si>
    <t>Josef Bay</t>
  </si>
  <si>
    <t>101</t>
  </si>
  <si>
    <t>dos. Nuestra pérdida no se sabe que pase de 3 muertos y 16 heridos; habiéndo­ se portado con bizarría tanto oficiales como soldados,, especial­ mente D. Josef Bay comandante de guerrillas , que ya ha sido he­ rido 3 veces en esta guerra. Teruel 15 de agosto. Defender la independencia de la patria contra la agresión mas infame…</t>
  </si>
  <si>
    <t>Baye</t>
  </si>
  <si>
    <t>Gaceta de Madrid n.º 11</t>
  </si>
  <si>
    <t>PDF p. 1</t>
  </si>
  <si>
    <t>ientos de guardias ,v que esta resolución habia causado gran descontentóla las familias nobles. La misma gazeta trae los par­ tes dados por el edecán general Baye y por el feldr mariscal Klingspor so­ bre los combates que ha habido en Finlandia á últimos de setiembre, y^que han ocasionado ía retirada de los suecos. Dichos par…</t>
  </si>
  <si>
    <t>Bayona, Ignacio</t>
  </si>
  <si>
    <t>Ignacio Bayona</t>
  </si>
  <si>
    <t>Gazeta del Gobierno n.º 10 (suplemento)</t>
  </si>
  <si>
    <t>dias 2 y 3 , continuando las atrocidades, asesina­ ron á D. - Agustín Sangenís , Sargento mayor de los Miqueletes , ai referido D. Josef Casais , y á D. Ignacio Bayona, ve­ cino de esta Ciudad. — Registraron muchas casas particu ares y Conventos, reconociendo hasta ios aliares y sepulturas; y al mismo tiempo otros ficciosos p…</t>
  </si>
  <si>
    <t>Bayona, Pedro Laren</t>
  </si>
  <si>
    <t>Pedro Laren Bayona</t>
  </si>
  <si>
    <t>2 de abril de 1809</t>
  </si>
  <si>
    <t>Gaceta de Madrid n.º 92</t>
  </si>
  <si>
    <t>e como deseamos: y en fe de que esta es las Hormazas.ss Fernando Calixto Nuñez.ss nuestra opinión y voluntad, lo firmamos Clemente Antonio Pisador.ss D. Pedro Laren Bayona á 7 de julio de 1808. riva Torres. = Antonio Saviñon. = Josef Firmado: Miguel Josef de Azanza. *= María Tineo. = Joan Maqri. EN LA IMPRENTA REAL,</t>
  </si>
  <si>
    <t>Baz, José Bernardo</t>
  </si>
  <si>
    <t>José Bernardo Baz</t>
  </si>
  <si>
    <t>n Manuel de Peredo. 30.000 D. Juan Marcos Rada. 25.000 D. Dionisio Cicero Lombrana. 2.000 D. Cecilio Armiño Martínez. 7.000 D. Diego Movellan. 16.000 D. José Bernardo Baz 10.000 D. Juan Antonio Aristi. 2.000 D. Joaquín de Echarte. 15.000 D. José María Landa. 4.000 D. Domingo Llano Torre. 2.000 D. Ignacio Suarez. 9.000 El subt…</t>
  </si>
  <si>
    <t>Bazan, Juan Manuel</t>
  </si>
  <si>
    <t>Juan Manuel Bazan</t>
  </si>
  <si>
    <t>12 de febrero de 1809</t>
  </si>
  <si>
    <t>Gaceta de Madrid n.º 43</t>
  </si>
  <si>
    <t>; Don Segundo Revilla; D. Pedro Revilla* D. Narciso Holgado; D. Juan Solís Martin ; D. Valentín Perrino ; D. Ignacio Burguillo; D. Sebastian Sánchez; D. Juan Manuel Bazan; D. Marcelo Meló. Del estado eclesiástico secular y regular asistieron D. Angel Josef de Huecas j cura de S. Martin; D. Pedro Villafañe, id. de Sta. María; …</t>
  </si>
  <si>
    <t>Bazelle</t>
  </si>
  <si>
    <t>cie que se ha construido hasta ahora,y por ¿1 pasó la infantería á paso re­ Bit alia de Enzersdorf. doblado. Entre tanto el enemiío, confundido en El capitán Bazelle echó un puente de sus proyectos, volvió poco á. poco de su barcas en el espacio de hora y media, y el sorpiesa » y trató de ocupar algunos pues­ capiran Payenim.…</t>
  </si>
  <si>
    <t>Bea, José</t>
  </si>
  <si>
    <t>José Bea</t>
  </si>
  <si>
    <t>— D. José Perez Valiente. — D. Gregorio Tocanecorro. — Baronesa de Togia. — Marquesa de Villanueva. — D. Juan del Castillo. — D. Jo­ sé del Casal. — D. José Bea. — D. Cárlos Bancide. — Doña Ra­ mona Cabillas. — D. José Bes. — D. Antonio Oliveros. — Doña Jo­ sefa Luna. -- El conde de Cíavijo.— La muger de D. Andrés Elasti. — F…</t>
  </si>
  <si>
    <t>Bean</t>
  </si>
  <si>
    <t>6 de septiembre de 1809</t>
  </si>
  <si>
    <t>Gaceta de Madrid n.º 250</t>
  </si>
  <si>
    <t>arias cartas particulares escritas á dirimo país; porque en virtud de las últimas muchos de nuestros comerciantes se sabe disposiciones el cuerpo del general Bean- que el congreso de los Estados-Unidos ha mont está encargado de ocuparlo todo. Una decretado que desde el i.Q&gt; de agosto se «arta de Lindau , con fecha del 8 de es…</t>
  </si>
  <si>
    <t>Beaomont</t>
  </si>
  <si>
    <t>2 de agosto de 1809</t>
  </si>
  <si>
    <t>Gaceta de Madrid n.º 215</t>
  </si>
  <si>
    <t>adron de Schlumbach en Alt-Ravensbonrg. Francfort 17 de julio. . :1 ,,, El general dé división y comandante del ORDEN ¿BX, DIA. cuerpo dé Observación conde Beaomont ha . r; 1 salido de Augsborgo cOnun cuerpo consi­ Saxones! En la jomada del 5 de julio 7 derable, y se encamina hácia Memmingen. •á* 8© hombres de vuestras tropas…</t>
  </si>
  <si>
    <t>Beauharnais</t>
  </si>
  <si>
    <t>Gazeta del Gobierno n.º 31 (extraordinaria 2)</t>
  </si>
  <si>
    <t>as noticias que corren aquí como de oficio, y creen casi todos, el Archiduque Juan ha batido completamente al exército francés de Italia al mando del Príncipe Beauharnais, en los términos que dice la pape­ leta que .remite el Cónsul. También se asegura, y esto io escriben de Viena, que el Archiduque Carlos ha en­ trado en Bav…</t>
  </si>
  <si>
    <t>Beaumont</t>
  </si>
  <si>
    <t>upin y Vau- Alejandro. freland. ESPAÑA. Con la pacificación de la Suabia nos ha quedado disponible ti cuerpo de observa­ Madrid 14 de junio. ción del general Beaumont que está reuni­ do en AugsburgOj y en donde hai mas de Por reales decretos de ayer se ha servi­ 3© dragones. do el REI nombrar ¿ D. Diego Josef SalaLa rahia de …</t>
  </si>
  <si>
    <t>28 de junio de 1809</t>
  </si>
  <si>
    <t>Gaceta de Madrid n.º 179</t>
  </si>
  <si>
    <t>tropas de Aucsbur- tiempo, se pudiese saber su dirección ni go y de Wirtemberg para reforzar el cuerpo su objeto. Se tuvieron vivas iu quietudes del general Beaumont. Los depósitos de los por espacio de muchas semanas en diverso* regimientos 0.°, 13.0 y 14-° de dragones puntos de las fronteras de Aust-ia, y mu­ franceses han …</t>
  </si>
  <si>
    <t>M. I. de dar á los habitantes pacíficos de „E1 general Deroi cubre la Baviera su­ la Gallitzia la palabra solemne de que las perior, y el cuerpo del general Beaumont miras de la Rusia no son de modo ninguno el Lech.” las de un enemigo, y que durante sus ope­ raciones militares será religiosamente res­ CONFEDERACION DEL RIN. p…</t>
  </si>
  <si>
    <t>25 de agosto de 1809</t>
  </si>
  <si>
    <t>Gaceta de Madrid n.º 238</t>
  </si>
  <si>
    <t>12® hombres se El Reí Carlos xin ha hecho í~ la dieta dirige hada Lofer í y dekde allí al Tirol. Y1 en Ja sesión del 14 lá ¡proposición formal de el general Beaumont con 2o3 hombres se elegir por sucesor suyo al príncipe Cristia­ encamina hacia la 'orilla derecha del Lech. no de Holstein Augustenburgo. Esta pro­ y marcha cont…</t>
  </si>
  <si>
    <t>6 de noviembre de 1809</t>
  </si>
  <si>
    <t>Gaceta de Madrid n.º 311</t>
  </si>
  <si>
    <t>800 hombres. restablecimiento de la paz entre la Suecia, Carlstadt 7 de octubre. y ia Rusia. Los regimientos 3.0 y 4.* de dragones de la división del general Beaumont, que GRAN DUCADO DE VARSOVIA. hasta ahora han estado acantonados cerca de Munich, han recibido orden de venir Varsovta 2 de octubre. aqui provisionalmente , y l…</t>
  </si>
  <si>
    <t>Gaceta de Madrid n.º 316</t>
  </si>
  <si>
    <t>ras comarcas del Aligan.. juzga de las cosas solamente por costum­ F.rte de la caballería del cuerpo del bre , ó por lo que ha visto» no será extraño general Beaumont ba llegado á las inme­ quehaya muchos que crean imposible do diaciones de Canstatt, en Wurtemberg, ea establecerse el plan de que hablamos; pero donde permanece…</t>
  </si>
  <si>
    <t>Beaumour</t>
  </si>
  <si>
    <t>18 de junio de 1809</t>
  </si>
  <si>
    <t>Gaceta de Madrid n.º 169</t>
  </si>
  <si>
    <t>78</t>
  </si>
  <si>
    <t>que acometida lanchas resguardan todas las islas, cubren por el coronel Relset del cuerpo de obser­ el puente, y hacen grandes servicios. vación idel general Beaumour, ha sido cor­ El batallón ele obreros de la marina tra­ tada en Neumack, y tedos los oficiales y baja en la construcción de pequeños peni- -soldados han rendido…</t>
  </si>
  <si>
    <t>Beaurnont</t>
  </si>
  <si>
    <t>Gaceta de Madrid n.º 230</t>
  </si>
  <si>
    <t>1027</t>
  </si>
  <si>
    <t>e había aqui machos misticio, el duque de Abranles va acanto­ dias luí han salido ayer para el Tirol. El nando sus tropas entre Nuremberg y Cugeneral conde Beaurnont va á trasladar su lenbach: su quartel general permanecerá en quartcl general á Ivempte". Dentro de po­ Baireuth. Las tropas austríacas, que ocupa­ cos dias tendr…</t>
  </si>
  <si>
    <t>Bebieres</t>
  </si>
  <si>
    <t>Gaceta de Madrid n.º 214</t>
  </si>
  <si>
    <t>tomado las de los profesores Cesarotti y BettiOellr, el mando del cuerpo que estaba á las órde­ que en la carrera.deia* l«tras y de las cien­ nes del mariscal Bebieres, elqual oo está cias han honrado, á su pais por sus talento* aun restablecido de su herida. y por sus escritos. - , , • -Del xj. S. A. E rna, el príncípc píi n…</t>
  </si>
  <si>
    <t>Beckwith</t>
  </si>
  <si>
    <t>17 de abril de 1809</t>
  </si>
  <si>
    <t>Gazeta del Gobierno n.º 19 (suplemento)</t>
  </si>
  <si>
    <t>23</t>
  </si>
  <si>
    <t>e hizo sin oposición, y los vecinos del pueblo inmediato salieron *■ cumplimentar á las tropas británicas.. A las cinco de la misma tarde el Teniente general Beckwith ^ y ; el Brigadier general Colville, desembarcaron ¿ con la1; segunda . brigada, com­ puesta de los regimientos número 8 y 13, y 4 compañías del de las Indias O…</t>
  </si>
  <si>
    <t>Béckwith</t>
  </si>
  <si>
    <t>s y, libertarlos; del inminente peligro en que se consi­ deraban de sufrir la, suerte, d. que los. debía condenar una. justa venganza.. —El Teniente, General Béckwith , comandante de las tro- / pas británicas; en la Martinica,, con fecha de &amp;8: de. febre-xo, da cuenta, de que después de haber completado la cons-truccion de la…</t>
  </si>
  <si>
    <t>Bedel</t>
  </si>
  <si>
    <t>641</t>
  </si>
  <si>
    <t>de llamar á lord Copenhague 15 de abril. Gambier jesuíta, metodista y cantor de Anteayer llegó aquí otra vez de Suecia salmos; esto en presencia del capitán Bedel señor conde de Loevenhielm, y hoi ha ford, que manda la Celedonia. Este pre­ continuado su camino para Paris. guntó al almirante Hervei si quería que se S. M. el Em…</t>
  </si>
  <si>
    <t>Bedoya, Juan Mjmiel</t>
  </si>
  <si>
    <t>Juan Mjmiel Bedoya</t>
  </si>
  <si>
    <t>Gazeta del Gobierno n.º 44</t>
  </si>
  <si>
    <t>70</t>
  </si>
  <si>
    <t>se can­ tó en la Ciudad de Cádiz el día 30 de mayo de 1809. Instrucciones cristianas para los Militares: las publica cor­ regidas y aumentadas el Dr. D. Juan Mjmiel Bedoya * ca­ nónigo daí R¿al sitio de S. Ildefonso. .Las virtudes militares y cristianas de que debe estar adornado ui militar son el principal obj .to de esta ob…</t>
  </si>
  <si>
    <t>Beguilía, Antonio</t>
  </si>
  <si>
    <t>Antonio Beguilía</t>
  </si>
  <si>
    <t>Tirado, 10 rls. para un par de medias. D. Agustín García, 10 rls, para un par dé medias. D. Juan Antonio Castañeda, 20 rls. para dos pares de media*. D. Antonio Beguilía, 20 rls. para dos pares de medias. D. Fernando Quero, 10 rls. para unas medias.</t>
  </si>
  <si>
    <t>Beilegarde</t>
  </si>
  <si>
    <t>Gazeta del Gobierno n.º 38 (extraordinaria 2)</t>
  </si>
  <si>
    <t>en el de Grossf Arpen. Seguros de alcanzar la mas brillante victo­ ria, no se presentaron en él campo hasta el 21 á das quatro de la tarde, en que el General Beilegarde hizo un falso ata­ que sobre la izquierda enemiga, entretanto que llamada á aquel punto la atención de los franceses, el Archiduque Car­ los desplegó magestuo…</t>
  </si>
  <si>
    <t>Belengero, Domingo</t>
  </si>
  <si>
    <t>Domingo Belengero</t>
  </si>
  <si>
    <t>sugetos siguientesD. BaltasarJBecerril, alcalde por el estado noble; D. Manuel Rubio, id. por el estado general; D. Tomas Lló­ rente , cura párroco; D. Domingo Belengero, administrador [de correos; Fr. Josef de la Purificación , guardián de la comunidad de Gilitos, y Fray Eugenio Pardo Y vicario de la comunidad de monjas Obse…</t>
  </si>
  <si>
    <t>Belestá, José</t>
  </si>
  <si>
    <t>José Belestá</t>
  </si>
  <si>
    <t>artillería de su división , y recomendando á los oficiales de ella , el coronel D. Antonio Reselló, el capitau I). Martin Sarandia, y el.subteniente D. José Belestá , que con sus acertados tiros inutilizaron los proyectos del enemigo.” “Ei mariscal de campo D. Francisco Ballesteros , general de la tercera división, elogia muc…</t>
  </si>
  <si>
    <t>Belíegarde</t>
  </si>
  <si>
    <t>1807</t>
  </si>
  <si>
    <t>el Ministro francés resi­ dente en Hamburgo noticia positiva de haber el Austria declarado la guerra á la Francia y sus aliados. Se asegu­ ra que el General Belíegarde ha entrado en la Francenia, y que las tropas austríacas han ocupado á Bayreuth y Bamberg , añadiéndose que á esto precedió una acción en la qual fueron enteram…</t>
  </si>
  <si>
    <t>Bellegar</t>
  </si>
  <si>
    <t>Gaceta de Madrid n.º 160</t>
  </si>
  <si>
    <t>744</t>
  </si>
  <si>
    <t>erecha. El centro del exército enemigo no riscal duque de Rívoli fue el primero i sostuvo la vista de nuestras tropas. Todo quien atacó el cuerpo del general Bellegar- fue arrollado en un momento. El duque de de en Gress- Aspern. Maniobró con las di­ Istria mandó dar muchos ataques atinados, visiones Molitor y Legrand, y dura…</t>
  </si>
  <si>
    <t>Bellegarde</t>
  </si>
  <si>
    <t>de tros coraceros se han llenado de gloria , co­ Kollowrath y de Lichtenstein fueron des­ mo acostumbran.siempre. hechos y derrotados. El cuerpo del general Bellegarde , que llegó al día siguiente de Combate y toma de Ratisbona el dia 03. esta batalla, no hizo masque ser testigo de AI amanecer del dia 23 el exército em­ la to…</t>
  </si>
  <si>
    <t>o austríaco todos han entrado en ac­ la orden de María Teresa , y teniente feld ción, excepto los 2 o© hombres que manda mariscal imperial y real. el general Bellegarde. Por el contrario, cer­ ca de la mitad del exército francés no ha ORDEN DEL DIA. disparado un fusil. Atónito el enemigo con Soldados. Habéis llenado mis esper…</t>
  </si>
  <si>
    <t>á la casa de Austria , parece que aqiiella na­ príncipe Carlos á destacar hacia aquella ción se ha negado á aprontat toda especie parte el cuerpo del general Bellegarde ; pe­ &lt; de Socorros. ro el príncipe de Ponteeorvo, por medio de El general Eaúriston, edecán de S. M., una contramarcha , se encaminó precipita­ 'á la cabeza …</t>
  </si>
  <si>
    <t>12 de junio de 1809</t>
  </si>
  <si>
    <t>Gazeta del Gobierno n.º 36</t>
  </si>
  <si>
    <t>69</t>
  </si>
  <si>
    <t>da las alas? del? exército’ francés,- y que si una de las? suyas? había cedido alguna co* sa, ya estaba reforzada con¡ un cuerpo- de 2.od hombres deh General Bellegarde,- y ocupaba? sus posiciones.* Las gazetas de Holanda: hablan de una batalla: en lá’* Polonia,- en la qual mandaba: los austríacos^ el Archiduque' Fernando; y …</t>
  </si>
  <si>
    <t>29 de junio de 1809</t>
  </si>
  <si>
    <t>Gaceta de Madrid n.º 180</t>
  </si>
  <si>
    <t>824</t>
  </si>
  <si>
    <t>ala izquierda la ,, En Bosnia se saca' ün hombre de cada manda actualmente dicho general; la dere­ familia para el exército; pero el gobierno cha él general Bellegarde ; el centro eí ge­ turco está descontento por la lentitud, con neral Hohenzollern , y la reserva el prínci­ que se executa esta providencia____Lá co­ pe Mauric…</t>
  </si>
  <si>
    <t>sición d,e reunirse al exército grande ó al de la insurrección húngara. El Archiduque Carlos, después de reforzar con %% batallones el exerci­ to del General Bellegarde , estaba aun á la cabeza de i 6o9 hombres -en Bohemia. En sunia sabemos que los austríaco? están por todas partes concentrando sus inmensas fuerzas. Pero no s…</t>
  </si>
  <si>
    <t>3 de julio de 1809</t>
  </si>
  <si>
    <t>Gaceta de Madrid n.º 184</t>
  </si>
  <si>
    <t>anzar la mas brillante victoria, no se Cataluña del lunes 11 de junio presentaron en el campo hasta las 4 de la de iSoS‘ tarde del día 21 , en que el general Bellegarde hizo un falso ataque sobre la izquier­ Quartelgeneral de Tarragona. da enemiga:- entre tanto que, llamada á aquel punto la atención de los franceses, el Acaba…</t>
  </si>
  <si>
    <t>29 de julio de 1809</t>
  </si>
  <si>
    <t>Gaceta de Madrid n.º 211</t>
  </si>
  <si>
    <t>y la artillería del desde la frontera de Moravia hácia Raab, enemigo que desfilaban hacia la Bohemia. que comenzará en el punto en donde la fron­ El general Bellegarde le escribió que el tera dél 'círculo de Brunn toca con el March; príncipe Juan de Lichtenstein iba á ver al y baxando el March hasta la confluencia del Emperad…</t>
  </si>
  <si>
    <t>Gazeta del Gobierno n.º 43 · 2.ª serie</t>
  </si>
  <si>
    <t>405</t>
  </si>
  <si>
    <t>405 feld-mariscales á los generales conde Bellegarde , príncipe de Lichtenstein y á Collovvrath. En la misma promoción han sido nombrados tenientes feld-mariscales al mayor-general barón Meyer de Heldenfels y al conde Bubna. Id. 28. Hoy han ll</t>
  </si>
  <si>
    <t>Belliard</t>
  </si>
  <si>
    <t>24 de noviembre de 1809</t>
  </si>
  <si>
    <t>Gaceta de Madrid n.º 329</t>
  </si>
  <si>
    <t>443</t>
  </si>
  <si>
    <t>aremos noticia al brunn diferentes decretos, que no podréis público. Luego que entran los prisionero* leer ciertamente sin que exciten en vosotros el general Belliard , gobernador de Madrid, una nueva gratitud y reconocimiento al hé­ les pasa revista «n el Prado. roe que ha resucitado en Italia, que tantat Se asegura que á es…</t>
  </si>
  <si>
    <t>cuerpo de sus tropas estaba á tan cor­ en número crecidísimo de prisioneros de la ta distancia de' Madrid, que podía .oir el batalla de Ocaña, que el general Belliard, estrépito del cañón que se disparaba contra gobernador de Madrid, ha pasado revista esta villa. He aqui el auxilio que los espa­ en el Prado: también han entra…</t>
  </si>
  <si>
    <t>Bello, Juan</t>
  </si>
  <si>
    <t>Juan Bello</t>
  </si>
  <si>
    <t>, que no hacen sino prolongar lina guerra destructora del pueblo : manda que estos particulares, »tue son D. José González Icedo , D. Diego de Alva, D. Juan Bello , D. José Barcena , D. Florentin Carranza , el vizconde de Rascón , D. Juan Peñalosa ,y D. N. Arteaga , todos conocidos con el nombre de ganaderos, es decir , posee…</t>
  </si>
  <si>
    <t>Bellogarda</t>
  </si>
  <si>
    <t>haber entrado en Varsovia. Ei General St. Jutien , que acompaña á e3te Príncipe , está nombrado Comi­ sario cíví; para la organización del Ducado. El General Bellogarda, 'que se hallaba en -marcha sobre Kleatscb , para en­ trar en Baviera , se ha encaminado á Egra , sabiendo que se había movido ei cuerpo del Príncipe de Ponte…</t>
  </si>
  <si>
    <t>Belloute</t>
  </si>
  <si>
    <t>30 de mayo de 1809</t>
  </si>
  <si>
    <t>Gaceta de Madrid n.º 150</t>
  </si>
  <si>
    <t>iente gene­ cita la admiración de toda la capital: por ral O-Reilli enviaba al teniente general lo qual se ha aumentado en meaos de ua de Vaux , y al coronel Belloute para tra­ mes con mas de 400 reclutas voluntarios. EN LA IMPRENTA REAL.</t>
  </si>
  <si>
    <t>Belmar, Jusef</t>
  </si>
  <si>
    <t>Jusef Belmar</t>
  </si>
  <si>
    <t>20 de febrero de 1809</t>
  </si>
  <si>
    <t>Gaceta de Madrid n.º 51</t>
  </si>
  <si>
    <t>de Policía de Madrid í&gt; Josef Hermosilla, D.1 Juan de Matia y Satini, IX.Juan Antonio de Zámacóla , Don Josef de Ibarrbla , D. Lorenzo de Negueruela, D. Jusef Belmar , D. Geferjno Ceyalios , D.An§elmo Rerenga., D..Manuel Antonio Díaz, y jus­ to de la Vega Osorio. , ; art. in. Nuestro ministro de Policía general queda encargad…</t>
  </si>
  <si>
    <t>Belo</t>
  </si>
  <si>
    <t>idum­ portancia de las observaciones que ha he­ bre. El camarero mayor príncipe Na- cho. Mr. de Seerzen, protegido por Abdarischkin , el copero mayor príncipe Belo- llah , baxá de Damasco , emprendió pasar •elski , la princesa Wolkonski, dama de á los países de Siria y de Palestina, situa­ palacio, la princesa Beloselski y la…</t>
  </si>
  <si>
    <t>Beloselski</t>
  </si>
  <si>
    <t>ncipe Belo- llah , baxá de Damasco , emprendió pasar •elski , la princesa Wolkonski, dama de á los países de Siria y de Palestina, situa­ palacio, la princesa Beloselski y la condesa dos mas allá del Jordán por la parte de de Tolstoi, damas de honor, han sido des­ Arabia, los quaies no han sido visitados ni tinados para la se…</t>
  </si>
  <si>
    <t>Beloute</t>
  </si>
  <si>
    <t>31 de mayo de 1809</t>
  </si>
  <si>
    <t>Gaceta de Madrid n.º 151</t>
  </si>
  <si>
    <t>y Rbi, tinuarán pagándose á todos los individuos Y ele señor barón d: Vaitx , teniente gene­ que las disfrutan, ya sean militares pensio­ ral , y ej coronel Beloute, d nombre del nados , ó inválidos empleados en alguna ad­ teniente general conde de O-Reilli, por ministración militar, y lo mismo las mu­ parte de la plaza y gua…</t>
  </si>
  <si>
    <t>Belve</t>
  </si>
  <si>
    <t>10 de enero de 1809</t>
  </si>
  <si>
    <t>Gazeta Ministerial de Sevilla n.º 65</t>
  </si>
  <si>
    <t>526</t>
  </si>
  <si>
    <t>526 lacion , y en términos como si los franceses hubiesen aniquilado el exército de Extremadura. El conde Belve» der mandaba este cuerpo ; y por sns partes sabemos que su bsnguardia, que constaba de 7© hambres, faé i a que se adelantó hasta dicha capital, en tinto que los france­ ses nos hablan de ao©, los 3© muertos en el ca</t>
  </si>
  <si>
    <t>Beneckendorf</t>
  </si>
  <si>
    <t>31 de marzo de 1809</t>
  </si>
  <si>
    <t>Gazeta del Gobierno n.º 14</t>
  </si>
  <si>
    <t>s prusianas han sido arrestados y puestos en consejo de guerra: el general Romberg, comandante de Stettin; el general Lecoq* comandante de Hameln; el general Beneckendorf, coman­ dante de Spandau; el coronel Bouman, principal ingeniero de Custrin; el mayor Rauch, que según se dice, contri­ buyó á que cayese en manos de los fr…</t>
  </si>
  <si>
    <t>Benedicto, Manuel</t>
  </si>
  <si>
    <t>Manuel Benedicto</t>
  </si>
  <si>
    <t>15 de abril de 1809</t>
  </si>
  <si>
    <t>Gazeta del Gobierno n.º 18 (extraordinaria)</t>
  </si>
  <si>
    <t>istinguido valor que han acreditado , ademas del citado Capitán González , los de la misma clase del batallón de la Victoria D. Francis­ co Colombo , D. Manuel Benedicto , el Alférez de Navio del propio cuerpo D. Josef María Sierra , el Capitán deí regimiento de Zamora D. Josef Tomaseo , el Teniente del citado cuerpo D* Anton…</t>
  </si>
  <si>
    <t>Benehtold</t>
  </si>
  <si>
    <t>Gaceta de Madrid n.º 267</t>
  </si>
  <si>
    <t>76</t>
  </si>
  <si>
    <t>ón. El ordena­ vqjevicz, con la milicia y la nueva cónsdor Dervillé tiene á su cargo mucho tiem­ cripcion. po hace ia policía de esta provincia de El conde Benehtold , sngero conocido Viena. por su acendrada beneficencia , acaba de ser A consecuencia del decreto imperial de 9 víctima de su humanidad. II bia hecho de del corri…</t>
  </si>
  <si>
    <t>Beni</t>
  </si>
  <si>
    <t>14 de enero de 1809</t>
  </si>
  <si>
    <t>Gazeta del Gobierno n.º 3</t>
  </si>
  <si>
    <t>Navacerrada, y Somosierra. Considerando á este mas expuesto, envié casi todas las tropas que pude recolectar para su defensa al cargo del acreditado D. Beni­ to San Juan. Pero las numerosas tropas con que el Emperador Jas cargó, las envolvieron y dispersaron. De otra parte procuré fortificar á Madrid contra un ataque brusco ó…</t>
  </si>
  <si>
    <t>Benisa, Pedro</t>
  </si>
  <si>
    <t>Pedro Benisa</t>
  </si>
  <si>
    <t>--------- ó«y de Ito. — D. Pedro Balduque. — D. Francisco Carrica. — D. Faus­ tino Lecha. — D, Ramón Robres. — D. Pedro Benisa. — D. Joaquin Manrique de Lara.-- D. Manuel García del Campo.— D. Vi­ cente Aragón. — D. Antonio Viscasillas. — D. Vicente Martínez.— D. Hilario Ximenez.— Angel Blanque.— Juan Domec.- D. Fr</t>
  </si>
  <si>
    <t>Benitea, Joan Josef</t>
  </si>
  <si>
    <t>Joan Josef Benitea</t>
  </si>
  <si>
    <t>nzález , 20 rls. para dos pares de medias» D. Manuel Alegre , 10 rls. para un par de medias. D. Josef García , 70 rls. para 4 mochilas y unas medias» D. Joan Josef Benitea , 60 rls. para .4 mochilas» D. Bernardo Coroviqui , 12 ris. para un sombrero. . D. Pedro de Castilla , 10 rls. para un par de medias» D. J a^uin Sánchez, 4…</t>
  </si>
  <si>
    <t>Benito</t>
  </si>
  <si>
    <t>te de campo el capi­ tán D. Antonio Abaurre, lo fué igualmente de brda de ca­ llón en el principio de la acción, y murió á pocas horas *n la villa de D. Benito. El Teniente General Duque del Parque, y el Mariscal de Campo Marqués de Poitágo , que habíanacreditado sateriormeote su serenidad y firmeza en la acción del .17 so­ b…</t>
  </si>
  <si>
    <t>ficiales primeros ; á JD. Mateo Bravo y Lomas, JD. Antonio Leiral, O. Cirios Re- Reflexiones sobre los decretos de 18 de boul, JD. Francisco Guilmó , D. Benito agosto relativos tí la cesación de las Navarro, D. Francisco Larregui , D. An­ grandezas y títulos que no se hayan con­ drés Piñuela , D. Víctor Moreno, D.Juan cedido …</t>
  </si>
  <si>
    <t>m. i.°, infantería ligera. geros de la guardia real. Serbert (D. Lorenzo),' capitán del Real Paquiu, escudero del Reí. Extrangero. Pardo de Figueroa (D. Benito), ministro Silvestre (D. Josef) , tirador del regimien­ en Rnsia. to núm. i.°, infantería de línea. Paroise , primer médico de cámara. Soto-Mayor (duque), maestro de c…</t>
  </si>
  <si>
    <t>381</t>
  </si>
  <si>
    <t>ron 14-: el número de heridos se ignora. Los nuestros tuvieron un soldado y 3 caballos muertos, 3 soldados he­ ridos levemente, y 2 de gravedad. — Al comandante Benito le sorprehendieron 60 franceses en Sta. María del Cubo, los atacó; los puso en fuga precipitada y los perseguid hasta Paneorbo, ma­ tándoles un hombre. — Habie…</t>
  </si>
  <si>
    <t>, brigadier de caba­ art. ir. Nuestros gran canciller y gran llos ligeros de la guardia real. tesorero de la Orden quedan encargados de Mata Linares (D. Benito), consejero de la execucion del presente decreto. = Firma­ Estado. do = EL REI. = Por S. M. el gran Maurin (D. Santiago), coronel del regi­ canciller de la Orden duque…</t>
  </si>
  <si>
    <t>ete de Estado. . •-•-— y de la-Torre.” Obregen ( D. Pedro), teniente general de nuestra real armada. En los últimos periódicos de Sevilla, que Pardo (D. Benito) i nuestro ministro en tenemds á la vista, hai varios artículos que Rusia. nos parece oportuno ¡asertar en nuestra gaPiñuela (D. Sebastian ), consejero de Es- aétáu ‘ …</t>
  </si>
  <si>
    <t>Benito, Antonio</t>
  </si>
  <si>
    <t>Antonio Benito</t>
  </si>
  <si>
    <t>15 de septiembre de 1809</t>
  </si>
  <si>
    <t>Gaceta de Madrid n.º 259</t>
  </si>
  <si>
    <t>de la Justicia á los geordinaria prontitud, los problemas de geo­ fes de división D. Alonso Tovar y Ximemetría trascendental que se le propu­ nez , y D. Antonio Benito. sieron. El gefe de división D. Alonso Tovar y ESPAÑA. Ximenez tiene á su cargo la conservación de todos los reales decretos; cuida de su Madrid, 14 de setiemb…</t>
  </si>
  <si>
    <t>Benosa, Juan</t>
  </si>
  <si>
    <t>Juan Benosa</t>
  </si>
  <si>
    <t>6 de enero de 1809</t>
  </si>
  <si>
    <t>Gazeta del Gobierno n.º 1 (suplemento)</t>
  </si>
  <si>
    <t>ron recha­ zados, perseguidos, y obligados á refugiarse en Francia por la valerosa resistencia del teniente del Tercio de Miqueletes del propio Valle D. Juan Benosa con los doce hombres de su par­ tida de guerrilla, y de los Habitantes de los Pueblo* de Cane­ jar, y Bansen, haviendoles muerto seis hombres, herido á varios, y …</t>
  </si>
  <si>
    <t>Ber</t>
  </si>
  <si>
    <t>el tiempo acreditará que no cedo, teniente general de la reai arrn..da, tengo por objeto sino vuestra felicidad , y y decano del consejo de Marina; á D. Ber­ que os he dicho la verdad. nardo d« Inarte, consejero y camarista de</t>
  </si>
  <si>
    <t>Gaceta de Madrid n.º 103</t>
  </si>
  <si>
    <t>499</t>
  </si>
  <si>
    <t>publicación de este edicto llo . capellán que ha sido de las Huelgas de á sus casas, ofreciéndoles protección y se­ Burgos , vacante por renuncia de D. Ber- guridad en sus personas , bienes y exercifiardino Martines, capellán que también ha cios ; como también que se oirán los descar­ sido de las Huelgas, á causa de los acha-…</t>
  </si>
  <si>
    <t>16 de mayo de 1809</t>
  </si>
  <si>
    <t>Gaceta de Madrid n.º 136</t>
  </si>
  <si>
    <t>648</t>
  </si>
  <si>
    <t>puertos americanos. Quando producciones, tanto rústicas como urbanas. el fabricante buscaba el consumo de sus ma­ „En Sevilla, decía á este proposito D. Ber­ nufacturas dentro del continente español, nardo de UUoa , de los frutos, aunque sean tenia que pagar los derechos de aduanade contingente entrada, se cobra el 14 por ge …</t>
  </si>
  <si>
    <t>25 de julio de 1809</t>
  </si>
  <si>
    <t>Gazeta del Gobierno n.º 48</t>
  </si>
  <si>
    <t>do dia de nuestra retirada tuvimos la desgracia de perder á Mr. Crouzet. (Este Comisario fué hecho prisio­ nero por una patrulla del exército del Sr. Mariscal Ber.esford^ que per seguía al General Loison.) Os ruego, mi General, que t deis las órdenes convenientes para que todos los transportes destinados á los regimientos del…</t>
  </si>
  <si>
    <t>a, presbítero y be­ responsabilidad personal de todos los que neficiado de Arechavaleta , para una canonla formen. gía de la santa iglesia de León: á D. Ber­ art. vi. El censor de estudios formará nardo Ulloa, presbítero ex-cisterciense, pa­ cada año el estado general de los alumnos ra otra canongía de la de Tui: á D. Fran­ y…</t>
  </si>
  <si>
    <t>Beramendi, Cárlos</t>
  </si>
  <si>
    <t>Cárlos Beramendi</t>
  </si>
  <si>
    <t>Gazeta del Gobierno n.º 36 · 2.ª serie (suplemento 2.º)</t>
  </si>
  <si>
    <t>346</t>
  </si>
  <si>
    <t>la compañía de reserva del general y otros muchos vecinos se mezcla­ ron entre nuestras filas llenos del mayor entusiasmo; y que el Sr. in­ tendente D. Cárlos Beramendi , siempre presente en todas las accio­ nes que se empeñan j subió acompañado del comisario de guerra D. Epifanía Raíz á la torre GironeÜa, en la que habiendo …</t>
  </si>
  <si>
    <t>Berdalíes, Juan</t>
  </si>
  <si>
    <t>Juan Berdalíes</t>
  </si>
  <si>
    <t>ro sas­ tre : Francisco Grille 6 Brilieu : D. Andrés Borgas ó Bersi: Mar­ cos Andrés ó Andreu: Juana Basadre su muger: dos hijastros de dicho Andreu: D. Juan Berdalíes: D. Juan Bautista Jouban: Ma­ nuel Mantdian (alias Mojenja) : Juan Caula: José Benjamín: Jo­ sé Letre : Vicente Perez : Juan de Denis Mari: Froy'an de Pra­ do …</t>
  </si>
  <si>
    <t>Beresfard</t>
  </si>
  <si>
    <t>ntento de los enemigos, cuyas fuerzas, mandadas por el General Lobon, ascendían por allí como de 3 á 40 hombres , y les ha hecho algún daño. Avisa el Mariscal Beresfard que el 12 tenia todas sus tropas. Parecía su designio encaminarse á Ama rante y desalojar de allí al enemigo, que como en el ca­ so de retirarse, habría de ha…</t>
  </si>
  <si>
    <t>Beresford</t>
  </si>
  <si>
    <t>21 de febrero de 1809</t>
  </si>
  <si>
    <t>Gaceta de Madrid n.º 52</t>
  </si>
  <si>
    <t>daron en tierra para observar los movi­ mientos del enemigo, todo lo demas estaba ya á bordo de los buques antes que amaneciese. La brigada dél mayor general Beresford, que formaba nuestra retaguar­ dia, ocupaba el frente de tierra de la ciudad, y la del mayor general Hill se colocó de reserva en el promontorio que hai á espa…</t>
  </si>
  <si>
    <t>22 de febrero de 1809</t>
  </si>
  <si>
    <t>Gaceta de Madrid n.º 53</t>
  </si>
  <si>
    <t>e dio orden para que la brigada mandada por el mayor general Htll comenzase á embarcarsé, y á las 3 de la tarde estaba ya toda ella á bordó. El mayor general Beresford, cuyo celo y habilidad son bien co­ nocidas de vos y de todo el exércitó, después de haber explicado á satisfac­ ción del-gobernador español la naturaleza de n…</t>
  </si>
  <si>
    <t>Gazeta del Gobierno n.º 12 (suplemento)</t>
  </si>
  <si>
    <t>stinadas á permanecer en tierra par» observar los movimientos del enemigo, todas las tropas es­ taban á bordo antes de amanecer. La brigada del Mayor general Beresford que debía al­ ternativamente formar nuestra retaguardia ocupó? la punta do tierra del puerto de la Coruña ; y la del Mayor generad Hill estaba apostada de rese…</t>
  </si>
  <si>
    <t>gos con el cor­ reo de gabinete D. Juan Moriano para que llegue al co­ nocimiento de S. M. el estado progresivo de las cosas. El dia 9 ha escrito el ¡Mariscal Beresford á este Mi­ nistro de la Guerra, desde Lamego,%. y le dice que pronto jeuniria todas sus fuerzas j que había enviado adelante al</t>
  </si>
  <si>
    <t>ingle­ ses, se ha distinguido, y se han señalado también dos regimientos ingleses de caballería; y que ia del enemigo ha jugado poco en la acción. El Mariscal Beresford ha pasado el Duero por la in­ mediación de Lamego, y avisa con fecha del 11 á este Ministro de la Guerra los movimientos desús tropas. Hí, hecho adelantar has…</t>
  </si>
  <si>
    <t>d con pre­ cipitación, se situaron á dos legiias, y los ingleses que se reunían el 13, iban á atacarlos el 14.. Entre los in­ gleses y las tropas del Mariscal Beresford cjue deben mar­ char por Amarante, no pueden escapar. Los Generales alia­ dos no comunican la noticia sin duda por la mucha ocu­ pación.' que tenían para enyo…</t>
  </si>
  <si>
    <t>29 de mayo de 1809</t>
  </si>
  <si>
    <t>Gazeta del Gobierno n.º 32</t>
  </si>
  <si>
    <t>42</t>
  </si>
  <si>
    <t>ses, nada tu­ vimos que hacer. En fin en dos horas quedó Oporto re­ cobrado----Huyeron hacia la sierra de Valongo, á donde les deben haber seguido el mariscal Beresford con el general S'ilveyra y otros xefes, y ya sabemos que en Baltar fueron de­ rrotados por el exército combinado: es regular que mañana va­ yamos allá, y vere…</t>
  </si>
  <si>
    <t>733</t>
  </si>
  <si>
    <t>. . 733~ QuarteV generai de Callariz 4 de julio.— Orden del día. WE1 Exemo. Señor Mariscal Beresford , comandante en xefe del exército, manda: que precisamente en el dia 15 del corriente todos ios comandantes de los cuerpos le remitan un estado de los oficiales, con distinción de los que se</t>
  </si>
  <si>
    <t>Beresíord</t>
  </si>
  <si>
    <t>er dueño de! paso del rio quando lo juzgase conveniente Li exercito británico tenia su quartel general en Deleitosa, y el jwrtugues ú las ordenes del general Beresíord estaba el 7 del cor­ riente mas alia de Ciudad-Rodrigo. — No tenernos noticias de los demás ejércitos españoles ; pero ahora que se han reunido los franceses, …</t>
  </si>
  <si>
    <t>Bergier</t>
  </si>
  <si>
    <t>25 de febrero de 1809</t>
  </si>
  <si>
    <t>Gaceta de Madrid n.º 56</t>
  </si>
  <si>
    <t>1800</t>
  </si>
  <si>
    <t>tal de SS. MM. el Rei y la Reina de Prosia, acompaña­ dos de los príncipes Guillermo y Augusto. S. M. I. habia ido á recibirlos á la quinta del señor consejero Bergier. El Emperador, el Rei de Prusia y el príncipe Constantino entraron á caballo delante de la Reina, que venia en una carroza tirada por 8 caballos. Treinta mil h…</t>
  </si>
  <si>
    <t>Bergrandes</t>
  </si>
  <si>
    <t>6 de agosto de 1809</t>
  </si>
  <si>
    <t>Gaceta de Madrid n.º 219</t>
  </si>
  <si>
    <t>RIO FRANCES. cesantemente en el manejo de las armasvy Strasburgo -zade julio. . ¡ en las evoluciones militares, y manifiestan Hoihapasado por aquí el mariscal Bergrandes deseos ,de incorporarse con los re- nadotte, príncipe de Politéeorvo ■, que pásá gimienfps.iy.qiie están destinadas. Las: que á París del exército de Alemani…</t>
  </si>
  <si>
    <t>Berhuy, Juan</t>
  </si>
  <si>
    <t>Juan Berhuy</t>
  </si>
  <si>
    <t>les de la primera y segunda división los mariscales de campo marques de Zayas y D. Vicente Iglesias , llenaron sus deberes, así como el de la reserva D. Juan Berhuy, y el teniente general D. Juan de Henestrosa, quemando la primera división de caballería , acudían á los paragés por donde intentaba penetrar el enemigo, ó amenaz…</t>
  </si>
  <si>
    <t>Bermudez, Josef</t>
  </si>
  <si>
    <t>Josef Bermudez</t>
  </si>
  <si>
    <t>16 de enero de 1809</t>
  </si>
  <si>
    <t>Gazeta del Gobierno n.º 3 (extraordinaria)</t>
  </si>
  <si>
    <t>38</t>
  </si>
  <si>
    <t>tos , y 36 .heridos. VOLUNTARIOS DE CATALUÑA. Dos heridos. CABALLERIA. El Capitán de Dragones del Rey D. Juan de Pen, contuso. FERNANDO VIL El Cadete D. Josef Bermudez herido, un soldado muerto, y 17 heridos en general. PROCLAMA. VALEROSOS MADRILEÑOS. Mi suerte me tiene siempre entre el estruendo del ca­ ñón y las bayonetas d…</t>
  </si>
  <si>
    <t>Bermudez, Juan Ceaii</t>
  </si>
  <si>
    <t>Juan Ceaii Bermudez</t>
  </si>
  <si>
    <t>231</t>
  </si>
  <si>
    <t>iano Blancas oficial primero , y á D. José Xoriega ar­ chivero. Por decreto de 30 de agosto lia nombrado en el ministerio de negocios eclesiásticos á D. Juan Ceaii Bermudez xefe de división; á D. Cipriano Salinero , D. Nicolás María Bremond, D. Mariano Garrido y D. Pedro Alfaro y Remon oficiales segundos; y á D. Jo­ sé Julián…</t>
  </si>
  <si>
    <t>Bernabaxador</t>
  </si>
  <si>
    <t>ncés, insultar­ Sr. conde de Metternich. lo con dicharachos injuriosos, renovando ■ Burdeos 30 de julio de 1808. Señor em- de este modo la escena del general Bernabaxador: he recibido vuestra carta de 22 dotte en Viena. Al mismo tiempo se ha vis­ del corriente , y , aunque meramente con­ to la policía de aquella ciudad , que …</t>
  </si>
  <si>
    <t>Bernabé</t>
  </si>
  <si>
    <t>D. Cayetano) , gefe de batallón del regimiento Josef Napo­ En (a gazeta del 13 del presente, nú­ león. mero 348 , pág. 1522, donde dice Gonzá­ Rapnn (D. Bernabé ), comisario ordenador. lez ( D. Manuel) } capitán de caballería, Retz ( D. Joan María de), teniente coro- debe leerse González (D. Manuel) , ca­ - nel de Ingenieros.…</t>
  </si>
  <si>
    <t>Bernabé, José</t>
  </si>
  <si>
    <t>José Bernabé</t>
  </si>
  <si>
    <t>e Guardiola. 10.000 El capitán D. Juan Francisco Gallo. 3 ooo D. Luis Escolar. 8.000 D. José Manuel Balbontin. 2.000 D. Juan Antonio Estanillo. 2.000 D. José Bernabé lzita. 16.000 D. Pedro Marcos Gutiérrez. 8.000 D, Francisco Almirante. 10.000 D. Juan Manuel Bustillos. 2.000 D. Manuel Diez Cortina. 1.000 D. Francisco y D. Joa…</t>
  </si>
  <si>
    <t>Bernadotte</t>
  </si>
  <si>
    <t>te á la guerra; de estar á menos costa ; las habéis reconcen­ esta manera movieron la guerra insultando trado hacia Cracovia ; estáis dispuestos á al general Bernadotte. Las intrigas particu­ amenazar en caso necesario la Silesia. Todo lares os arrastran á un punto adonde no vuestro exército está reunido, y ha tomado queréis …</t>
  </si>
  <si>
    <t>ta que .remite el Cónsul. También se asegura, y esto io escriben de Viena, que el Archiduque Carlos ha en­ trado en Baviera, interponiéndose entre el General Bernadotte,y el grueso del exército francés, para impedir la reu­ nión de u aquél á este, como . efectivamente lo Íki conse-</t>
  </si>
  <si>
    <t>Gazeta del Gobierno n.º 27 · 2.ª serie</t>
  </si>
  <si>
    <t>254</t>
  </si>
  <si>
    <t>.” “ Se dice que el rey y su guardia saldrán de nuevo á campa­ ña al fin del mes. También nos aseguran, que han llegado mochas tropas á Bayona con el príncipe Bernadotte, el que viene de te­ niente general del emperador-, y con despacho de rey de Portu­ gal en su cartera peto no vemos llegar ni las unas, ni el otro ” _______ …</t>
  </si>
  <si>
    <t>Bernardo</t>
  </si>
  <si>
    <t>Gaceta de Madrid n.º 297 (suplemento)</t>
  </si>
  <si>
    <t>. 494.... 344000 364000 cicntos treinta y dos reales. Madrid 8 de octubre Otra en la calle angosta de San de 1809. = El consejero de Estado, director general Bernardo, núm. 12, manza­ de biones nacionales , Juan Llórente. = V.° B.° et na 291........ 89000 91500 conde de Cabarrus. = Aprobado. = F¡rmado=:YO EL Otra en la calle …</t>
  </si>
  <si>
    <t>) , comandante dé ba­ Santa María ( D. Pedro), asistente al con­ tallen del regimiento núm. x infante­ sejo, de Estado.. .. . ría de línea. Sergéan (‘D. Bernardo ), teniente del bata­ Pages, gefe de esquadron de los caballos li­ llón núm. i.°, infantería ligera. geros de la guardia real. Serbert (D. Lorenzo),' capitán del Rea…</t>
  </si>
  <si>
    <t>José Leopol­ do) general. — Hugo (D. Luis) comandante de batallón del regi­ miento real extrangero.—YoIdi (conde) ministro en Dinamar­ ca. — Iriarte (D. Bernardo) consejero de Estado; — Iruegas (Don Lorenzo ) regidor de Madrid. — Isla (D. Pedro) oficial primero en el ministerio efe lo interior. —Jacquot (D. Juan) capitán del …</t>
  </si>
  <si>
    <t>ario de gabi­ nete. — Santibanez (D. Angel) secretario de la embaxada en Pa­ rís. — Santa-María (D. Pedro) asistente al consejo de Estado. — Sergean (D. Bernardo) teniente del batallón núm. 1 infantería ligera. — Servert (D. Lorenzo) capitán del real extrangero. — Silvestre (D. José) tirador del regimiento núm. 1 infantería d…</t>
  </si>
  <si>
    <t>Bernuy, Juan</t>
  </si>
  <si>
    <t>Juan Bernuy</t>
  </si>
  <si>
    <t>PDF p. 13</t>
  </si>
  <si>
    <t>eza, denuedoy buen órden que ha manifestado en esta acción toda la ca­ ballería. El Vizconde de Zoiina , Comandante General de ella , los Brigadieres D. Juan Bernuy, que mandaba la bri­ gada de Carabineros, y D. Josef Manso, Coronel del re­ gimiento de Farnesio, D. Pedro Gamez , D. Manuel Rizo, el Príncipe de Anglona , D. Man…</t>
  </si>
  <si>
    <t>Berruezo, José Garzón</t>
  </si>
  <si>
    <t>José Garzón Berruezo</t>
  </si>
  <si>
    <t>vacan­ tes en la catedral de Granada por fallecimiento de D. Juan Ada­ me, de D. Genaro López del Rincón, y de D. Fernando Fer­ nandez de Padilla, á D. José Garzón Berruezo , á D. José Rafael de Sebastiani, y á D. José Morales Zurita ; y para la ración de la catedral de Murcia, que resulta vacante por ascenso de D. Alfon­ so …</t>
  </si>
  <si>
    <t>Berson, Mariano</t>
  </si>
  <si>
    <t>Mariano Berson</t>
  </si>
  <si>
    <t>28 de febrero de 1809</t>
  </si>
  <si>
    <t>Gaceta de Madrid n.º 59</t>
  </si>
  <si>
    <t>con la persona ó personas que designare, la junta envía con plenos poderes al teniente coronel de artillería, mayor ge­ neral de las tropas de línea D. Mariano Berson , al capitán de fragata Dóñ Santos Membiela, comandante de la maestranza armada, y al capitán y prinier ayudante de la milicia de esta plaza D. Bartolomé María …</t>
  </si>
  <si>
    <t>Bertrand</t>
  </si>
  <si>
    <t>Gaceta de Madrid n.º 139</t>
  </si>
  <si>
    <t>658</t>
  </si>
  <si>
    <t>a orilla derecha del Inn. También sen contra sus Soberanos. llegó en el mismo dia el duque de Monte- Levantando exércitos numerosos , divi­ bello. El conde Bertrand dió las disposi­ didos en cuerpos, como el exército francés; ciones competentes para reparar el puente marchando al paso acelerado para remedar quemado por el ene…</t>
  </si>
  <si>
    <t>Gaceta de Madrid n.º 177</t>
  </si>
  <si>
    <t>ue es uno de los mas guiente ya no vimos ningún enemigo. valientes del exército francés , que está ,, El 23 entramos en Gospich; el 24 mandado por el coronel Bertrand, y que marchamos hácia Ottochatz , y encontramos había sido situado excelentemente por el en lans al enemigo , que se retiró al acer­ general Delzons, resistió …</t>
  </si>
  <si>
    <t>dos fragatas inglesas á la alelante de Lintz, que está^cu bierta por boca del puerto. obras inexpugnables. El 10 á las nueve de la mañana se des­ El general Bertrand desplega , para ven­ cubrió una división enemiga de 4© hom­ cer el Danubio , el mas formidable de nues­ bres con dirección al campo francés. Nove­ tros enemigos,…</t>
  </si>
  <si>
    <t>ueblo de Spitz, que forma la cabeza del alrededores de Schoenbrunn. puente de Viena» y ha mandado al gene­ La cosecha es bellísima y mui abundan­ ral conde Bertrand la construcción de di­ te en todas partes. El exército está acanto­ ferentes obras, que ya deben haber sido nado en paises maguíficos, ricos en géneros trazadas y…</t>
  </si>
  <si>
    <t>Bes, José</t>
  </si>
  <si>
    <t>José Bes</t>
  </si>
  <si>
    <t>sa de Togia. — Marquesa de Villanueva. — D. Juan del Castillo. — D. Jo­ sé del Casal. — D. José Bea. — D. Cárlos Bancide. — Doña Ra­ mona Cabillas. — D. José Bes. — D. Antonio Oliveros. — Doña Jo­ sefa Luna. -- El conde de Cíavijo.— La muger de D. Andrés Elasti. — Francisco Talayera — D. Juan Pedro Delgado y sus dos hi­ jos. …</t>
  </si>
  <si>
    <t>Bessieres</t>
  </si>
  <si>
    <t>ugenia Napo- nición de la plaza. leona. Asistieron á esta ceremonia , que fue París 28 de marzo. (1) ejecutada por S. Erna, el limosnero ma­ S. E. el mariscal Bessieres , duque de yor, SS. A A. II., ios grandes oñciales de Istria, llegó ayer á esta capital de vuelta la corona, los prelados, los oñciales y da­ de España. mas d…</t>
  </si>
  <si>
    <t>n 2 9 de la guardia imperial de á pie, hoy se esperan otros 2$; mañana ídem; y pasado mafíana 1200. de caballería, todos. procedentes de Castilla. El Mariscal Bessieres, con muchos oficiales y 49 soldados de á. caballo , pasó el mismo dia. Del: 23.;— Hoy han llegado 11 furgones con 8 coches llenos de oficiales de plana mayor,…</t>
  </si>
  <si>
    <t>25 de abril de 1809</t>
  </si>
  <si>
    <t>Gaceta de Madrid n.º 115</t>
  </si>
  <si>
    <t>los ingleses han sido degollados en Constan- El dia 5 pasó por Carlsruhe con direc­ tinopla; pero esta noticia necesita confir­ ción á Ulma S. E. el mariscal Bessieres, mación. Lo que no puede dudarse es que duque de Istria. su crédito se disminuye sensiblemente en Paris 12 de abril. aquella capital. Sus navios , que habían e…</t>
  </si>
  <si>
    <t>dias 16 y 17 han pasado por aqui to que los soldados franceses han quedado y por Caustadt el mariscal Duroc, duque sepultados en España. de Friul; el mariscal Bessieres , duque de ‘ El dia 11 ha corrido la voz en Viena Istria; él general Arrighi, duque de Paque los exótcitos rusos habían formado una dua; el mariscal Lannes , …</t>
  </si>
  <si>
    <t>gan linage de gloria." Siguen las instruc­ primera compañía del mismo esquadron. ciones del ministra &amp;c. &amp;c. D/Agustín Gome*-y Moya, sargen­ El señor mariscal Bessieres , duque de to 1.* distinguido qne fue del regimiento Istria, vuelve de Viena á Paris, y el 17 de caballería de Borbou, está nombrado del corriente paso por Na…</t>
  </si>
  <si>
    <t>13 de septiembre de 1809</t>
  </si>
  <si>
    <t>Gaceta de Madrid n.º 257</t>
  </si>
  <si>
    <t>maris­ dan exonerados dé sus encargos, y el mi­ cal duque de Valmi está en Wesel coi» el dió que hayan contraido será atendido. segundo cuerpo, y el mariscal Bessieres en art. m. Nuestros ministros de Nego­ Lila con el tercero. He aquí pues, quatro cios eclesiásticos y de Hacienda quedan exércitos que ia aparición de los ingl…</t>
  </si>
  <si>
    <t>18 de octubre de 1809</t>
  </si>
  <si>
    <t>Gaceta de Madrid n.º 292</t>
  </si>
  <si>
    <t>NCES. federación del Rin &amp;c. &amp;c. &amp;c. Queriendo dar á nuestro exército gran­ Amberes »¡ de setiembre. de una proeba mui particular de nuestra S. E. el mariscal Bessieres» duque de Satisfacción * Istria, ha recibido hoi á los magistrados ci­ Habernos resuelto crear* como creamos viles y militares que han ido á visitarlo. por la…</t>
  </si>
  <si>
    <t>Bessisres</t>
  </si>
  <si>
    <t>173</t>
  </si>
  <si>
    <t>cesar, tropas con di­ rección al Rhin. El embaxador austríaco, Conde de Mettercich , y el Príncipe de Esterhazy permanecen todavía en esta Ciudad. El Mariscal Bessisres ha llegado de España#</t>
  </si>
  <si>
    <t>Betaneourt</t>
  </si>
  <si>
    <t>primera del estado, que equivale á feld-mariscal general. El conde Gudovvish, feld-mariscal general ha sido nombrado gobernador de Moscovr. El mavor general Betaneourt está nombrado teniente general de nuestro exército en Moldavia; ha conseguido ya algunas ventajas contra los turcos, y esperamos las circunstancias de ellas. G…</t>
  </si>
  <si>
    <t>Betanzos, Vicente Jandenes</t>
  </si>
  <si>
    <t>Vicente Jandenes Betanzos</t>
  </si>
  <si>
    <t>te D. Mariano Felez 3 General, contusos el teniente D. José Huertes y el cadete D. Luis Vázquez , y muerto el cadete D. Ramón Luares3 Aragón , herido D. Vicente Jandenes 3 Betanzos , contuso el" ayudante D. Francisco Armero. Segundo estado que manifiesta los oficiales, tropa y caballos muertos, heridos y contusos que han teni…</t>
  </si>
  <si>
    <t>Bethizi</t>
  </si>
  <si>
    <t>4 de diciembre de 1809</t>
  </si>
  <si>
    <t>Gaceta de Madrid n.º 339</t>
  </si>
  <si>
    <t>eón acaban de salir para sus destinos. conservación. El regimiento u.® de dragones franceses, ,,E1 gran visir sale hoi de la capital á mandado por el coronel Bethizi , vuelve á la cabeza de 4o2&gt; genízaros: quando se ha­ Francia. El regimiento de infantería wir- ya reunido su exército en las orilas del fembergnesa de Scharfens…</t>
  </si>
  <si>
    <t>Betlegarde</t>
  </si>
  <si>
    <t>peratriz su herma­ dieran atrasar estas faenas importantes. na, es quien disfruta hai del mayor apre­ Ya no hai tropas austríacas en la Ga- cio; y el general Betlegarde es el que mas llirzia. Las tropas rusas qué van á salir de influye en la dirección y manejo de los aquella provincia para ir á Moldavia, pon­ asuntos militare…</t>
  </si>
  <si>
    <t>Beüegrivde</t>
  </si>
  <si>
    <t>22 de agosto de 1809</t>
  </si>
  <si>
    <t>Gazeta del Gobierno n.º 9 · 2.ª serie</t>
  </si>
  <si>
    <t>abrúm. El¡ místnó dia el duque de Ragusa á las alturas de Znaiiú ^ desde dónde vió desfilar hácia la Bohemia los bagages y artillería del enemigo. El general Beüegrivde le escribió que el príncipe Juan de Litchtenstein iba á ver a! emperador con una misión de su amo para tratar de la paz, y en su consecuencia pidió mía suspen…</t>
  </si>
  <si>
    <t>Beurnonville</t>
  </si>
  <si>
    <t>zado. ■Firmado — Cambaceres , archicanciller Ataque de la izquierda. Dos. compa­ del imperio, presidente. ñías de zapadores han reparado 50 toesas El general Beurnonville. = T. Hedou— de la antigua paralela que se hizo en el si­ ville, secretarios. tio anterior. Visto y sellado: El canciller del sena­ Dia jo. do. = Firmado m …</t>
  </si>
  <si>
    <t>Beverland, Napo</t>
  </si>
  <si>
    <t>Napo Beverland</t>
  </si>
  <si>
    <t>24 de agosto de 1809</t>
  </si>
  <si>
    <t>Gaceta de Madrid n.º 237</t>
  </si>
  <si>
    <t>1053</t>
  </si>
  <si>
    <t>«El teniente general Bruce, que estaba refieren que se habia esparcido en aquella encargado de defender las baterías de Zaidcapital la voz de que el Emperador Napo­ Beverland hasta el último extremo , las ha león iba el 4 del corriente á Raab , en don­ entregado cobardemente al enemigo sin dis­ de S. M. I. y R. habia de tener…</t>
  </si>
  <si>
    <t>Bexnalder, Dámaso</t>
  </si>
  <si>
    <t>Dámaso Bexnalder</t>
  </si>
  <si>
    <t>sido de ios agustinos calza­ por el tesoro público. dos, para otra canongía de la dicha cate­ art. v. Esta enfermería deberá ser dral de Patencia: á D. Dámaso Bexnalder provista de las camas, muebles y utensilios Tobía, provincial que ha sido en la obser­ necesarios, tomando os de los conventos vancia de S. Francisco, para un…</t>
  </si>
  <si>
    <t>Biabe</t>
  </si>
  <si>
    <t>Gazeta del Gobierno n.º 7 (suplemento)</t>
  </si>
  <si>
    <t>los fray les, y algunos mal intencionados son los únicos que seducen ai pueblo. A él le constaba que el exér-. cito de Galicia estaba mandado por el general Biabe ; pero como al mismo tiempo sabía que se habla celebrado y admi­ rado hasta en Francia la heroyea terminación del ÍV]arques de la Romana de restituir á su patria ei…</t>
  </si>
  <si>
    <t>Biabe, Joaquín</t>
  </si>
  <si>
    <t>Joaquín Biabe</t>
  </si>
  <si>
    <t>247</t>
  </si>
  <si>
    <t>roducir efec­ tos mas decisivos para arrojar de nuestro territorio á los usurpa­ dores , se ha conformado con el plan propuesto por nuestro gene­ ral D. Joaquín Biabe, para la formación de un exército catalan, dividido en quatro legiones, con las reglas que han parecido mas conducentes al mejor servicio y prosperidad de estos…</t>
  </si>
  <si>
    <t>Biake</t>
  </si>
  <si>
    <t>814</t>
  </si>
  <si>
    <t>ividuos sentenciados anteriormente por los tribunales, y acaudillados ahora por "Zaragoza jG de junio. contrabandistas, á quienes la junta concede El general Biake atacó ayer á las tro­ títulos, y dispensa honores. Este sistema es pas francesas mandadas por el general Su— el mismo que se organizó tres años hace en chet; y á p…</t>
  </si>
  <si>
    <t>12 de octubre de 1809</t>
  </si>
  <si>
    <t>Gaceta de Madrid n.º 286</t>
  </si>
  <si>
    <t>piñan j¡ de setiembre. Este hecho y los discursos que circulan Los insurgentes españoles, mandados por el pueblo, y que se cree tienen su ori­ por el general Biake , han osado presentap gen en lo que ha dicho el mismo señor de: batalla al exército de Cataluña para obli­ Bubna, hacen creer que las negociaciones garle á levanta…</t>
  </si>
  <si>
    <t>Biakr</t>
  </si>
  <si>
    <t>22 de enero de 1809</t>
  </si>
  <si>
    <t>Gaceta de Madrid n.º 22</t>
  </si>
  <si>
    <t>puerto el paqi e*» bote el Peacok, que salió de la Coruña el dia; 6 del corriente, y trae tu mensagero á bordo. Sabemos que habiendo sido atacado el general Biakr? por fuerzas mui superiores á las suyas, se ha visto precisado á batirse en r *• tirada después de haber perdido I I© hombres. • : (O Los cxércitos que han derrotad…</t>
  </si>
  <si>
    <t>Bianco, Federico</t>
  </si>
  <si>
    <t>Federico Bianco</t>
  </si>
  <si>
    <t>fue del regimiento de iaftntería de H¡berD. Rafael Irazabal y Guillermí está nia , está nombrado subteniente. nombrado comisario de Guerra con la do­ D. Federico Bianco , vélite de nuestra tación de i® reales de vellón al mes. re2Í guardia, está nombrado subteniente. . Nuestro ministro de la Guerra está en­ D. Martin Marzaron…</t>
  </si>
  <si>
    <t>Biedma, Antonio</t>
  </si>
  <si>
    <t>Antonio Biedma</t>
  </si>
  <si>
    <t>nto de infantería de Ñapóles, sigue: está nombrado teniente. En el regimiento de infantería española En el regimiento de infantería Real Ex* núm. i.° D. Antonio Biedma , capitán , es­ trangero D. Pedro del Giudice, vélite de tá nombrado comandante de batallón por nuestra real guardia, está nombrado subte­ ascenso de D. Jostf …</t>
  </si>
  <si>
    <t>Bien</t>
  </si>
  <si>
    <t>ipios tan ge­ nerosos ? El celebrado siglo de la caballería Paris 27 de abril. andante no presenta un exemplar igual. Continuación de ¡a relación del ministro Bien puede decir el general español Apo- de Negocios extranjeros d S. AI. el Em­ daca que la España no ha visto nunca un perador y Rei. (Véanse las gazetas nú­ meros 12…</t>
  </si>
  <si>
    <t>Bienvenido</t>
  </si>
  <si>
    <t>rio de lo Interior. Fernandez Moratin (D. Leandro), secre­ Clari (D. Mario), coronel y nuestro edecán. tario de la interpretación de lenguas. Clari ( D. Bienvenido), teniente coronel y Ferrandiz (D. Vicente), teniente coionel escudero. de artillería. Clairmont Tonnerre, coronel y edecán. Fuentes (D. Jnlian). Colonna, escudero…</t>
  </si>
  <si>
    <t>D. Pedro) tesorero general. — Cladera (D. Cristóbal) xefe de división en el minis­ terio del interior. — Clari (D. Mario) coronel y edecán. — Clari (D. Bienvenido) teniente coronel y escudero. — Clairmont ■Tonnerre , coronel y edecán. — Colonna , escudero. — Colonna -( el conde ) intendente de Soria. — Colonna (D. Marco Anton…</t>
  </si>
  <si>
    <t>Bigarne</t>
  </si>
  <si>
    <t>11 de octubre de 1809</t>
  </si>
  <si>
    <t>Gaceta de Madrid n.º 285</t>
  </si>
  <si>
    <t>ndo. Un cúter enemigo ha sido apre­ pagando nna contribución de 8f por too. sado y enviado á Rotterdam. Esta providencia se ha puesto ya en execu- El coronel Bigarne ocupa las islas de cion en la Prusia oriental y occidental; pe­ Over F akkée y de Goedereede con un ro todavía no se ha decidido si deberá ex­ cuerpo de infanter…</t>
  </si>
  <si>
    <t>Bikking</t>
  </si>
  <si>
    <t>a, en las El señor de Netzel acaba también de fronteras de la Buckowina , al cuerpo aus­ salir para Humburgo, «a donde residirá tríaco mandado por el general Bikking. Es­ como encargado de Negocios de Suecia. te cuerpo, compuesto de 22 oficiales, iQ hombres de infantería y 200 de caballería, quedó todo hecho prisiónto de guer…</t>
  </si>
  <si>
    <t>Bille, Severin</t>
  </si>
  <si>
    <t>Severin Bille</t>
  </si>
  <si>
    <t>17 de septiembre de 1809</t>
  </si>
  <si>
    <t>Gaceta de Madrid n.º 261</t>
  </si>
  <si>
    <t>261</t>
  </si>
  <si>
    <t>Nám, 261. ”49 GAZETA DE MADRID DEL DOMINGO 17 DE SETIEMéRE DE 1809. DINAMARCA. PRUSIA. Copenhague 79 He agosto. Berlín l£&gt; de agosto. El capitán Severin Bille, comandanta El 15 del corriente el señor conde d» de la esquadrilla apostada en el puerto de Saint-Marsan, embaxador de Francia, dio, Frederiksvern en Noruega, ha dado …</t>
  </si>
  <si>
    <t>Bindl, Josef</t>
  </si>
  <si>
    <t>Josef Bindl</t>
  </si>
  <si>
    <t>teniente del regimiento , En el regimiento de infantería española, núm. i.® de infantería española de líoea. • de línea núm. a.° D. Manuel Moron, ca­ D. Josef Bindl, cadete que fue del pro­ pitán que fue del regimiento de infantería vincial de Córdoba, está nombrado subte­ de Africa , está nombrado capitán. . niente del regim…</t>
  </si>
  <si>
    <t>Bioernsconservación</t>
  </si>
  <si>
    <t>tenían otro fin que su propia defensa y dermania, y el teniente coronel Bioernsconservación, quando sus embaxadores en tierna., primer edecán de S. A. el regente Baviera y en las demas cortes de Alema­ de Suecia, han llegado hoi á esta ciudad. nia hacían las protestas mas solemnes</t>
  </si>
  <si>
    <t>Bisols, Narciso</t>
  </si>
  <si>
    <t>Narciso Bisols</t>
  </si>
  <si>
    <t>Gazeta del Gobierno n.º 19</t>
  </si>
  <si>
    <t>* la retira*da á Galicia , para lo qoe hice adelantar iroa división por la derecha á tomar la cabeza del puente, si raando, d¿ 1* Co­ ronel de Gerona D. Narciso Bisols , á quien acompañaba roí Ayudante general D. Felipe Montes : otra división pas&lt;5 por la izquierda á reunirse eu ei mismo- puntocompuesta- de una partida de cab…</t>
  </si>
  <si>
    <t>Bivern, Antonio</t>
  </si>
  <si>
    <t>Antonio Bivern</t>
  </si>
  <si>
    <t>349</t>
  </si>
  <si>
    <t>se la humanidad española patentizada en tantas ocasiones r y particularmente en la no­ che que siguió al último asalto de esta plaza-. El subteniente D. Antonio Bivern, y el teniente D. José Camps,, unidos en sus guerrillas r recorrieron las brechas por fueray campos: inmediatos ^ horrorizáronse con la vista de tamo cadáver j…</t>
  </si>
  <si>
    <t>Bla</t>
  </si>
  <si>
    <t>Gazeta del Gobierno n.º 24 · 2.ª serie</t>
  </si>
  <si>
    <t>as las medidas posibles para darles el reti­ ro correspondiente, y que cese un abuso tan opuesto á su mé­ rito , y ai decoro de la nación. Oficio del general Bla/ce al Sr. secretario de la Junta central suprrais - ■ “Excmo. Si\ — En la casa donde ha estado alojado un oíicial i. mees de graduación superior, respetado en el exé…</t>
  </si>
  <si>
    <t>Bla'e, Joaquín</t>
  </si>
  <si>
    <t>Joaquín Bla'e</t>
  </si>
  <si>
    <t>271</t>
  </si>
  <si>
    <t>271 SUPLEMENTO A LA GAZETA DEL GOBIERNO % DEL SABADO 7 DE OCTUBRE DE 1809, j¡¡ General cr.i gefe del exírcito de Cataluña D Joaquín Bla'e ha dirigi­ do el oficio y documentos que siguen , detallando la introducción de los socorros en la plaza de Gerona. ^Excmo. Sr. = La inmortal Gerona vencida ó vencedora, fatal ea todos tier…</t>
  </si>
  <si>
    <t>Blackwell</t>
  </si>
  <si>
    <t>En este intervalo abanzó el General Prevost con su brigada hasta Papin que dista unas atete millas de Roberto, y desembarcó la reserva mandada por el Teniente coronel Blackwell, compuesta del 340 ba­ tallón del regimiento número 60 de Jos flanqueadores del 25, y de otros . dos batallones.-—£1 31. por la mañana, el capitán de …</t>
  </si>
  <si>
    <t>Blacumple</t>
  </si>
  <si>
    <t>12 de julio de 1809</t>
  </si>
  <si>
    <t>Gaceta de Madrid n.º 193</t>
  </si>
  <si>
    <t>877</t>
  </si>
  <si>
    <t>dición podrá ser auxiliado por mismo mes. las tropas de Aragón, desembarazadas ya £1 infrascrito, al tiempo mismo que de las que les había opuesto el general Blacumple con las órdenes que ha recibido de ke. Pero sea lo que quiera de estas voces, su corte , tiene el honor de renovar á S. E. lo cierto es que la plaza de Gerona …</t>
  </si>
  <si>
    <t>Blakc</t>
  </si>
  <si>
    <t>les (2), que ya los consideran todos AVISO. «n la corre, d¿ donde sé continua haber sa­ Respecto á que S. M. se ha servido nom­ lido el REI Josef. EL general Blakc , con brará D. Francisco Gallardo por director ge­ sn exérrito de 6f á 50© hombres-* después neral del ramo de contribuciones, encargán­ de haber dexado cercados e…</t>
  </si>
  <si>
    <t>Blake</t>
  </si>
  <si>
    <t>Gazeta del Gobierno n.º 33 (extraordinaria)</t>
  </si>
  <si>
    <t>e 1500 hombres.} pero todos fuéron muer­ tos ó hechos prisioneros. Posteriormente reunieron todas sus tropas de Aragón, y se dirigieron á ata­ car al General Blake. ;Le presentaron batalla el 23 del mes próximo pasado, y este General, correspondiendo á la alta reputación que se ha .adquirido , ayudado de sus valientes tropas …</t>
  </si>
  <si>
    <t>8 de agosto de 1809</t>
  </si>
  <si>
    <t>Gazeta del Gobierno n.º 3 · 2.ª serie</t>
  </si>
  <si>
    <t>os de Aragón , y los del general ingles D &gt;vle, monten de extranjeros , y de lo que hay de mas despreciable eii Navarra y Aragón, y con los quales el general Blake cuerna para sublevar vuestros valles r este general batí do en todos los puntos por el tercer cuerpo de- exército , camiita á su total mina, vistas las disposicion…</t>
  </si>
  <si>
    <t>172</t>
  </si>
  <si>
    <t>V. E. muchos años. Real alcázar de Sevilla ,23 de agosto dq 1809. —- 'Martin de Garay.-—Sr. presidente y junta superior de. Cataluña.” AJemprender el general Blake la arriesgada y gloriosa opera­ ción de socorrer á Gerona , que tan felizmente ha desempeñado* dirigió á su exército la siguiente proclama. “ D. Joaquín Blake, gen…</t>
  </si>
  <si>
    <t>atalan, dividido en quatro legiones, con las reglas que han parecido mas conducentes al mejor servicio y prosperidad de estos cuerpos. Al publicar el general Blake este reglamento (1), añade la exhor­ tación siguiente á los catalanes: “ La oposición animosa de este (1) &amp; halla en la gazeta miütar y política de Cataluña de 18 …</t>
  </si>
  <si>
    <t>rla. Gon efecto-, las ^ltP mas noticias que hemos recibido' dé allí .Madrid ij de octubre* son sumamente tristes. El 5 ’de' sétiémbr^ El exército del general Blake , que se contaban mas de 8® enfermos en'lós hoí^ constaba de 25® hombres, ha-sido Com­ pítales, y morian mas de 50 por dia';'poé pletamente batido en Cataluña et d…</t>
  </si>
  <si>
    <t>7 de noviembre de 1809</t>
  </si>
  <si>
    <t>Gazeta del Gobierno n.º 42 · 2.ª serie</t>
  </si>
  <si>
    <t>397</t>
  </si>
  <si>
    <t>nel Santocüde, y; demas personas recomendadas por el mismo. En la secretaría del despacho general de guerra se ha recibi­ do, el parte siguiente del general Blake. “Excitio. Sr.—Apénas establecido este cuerpo de tropas que se halla á mis inmediatas órdenes , en las alturas y campo dé Bruñólas , en la-noche del 18 del corrient…</t>
  </si>
  <si>
    <t>393</t>
  </si>
  <si>
    <t>a no existió, el exército de Blake-. El artículo en que esto se refiere , copiado á la letra , es el siguiente. “Madrid W de octubre. El exército del general Blake , que constaba de 253 hombres , ha sido Completamente batido en Cataluña el dia 26 de setiembre por el general Saint Cir. Ha perdido Blake en­ tre heridas , muerto…</t>
  </si>
  <si>
    <t>399</t>
  </si>
  <si>
    <t>n y envilecen eL idioma castellano los traidores que le rodean. ~ - “ Tratándose de introducir socorros en la inmortal plaza de Gerona, y creyendo el general Blake que era muy difícil executarlo por la izquierda de su exército , resolvió pasar á la dere­ cha con todas las tropas disponibles para proteger la entrada dé un conv…</t>
  </si>
  <si>
    <t>400</t>
  </si>
  <si>
    <t>as á retaguardia de sus posiciones-por la caballería francesa, se retiraron , y lograron reunirse con la división principal del exército al mando del general Blake , habiendo sido ligera su pérdida en el vivó fuego que sostuvieron;” Tales son los verdaderos sucesos del dia 26: dia agradable pa­ ra España , pues en él se consi…</t>
  </si>
  <si>
    <t>tro de la guerra con la de 29 de setiembre, ha recibido la noticia de oficio j de que habiendo un cuerpo de 140 insurgentes españoles, mandado por el general Blake, intentado hacer introducir en Gerona un convoy de 1500 acémilas, ha sido completamente batido por la división Pino sobre las alturas de Castellar. Los generales B…</t>
  </si>
  <si>
    <t>BLAKE, DON JOAQUIN</t>
  </si>
  <si>
    <t>DON JOAQUIN BLAKE</t>
  </si>
  <si>
    <t>Gazeta del Gobierno n.º 18 · 2.ª serie (suplemento 2.º)</t>
  </si>
  <si>
    <t>163</t>
  </si>
  <si>
    <t>163 SUPLEMENTO A LA GAZETA DEL GOBIERNO DEL MARTES 12 DE SETIEMBRE DE 1809. PARTE DEL GENERAL DON JOAQUIN BLAKE. Excmo. Sr. Tengo el honor de participar á V. E. que el coavoy de víveres destinado para Gerona se introdujo ayer en la pla­ za conducido por el mariscal de campo D. Jayme García Conde, á p</t>
  </si>
  <si>
    <t>Blake, Joaquín</t>
  </si>
  <si>
    <t>Joaquín Blake</t>
  </si>
  <si>
    <t>da los coaitaes da esta importante plaza, procuré llamar fa atención del enemigo, conforma á lás iostmceíoaes que me habla comunicada el fSxcmo. Sr. D. Joaquín Blake , hácia la ribera del Cinca, observando con la mayor vigilancia sus designios y .movimientos, y va­ liéndome para este efecto de parte de las tropas 'destinadas …</t>
  </si>
  <si>
    <t>10 de junio de 1809</t>
  </si>
  <si>
    <t>Gazeta del Gobierno n.º 35 (extraordinaria)</t>
  </si>
  <si>
    <t>as que remito á V. E* para su conocimiento* Dios guarde á V. E. muchos años.rsCaspe 23 de mayo de 1809. =2 jpSxcmc* St,zzJosef Montenegros Excmo• Sr* D. Joaquín Blake," LA IMPRENTA REAL DE LA GAZETA,</t>
  </si>
  <si>
    <t>l Blake la arriesgada y gloriosa opera­ ción de socorrer á Gerona , que tan felizmente ha desempeñado* dirigió á su exército la siguiente proclama. “ D. Joaquín Blake, general en xefe, á las tropas de observa­ ción de Gerona. .:—- La guarnición y habitantes de la memorable para siempre plaza de Gerona* constantes en su resolu…</t>
  </si>
  <si>
    <t>eral, cuyo nom­ bre ignoro. Dios guarde k V, E. muchos años. Campamento de Porsacreu 6 de setiembre de 1809. — Excmo. Sr» — Juan Ciarás. — Excmo. Sr. D. Joaquín Blake.” Nuestras tropas de Asturias tremolan de nuevo su estandarte en las montañas de Santander, con humillación y derrota del enemigo. El gobierno supremo publica, …</t>
  </si>
  <si>
    <t>323</t>
  </si>
  <si>
    <t>nte decreto!” -Vieh l.Q de ócttibré. *Casi todalamoche de - ayer hubo en Ge­ rona bastante .fuego de fusilería. Tarragona 5 de octubre. El Excmó. Sr. D. Joaquín Blake con fecha del'jmmero del corriente, dice al *Sr. merques de Coupigny lo que sigue. —'“'Sírvase’V. :E. mandar que se "publique en el diario de esa ciudad la sati…</t>
  </si>
  <si>
    <t>2 de diciembre de 1809</t>
  </si>
  <si>
    <t>Gazeta del Gobierno n.º 53 · 2.ª serie</t>
  </si>
  <si>
    <t>ue se halle enterado como corresponde.— Dios guarde á V. E. muchos años. Gerona 4 de noviembre &lt;le 1809.— Exorno. Sr—•Mariano Alva­ res. — Etcmu. Sr. D. Joaquín Blake.” ________ *_______ _ libros. Guia del oficial en campaña. 3 tomos en octavo pasta k 66 reales, en la librería de Berard-----A la misma han llegado exempiares d…</t>
  </si>
  <si>
    <t>Blan, Alexandro</t>
  </si>
  <si>
    <t>Alexandro Blan</t>
  </si>
  <si>
    <t>geogra­ trtis del mismo colegio D. Aquilino Palo­ fía; el mismo D. Ignacio Romaza de geo­ mino, D. Josef Ortega, D. Jorge Anto­ metría descriptiva, y D. Alexandro Blan­ nio Madero, D. Francisco de Guevara, co de dibuxo. D. Mariano Vera y D. Nicolás Vieites; art. iii. Quedan nombrada* profeso­ y pasantes de los mismos profesor…</t>
  </si>
  <si>
    <t>Blancas, Mariano</t>
  </si>
  <si>
    <t>Mariano Blancas</t>
  </si>
  <si>
    <t>D. Juan Sanz y Bamtell. Por decreto de 22 de agosto y l.° de setiembre ha nombrado en «1 ministerio de Indias á D. Ignacio Tejada xefe de división; k D. Mariano Blancas oficial primero , y á D. José Xoriega ar­ chivero. Por decreto de 30 de agosto lia nombrado en el ministerio de negocios eclesiásticos á D. Juan Ceaii Bermude…</t>
  </si>
  <si>
    <t>Blanco, Agustín</t>
  </si>
  <si>
    <t>Agustín Blanco</t>
  </si>
  <si>
    <t>276</t>
  </si>
  <si>
    <t>. nombrar para; una canongía de la cole­ giata de Cbvaddnga, obispado dé Oviedo, á D. Matías de la Cueva : para otra canongía de la misma colegiata á D. Agustín Blanco: para el beneficio de precisa residencia dé la parroquia de S. Cipriano de Pillarno, diócesis de Oviedo, á D: Angel de Luna; y para otro beneficio de precisa r…</t>
  </si>
  <si>
    <t>Blanco, Alexandro</t>
  </si>
  <si>
    <t>Alexandro Blanco</t>
  </si>
  <si>
    <t>os de geografía ; D. Jo­ sintaxis y propiedad de la misma lengua; sef Vazqnez de geometría descriptiva, y. D. Fernando Peñaranda , ex-religioso esco- D. Alexandro Blanco de dlbaxo. lapio, de retórica y poética; D. Jacinto art; iti. Quedan nombrados profeso­ Lago y D. Ignacio Romaza de aritmética, res de las escuelas públicas …</t>
  </si>
  <si>
    <t>Blanco, Pedro Marcelino</t>
  </si>
  <si>
    <t>Pedro Marcelino Blanco</t>
  </si>
  <si>
    <t>ncisco de dicha ciudad, por el capi­ á 300 pesos de la creación de i.° de mayo, endosados tal de 9680 rs. de sus 22 rentas, al contado á razón de por D. Pedro Marcelino Blanco á D. Josef Antonio 440 rs. anuales, y al fiado 14520 por sus 33 rentas: de Soto, vecino de Eúrgos, con las letras iniciales de otra casa con su huerta …</t>
  </si>
  <si>
    <t>Blanco, Ventura</t>
  </si>
  <si>
    <t>Ventura Blanco</t>
  </si>
  <si>
    <t>teniente coronel del de la Reyna: á D. Autolin Reguilon , comandante de esquadron del regimiento de voluntarios de Ciudad-Rodrigo: á D. Juan Yuste, á D. Ventura Blanco y á D. José Castro, sargento mayor , tenien­ te y alférez de Sagunto : al teaiente coronel D. Ignacio de Irigoyen, ca­ pitán del regimiento de Viilavieiosa : a…</t>
  </si>
  <si>
    <t>Blane</t>
  </si>
  <si>
    <t>5 de noviembre de 1809</t>
  </si>
  <si>
    <t>Gaceta de Madrid n.º 310</t>
  </si>
  <si>
    <t>353</t>
  </si>
  <si>
    <t>or­ den , en virtud de la qual los puertos sue­ GRAN BRETAÑA. cos se cerrarán á los buques ingleses desde Londres 7 de octubre. el 12 de octubre. El doctor Blane, médico de la marina, 'HUNGRIA. y los doctores Borland y Dempierre, mé­ dicos del cxérciro de tierra , han recibido Semlitt 4 de setiembre. orden de ir á la isla de …</t>
  </si>
  <si>
    <t>Blas</t>
  </si>
  <si>
    <t>os preparativos tado. dispuestos en este palacio para recibir la casa Angulo ( D. Francisco) , ídem. imperial. Anteayer llegaron de París tres Arama (D. Blas), ídem. carros de muebles. Mr. Desmazis, adminis­ Ardanaz (D. Clero ), comandante del bal¡. , trador del guardamuebles de la corona, ha llr.n de infantería ligera núra. …</t>
  </si>
  <si>
    <t>el ) oficial primero del ministerio de Ne.gocios extrangeros. — Amor.ós (D. Francisco) conse ero dé Es¡tado. — Angulo ( D. Francisco ) id. — Aranza ( D. Blas ) id. — Ardanaz (D. Cleto) comandante del batallón de infantería ligera, núm. 1. — Arias (D. Santiago) gobernador interino de San­ tander. — Ariza ( D. Nicolás) ayudante…</t>
  </si>
  <si>
    <t>Blasco, Nicolás</t>
  </si>
  <si>
    <t>Nicolás Blasco</t>
  </si>
  <si>
    <t>orge), oficial del regimiento esquadron. Real Extrangero. Morí ( O. Carlos ) , teniente general. Balbueoa (D. Josef) , capitán de caballería. Orozco (D. Nicolás Blasco) , nuestro mi­ Barrachina (D. Josef)» teniente de grana­ nistro en Milán. deros del regimiento de infantería de lí—• Pascalis...... ....teniente y furrier de p…</t>
  </si>
  <si>
    <t>Blecüa, Pedro</t>
  </si>
  <si>
    <t>Pedro Blecüa</t>
  </si>
  <si>
    <t>.— D. Ra­ món Gayan. — D. Gerónimo Castillon. — D. Antonio Laspuertas.— D. Narciso Laclara. — D. Mariano Ciria. — D. José Pons. — D. Antonid' Buil. — D. Pedro Blecüa. — D. Salvador Puycercus. — D. Mariano Baguena.— Condado de Plasencia.— Baronía de' Gurrea.— Marques de Dosaguas.— Marques de Sta. Coloma.— D. Ma­ nuel Ulzurrun …</t>
  </si>
  <si>
    <t>Bluehe</t>
  </si>
  <si>
    <t>64</t>
  </si>
  <si>
    <t>y Hannoverianp3. El regimiento holandés núm. 9 se ha. unido al cuerpo dé Sehill• Luñeburgo ia dg mayo.._Sehill ha pasado por’Brun'swfcJr» El hij© del General Bluehe r manda otro cuerpo. En Cassel,</t>
  </si>
  <si>
    <t>Bnget</t>
  </si>
  <si>
    <t>382</t>
  </si>
  <si>
    <t>de la batalla de Tudela quedaron abandonados. Los pasaron en un carro por medio de las calles de Tarazona y Agreda, y aunque salió á perseguirlos el general Bnget con su división de Tudela basta mas allá de Boro­ via, han logrado conducir dichas piezas al señorío de Molina^ donde están á disposición de su Junta de gobierno, q…</t>
  </si>
  <si>
    <t>Bo, Andrés</t>
  </si>
  <si>
    <t>Andrés Bo</t>
  </si>
  <si>
    <t>a los del Emperador estaba en Wolkersdorff, y turcos á las órdenes del célebre general después de medio dia habrá sido trasladado Laudon. Su padre el príncipe Andrés Bo­ mas adelante. E[ exército francés persigue niato wski , hermano del último Rei de Po­ á los austríacos á punta de espada; y si lonia Estanislao Augusto, habí…</t>
  </si>
  <si>
    <t>Boado, José</t>
  </si>
  <si>
    <t>José Boado</t>
  </si>
  <si>
    <t>oronel del real cuer­ po de .miilerla; al ayudante del quartel-tnaestre D. Antonio Fernan­ dez , teniente coronel del real cuerpo de Ingenieros , y á D. José Boado , capitán del mismo :.á D. Félix Prat, comandante del 1.° de Barcelo­ na : á D. Manuel Herrero , í). Pedro Perez y D. Benito Salgado, coronel y tenientes del regim…</t>
  </si>
  <si>
    <t>cial de Salamanca , y al teniente D. José Esquivel , guardia de Corps. Al brigadier D. José García de Paredes, comandante general de Artillería , y á.D. José Boado , capitán del mismo real cuerpo. Al brigadier D. Carlos Lemour, co­ mandante general dé ingenieros al primer-ayudante del quártel-maestre D. Ramón Calvet y D. José…</t>
  </si>
  <si>
    <t>Bodin</t>
  </si>
  <si>
    <t>23 de diciembre de 1809</t>
  </si>
  <si>
    <t>Gazeta del Gobierno n.º 62 · 2.ª serie</t>
  </si>
  <si>
    <t>604</t>
  </si>
  <si>
    <t>a sido muy penosa á causa de la tempestad que hacia. No han perecido nías que 14 hombres ; pero habiendo vuelto los ingleses, á quemar los navios, el comandante Bodin los incendió. La explosión ha sido tan fuer­ te , que se han rotoaquí muchos vidries.” Tercera. “ Al Sr. Petitot, comisario de guerra del exércite de España , á…</t>
  </si>
  <si>
    <t>Bodoi, Antonio</t>
  </si>
  <si>
    <t>Antonio Bodoi</t>
  </si>
  <si>
    <t>8 de noviembre de 1809</t>
  </si>
  <si>
    <t>Gaceta de Madrid n.º 313</t>
  </si>
  <si>
    <t>1368</t>
  </si>
  <si>
    <t>retamos lo si­ lamayór y D. Josef Muntaner, y d« se­ guiente : , . gunda clase á D. Gerónimo Miro , D. Jo­ articulo 1. Andrés Alfonso Cho­ sef Pazos, D. Antonio Bodoi, D. Josef ya , D. Martín de V ¡líala*» D. Manuel Síl­ Barrera y D. Joaquin Frias. EN LA IMPRENTA REAL.</t>
  </si>
  <si>
    <t>Bodoy, Antonio</t>
  </si>
  <si>
    <t>Antonio Bodoy</t>
  </si>
  <si>
    <t>caballería de línea;'de D. Bernando Casamayor y •D. José Muntaner, para comisarios de guerra de primera cla«e; y de D. Gerónimo Miro, D. José Pazos, D. Antonio Bodoy, D. José Barrera y D. Joaquín Frías, para comisarios de guerra de segunda clase. En la del iy se concede á D. Juan Basil una plaza de capitán de caballería del r…</t>
  </si>
  <si>
    <t>Boeto, Antonio</t>
  </si>
  <si>
    <t>Antonio Boeto</t>
  </si>
  <si>
    <t>no en nombre del rey nuestro Sr. D. Fernando vii , ha veni­ do en nombrar para la regencia de la audiencia de Charcas, va­ cante per fallecimiento de D. Antonio Boeto, al Oidor de la mis­ ma, conde de S. Xavier, y para esta resulta á D. Anselmo Bierna Mazo, auditor de guerra del vireynato de Sta. Fé : para la re­ cia de Carac…</t>
  </si>
  <si>
    <t>Boissi</t>
  </si>
  <si>
    <t>composiciones &lt;5 París j&lt;T de noviembre. capaces de inmortalizar su memoria. Vues­ tros hechos heroicos prometen una celebri­ Discurso que el senador conde Boissi de dad no menos duradera al historiador y al Anglas, presidente de la tercera clase poeta, y hacéis su gloria mas cierta. Sí, del instituto, ha dirigido á S. M. cí …</t>
  </si>
  <si>
    <t>Bon</t>
  </si>
  <si>
    <t>bezón de por éi con la mayor seguridad las piezas la Sal, quando la llegada inopinada de un mas gruesas de arti.lería. oficial francés anunció la del general Bon— net con quatro batallones á Torrclavega. ESPAÑA. Retrocedió en su busca, se reunió á él, y sin detenerse se dirigieron á esta ciudad, Santander i6~ de junio. para d…</t>
  </si>
  <si>
    <t>Bonada, Juan</t>
  </si>
  <si>
    <t>Juan Bonada</t>
  </si>
  <si>
    <t>Gaceta de Madrid n.º 337</t>
  </si>
  <si>
    <t>ub­ bre ella de un trono tan brillante de gloría. tenientes de inválidos de.Pamplona D. Juan „ El senado , conmovido vivamente por Bautista Guilson y D. Juan Bonada. To­ tan señalado beneficio, no piensa en habla­ dos estos'individuos se consideran como si ros de vuestros innumerables triunfos, ni no hubiesen tenido intermisi…</t>
  </si>
  <si>
    <t>Bonafon, Francisco</t>
  </si>
  <si>
    <t>Francisco Bonafon</t>
  </si>
  <si>
    <t>3 de mayo de 1809</t>
  </si>
  <si>
    <t>Gaceta de Madrid n.º 123 (suplemento)</t>
  </si>
  <si>
    <t>ce anualmente por el Dr. Coral, médico de la escuela de Mompelier, 8259 rs. 14 mrs., y con" respecto á ello es su valor y traducido al castellano por D. Francisco Bonafon, 181698 pagándose de contado, y 275547 al fiado por profesor de medicina. Este admirable tratado fue com­ los términos y en la forma que prescribe dicho dec…</t>
  </si>
  <si>
    <t>Bonaparte</t>
  </si>
  <si>
    <t>lo de Sto. Angelo &gt; en señal de nuestra • amarga ; esclavitud ,.y/‘ení. seguida se publicó en las plazas principales de esta ciudad: eldecre-: to del Emperador Bonaparte, por el qual se le usurpan los estados y patrimonio de la iglesia al Sumo Pontífice, para unirlos á la Francia. Este decreto tiene la fecha de 17 de mayo.de,…</t>
  </si>
  <si>
    <t>222</t>
  </si>
  <si>
    <t>do ya á Genova de donde partirá para, Aviñon.” 1 . Después de copiar estos artículos, el correo de Londres hace la si­ guiente reflexión, o apostrofe d Bonaparte: ¡“Pretendíais dar á enten­ der qüe queríais restablecer la religión ! ¡ No os bastaba haber pro­ curado envilecer al papa Pió VI, entregando este venerable pon­ tíf…</t>
  </si>
  <si>
    <t>Bonderweid</t>
  </si>
  <si>
    <t>Gazeta del Gobierno n.º 21</t>
  </si>
  <si>
    <t>394</t>
  </si>
  <si>
    <t>de otras tropas fran­ cesas que estaba viendo entrar en Madridejos. Esto lo execuró con' tai denuedo , que logró hacer 12 prisioneros, entre ellos £Í General Bonderweid, á su Secretario , y a un Comisario de guerra, quedando ios demas muertos ; sin otro daño por nues­ tra parte que una pequeña herida que recibió de una bala e…</t>
  </si>
  <si>
    <t>Bonet</t>
  </si>
  <si>
    <t>as tropas france­ Por noticias posteriores se ha sabido que sas , después de haber hecho su reunión 4® insurgentes han rendido las armas , en­ con el general Bonet, que llegaba triunfante tre los quales se encuentran las únicas tro­ de Astúrias. Al dia siguiente u se combi­ pas de línea que habían quedado del exérnó un ataque…</t>
  </si>
  <si>
    <t>anes con algunos de vuestra propia determinación, porque po­ los dispersos que ha podido recoger; pero drá haber incidentes que exijan el acelerar el general Bonet, que ha. sido reforzado vuestra salida, si el permanecer mucho con tres batallones, ocupa con sus tropas tiempo en Paris pudiese exponer vuestra el punto de S. Vic…</t>
  </si>
  <si>
    <t>Bongars</t>
  </si>
  <si>
    <t>á reali­ tituto desde la época eti.que fijaron por un zar este proyecto, no volverá á pasar el instante -la atención de la ’priímera dicta Saale. El general Bongars , con das regi­ confederativa , pide que la dieta nombre mientos de coraceros y un batallón de in­ comisarios para examinar el estado actual fantería francesa, va…</t>
  </si>
  <si>
    <t>Bonn, Lorenzo</t>
  </si>
  <si>
    <t>Lorenzo Bonn</t>
  </si>
  <si>
    <t>i8 Castilla la Vieja.-«?®xc* |e?oc £ pancisc" Xavier Caro. J Exc. Señor D. Lorenzo Bonn: z y (¿«imano* rv^^k.. fVExc. Señor Marques de la Puebla. a-.............. -\Exc. Señor D. Juan de Dios Kábé. Estremadura............ S *xc&gt; |e"ot £• ^Ia,rtin „de .?*'**• ^ Exc, Señor D. Fé</t>
  </si>
  <si>
    <t>Booguert</t>
  </si>
  <si>
    <t>sición entre el texto francés y ei texto ita­ «Según los informes recibidos de la isla liano , se consultará y seguirá el primero. de Waicheren , el teniente coronel Booguert, III. „ Siu embargo , el código Napoleón</t>
  </si>
  <si>
    <t>Borda, Francisco</t>
  </si>
  <si>
    <t>Francisco Borda</t>
  </si>
  <si>
    <t>sino también acrecentados con quanto cobré de los comisionados mas inmed¡&lt;uos á la residencia de S. M. He dispuesto pues que el tesorero de exército D. Francisco Borda, que ha servido la tesorería de S. M. en su viage, en­ tregue á V. S. la mayor parte de estos valores, y que la restante la reciba de tesorería mayor en vales …</t>
  </si>
  <si>
    <t>Borgas, Andrés</t>
  </si>
  <si>
    <t>Andrés Borgas</t>
  </si>
  <si>
    <t>erdalíes Cadet: I). Juan Dubaña , sobrino: Nicolás Buquet, peluquero, y su hijo Juan: Pedro Charlen , maestro sas­ tre : Francisco Grille 6 Brilieu : D. Andrés Borgas ó Bersi: Mar­ cos Andrés ó Andreu: Juana Basadre su muger: dos hijastros de dicho Andreu: D. Juan Berdalíes: D. Juan Bautista Jouban: Ma­ nuel Mantdian (alias M…</t>
  </si>
  <si>
    <t>Borghese</t>
  </si>
  <si>
    <t>7 de agosto de 1809</t>
  </si>
  <si>
    <t>Gaceta de Madrid n.º 220</t>
  </si>
  <si>
    <t>qúe apoplérico la''prj^cedición jo hombres, sin mas pérdida por. sa Salviatí Borghese, madre de S. A.,I. la nuestra parte que la de cinco hombres he­ princesa Borghese, gobernadora general de ridos. •• ' ' \ ‘ • los departamentos situados en la parte de Francfort u de julio. acá de I05 Alpes. Su cadáver fue trasladado Desde q…</t>
  </si>
  <si>
    <t>Borgoñon, Juaquin</t>
  </si>
  <si>
    <t>Juaquin Borgoñon</t>
  </si>
  <si>
    <t>de Suelves. SUIZOS DE ARAGON. Un herido. GRANADEROS DE PALAFOX. Tres heridos. PRIMER BATALLON DE HUESCA. El Capitán D* Antonio Morera, y el Teniente D. Juaquin Borgoñon, heridos. El Capitán D. Josef Sierra y el Subteniente D. Paulino Domenec, contusosj un Sargento, un Cabo y a soldados .muertos , y 36 .heridos. VOLUNTARIOS DE…</t>
  </si>
  <si>
    <t>Borlier, Juan Diaz</t>
  </si>
  <si>
    <t>Juan Diaz Borlier</t>
  </si>
  <si>
    <t>50</t>
  </si>
  <si>
    <t>ÑA. Lean 23 de &lt;¡cfy.(bre. D. Eranfciscb'fl^r,Iísvíá ,-''éofouel :Sel'regi­ miento infantería dé línea de CaVtHlaq Ira.' partícipabcf ái: briga­ dier D. Juan Diaz Borlier crin fecha de 2f dé! Úriítiénté; que ha­ biendo llegado con su regimiento á la" villa de Gradefes el día 14 , se le presentó el enemigo en' número de 13i&gt; d…</t>
  </si>
  <si>
    <t>Borrel</t>
  </si>
  <si>
    <t>mariscal duque de Cone- Exercitados en presencia de un gefe y gliano se ha de establecer aquí. El señor de oficiales de distinguido mérito , nuestras general Borrel, barón del Imperio, es ge- guardias nacionales se hallarán dentro de fe del estado mayor. pocos días en estado de colocarse al lado de las tropas de línea , para …</t>
  </si>
  <si>
    <t>Boulancourt, Angel</t>
  </si>
  <si>
    <t>Angel Boulancourt</t>
  </si>
  <si>
    <t>al^señor Paquin, justamente á Bonaparte el derecho de esta­ capitán de caballería, gefe de esquadron; blecer allí una escala, por decirlo asi , ne­ á D. Angel Boulancourt, D. Gregorio Hi­ cesaria para su empresa , y le han propor­ dalgo , D. Josef B.irrachino y D. Manuel cionado ademas los medios de asegurar y Vellido , Subte…</t>
  </si>
  <si>
    <t>Bouman</t>
  </si>
  <si>
    <t>jo de guerra: el general Romberg, comandante de Stettin; el general Lecoq* comandante de Hameln; el general Beneckendorf, coman­ dante de Spandau; el coronel Bouman, principal ingeniero de Custrin; el mayor Rauch, que según se dice, contri­ buyó á que cayese en manos de los franceses la espada de Federico el grande; y aun se …</t>
  </si>
  <si>
    <t>Bragation</t>
  </si>
  <si>
    <t>ado á Abo, en donde se dispone para marchar á Petersburgo. Como no ha llegado todavía á Finlandia su sucesor Mr. el barón de Khorring, se cree que el príncipe Bragation se encargará interinamente del mando, mien­ tras que acaba de trasladarse á Abo ePgran quartel general, donde este príncipe tenia el suyo. Las tropas de su ma…</t>
  </si>
  <si>
    <t>497</t>
  </si>
  <si>
    <t>CAS. B A VIERA. Lubeck 14 de marzo. Munich 18 de marzo. Según Jas últimas noticias recibidas de Una carta particular de Viena, fecha el Finlandia, el príncipe Bragation, que tie­ 11 del corriente, contiene los pormenores ne el mando en la parte occidental de esta siguientes : provincia, se ha aprovechado del rigor de „Los dia…</t>
  </si>
  <si>
    <t>Braner</t>
  </si>
  <si>
    <t>ivo será presentado solemnemente á la au­ sionero «.preguntándole este sobre Jas qua— diencia de-S. M. lidades. que caracterizaban al gefe Perena, El doctor Braner ha logrado escapar de respondió que uo se le conocía bax» otro Middelburgoen donde estaba desde la in­ nombre sino baxo el de general de las do­ vasión de los ingl…</t>
  </si>
  <si>
    <t>Braschi</t>
  </si>
  <si>
    <t>oo i ^ue la del duque Braschi, quien en nombre de la ciudad-de I-lcirc, dió al usurpador de aquellos estados tan desmedidos elogies ccrr;:&gt; pudieran tributars.e á Trajano, ó á otro príncipe bienhechor de la humanidad. B</t>
  </si>
  <si>
    <t>Bremond, Nicolás María</t>
  </si>
  <si>
    <t>Nicolás María Bremond</t>
  </si>
  <si>
    <t>r decreto de 30 de agosto lia nombrado en el ministerio de negocios eclesiásticos á D. Juan Ceaii Bermudez xefe de división; á D. Cipriano Salinero , D. Nicolás María Bremond, D. Mariano Garrido y D. Pedro Alfaro y Remon oficiales segundos; y á D. Jo­ sé Julián Diez archivero. Por decreto de 31 del mismo ha nombrado en el min…</t>
  </si>
  <si>
    <t>Bringas, Francisco</t>
  </si>
  <si>
    <t>Francisco Bringas</t>
  </si>
  <si>
    <t>s médicos y cirujanos , que articulo i. Nombramos regidores de muestran también un celo infatigable. la villa de Madrid á D. Manuel Juez Sar­ miento, D. Francisco Bringas, D. Diego Amberes iS de setiembre. Barreda y D. J *scf Carranza. S. A. el prín. ipe de Pontecorvo ha vi­ art. 11. Nuestro ministro de lo In­ sitado esta mañ…</t>
  </si>
  <si>
    <t>Británico</t>
  </si>
  <si>
    <t>á medio camino de Coimbra á Oporto esto es , á 9,leguas de esta ciudad. Según las . noticias que. se tienen: aquí,, y. según lo que. me. han dicho el Ministro Británico , el Almirante y- el: Ministro de la; Guerra , los enemigos léxos de dispo­ nerse. á una retirada , parece áL contrario que piensan en¿ esperar- una. acción ,…</t>
  </si>
  <si>
    <t>Brjonekowski</t>
  </si>
  <si>
    <t>anubio, que te del principe primado de Hungría, her­ se está ahora organizando en Austria á las mano de la Emperatriz, de resultas de una órdenes del general Brjonekowski. fiebre perniciosa que conrraxo en Comorn. El príncipe Domingo Radziwill, que Esta fortaleza, que ha costado al Austria ha llegado aquí de la-Lituania, leva…</t>
  </si>
  <si>
    <t>Brock</t>
  </si>
  <si>
    <t>7 de mayo de 1809</t>
  </si>
  <si>
    <t>Gaceta de Madrid n.º 127</t>
  </si>
  <si>
    <t>obno un embaXidor ruso. En su á hacer tina visita de inspección en las pro­ consecuencia nuestra corte ha despachado vincias polacas. para Nurwega ai capitán Brock , que pasará Un suplemento á la gazeta ministerial, por Suecia con esta noticia t^n interesante. contiene el parte siguiente, dado por el ge­ Todavía no se ha pres…</t>
  </si>
  <si>
    <t>Broeikowski</t>
  </si>
  <si>
    <t>oviembre. • gados dél ¡dinero de lá contribución de 16 La legión del Vístala,-que estaba or- millones de^florines qée ie .habii impuesto gánitaodo el general Broeikowski, ha reci­ al Austria. El comisario francés qne ha re-' bido órden de permanecer en Augsburgo, cibído el dinero llegó ya anteayer. &lt; donde recibirá refuerzos …</t>
  </si>
  <si>
    <t>Bronikov</t>
  </si>
  <si>
    <t>son el conde Ignacio Potocki» el mentz» que la manda» tiene su quartel ge­ general Bronikowski» y el conde Thadeus neral eo Feldkirch. Matusewiez. El general Bronikov^ski ha re­ GRAN BRETAÑA. cibido la cruz de la legión de Honor. El príncipe Poniatowski» comandante Londres 10 de setiembre. en gefe del exército polaco en Galli…</t>
  </si>
  <si>
    <t>Bronikovvski</t>
  </si>
  <si>
    <t>270</t>
  </si>
  <si>
    <t>270 GAZETA DEL GOBIERNO DEL MARTES LO DE OCTUBRE DE 1809. SOTICIAS EXTRANJERAS. POLONIA. Hasta ‘21 di agosto. Por órden de Bonaparte está formando el general Bronikovvski una legión intitulada del Danubio , que se compondrá de prisioneros austríacos nacidos en Polonia. — El cuerpo de tropas rusas mandado por el general Siever…</t>
  </si>
  <si>
    <t>Brou-sier</t>
  </si>
  <si>
    <t>s días de ayer y hoi en efec­ po-Formio á 1 i de abril de i8o9.=tÉugituar su reunión en las orillas del Tag la­ nio Napolíon.” mento. La división del general Brou-sier El senado ha nombrado 5 miembros pa­ es la única que hasta ahora ha venido á las ra qué vayan á ofrecer á S. A. I. los sen­ manos con el enemigo, el quai ha at…</t>
  </si>
  <si>
    <t>Broussier</t>
  </si>
  <si>
    <t>19 de julio de 1809</t>
  </si>
  <si>
    <t>Gaceta de Madrid n.º 200</t>
  </si>
  <si>
    <t>sar el Danubio en tres colunas. Estos tres puentes están asegurados contra Vietta 3 de julio de 180$. todo insulto, y aun contra el efecto de los E! .general Broussier había dexado en la brulotes y máquinas incendiarias, por me­ ciudad de Gratz dos batallones del 84.” re­ dio de empalizadas de estacas construidas gimiento de …</t>
  </si>
  <si>
    <t>Browrir</t>
  </si>
  <si>
    <t>Gaceta de Madrid n.º 358</t>
  </si>
  <si>
    <t>51</t>
  </si>
  <si>
    <t>qne pronto habrá pna licencias, á lo menos hasta la primavera in­ promoción grande en nuestra marina__ -El mediata, á un número1 basrante considera­ general Browrir.g ha sido nombrado coman­ ble de las tropas qué había armadas, ¿ dante as gefe de nuestro exe'reiro en la In­ efecto de aligerar el peso que soportaba la dia.—El …</t>
  </si>
  <si>
    <t>Bru, Luis Melendez</t>
  </si>
  <si>
    <t>Luis Melendez Bru</t>
  </si>
  <si>
    <t>18 de julio de 1809</t>
  </si>
  <si>
    <t>Gazeta del Gobierno n.º 46</t>
  </si>
  <si>
    <t>stinos ,de. esta clase, con .arreglo á las especiales -constituciones .de las dichas .Ordenes,, ha nombrado .$• M» a D. Miguel Alfonso Villagomez , á D. Luis Melendez Bru­ na , y D. Juan Miguel Perez Tafalla., ;• &gt; A beneficio de los- qúé /quieráirt^réorift'^létar ”_Ia pjpíeé^iqi» de los números del Semanario Tat^íóficó ‘ sé …</t>
  </si>
  <si>
    <t>Bruce</t>
  </si>
  <si>
    <t>Gazeta Ministerial de Sevilla n.º 64</t>
  </si>
  <si>
    <t>n la metrópoli para sostener les derechos de Fernando VIL Reyna la mayor armonía en aquellas provincias entre españoles é inglese?. Se asegura que el mariscal Bruce ha muerto en Pa* ris al quisto dia de estar preso y y se cree que un* ve­ neno ha servido el edio de Socaparte. E.ta h;?b:a dieho:. que si no fuera Bruñe mariscal…</t>
  </si>
  <si>
    <t>nte los ataques del enemigo , y se dice que le Lintz 6 de agosto. ha echado á pique muchos buques. Los viagetos que llegan aquí de Viená «El teniente general Bruce, que estaba refieren que se habia esparcido en aquella encargado de defender las baterías de Zaidcapital la voz de que el Emperador Napo­ Beverland hasta el último…</t>
  </si>
  <si>
    <t>Gaceta de Madrid n.º 239</t>
  </si>
  <si>
    <t>sido atacada, y de las Hspañas y de las Indias. el destacamento» al que ba abandonado la Hemos decretado y decretamos lo si­ isla de Zuid-Beveland al general Bruce»es guiente: de corta consideración. articulo f. »&gt;La superintendencia ge­ . La csquadrilla holandesa» á las órdenes neral de correos y postas estará al cargo de de…</t>
  </si>
  <si>
    <t>-apoderase de ellas. tropas, y tenemos dentro de los muros y La gazeta real anuncia que la deposición en las inmediaciones 1 5 generales, y todos del general Bruce es provisional solamente, los días llegan nuevas fuerzas y oficiales hasta que el supremo consejo de Guerra superiores. Actualmente se está trabajando haya sentenc…</t>
  </si>
  <si>
    <t>de quedar enteramente destruida la esquadra, que á duras penas había podido reu­ nir Bonaparte en él Escalda. En la del 24 dicen : u que el teniente general Bruce, que estaba encargado de defender las baterías de ZuidBeveland hasta el último extremo , las ha entregado cobardemente al enemigo.'1' Y en la del 26“ que habiendo i…</t>
  </si>
  <si>
    <t>Brun, Domingo</t>
  </si>
  <si>
    <t>Domingo Brun</t>
  </si>
  <si>
    <t>Gazeta del Gobierno n.º 59 · 2.ª serie (suplemento 2.º)</t>
  </si>
  <si>
    <t>81</t>
  </si>
  <si>
    <t>rios sa­ crificios que ha sufrido y sufre este pais y el de Aragón, dimanados de los famosos espías , traidores á la patria, D. Gerónimo Rocatallada, D. Domingo Brun ( aligs Chandon) , D. Clemente Lapetra, todos vecinos de la villa de Hecho , y éste último vicario: los dos primeros baxaron á Tortosa á principios de agosto , y…</t>
  </si>
  <si>
    <t>Bruna, Luis Melendez</t>
  </si>
  <si>
    <t>Luis Melendez Bruna</t>
  </si>
  <si>
    <t>ef Pablo Valiente , D. Sebastian de Torres,D. Ignacio Martínez de Villela , D. Miguel Alfonso Villagomez, D. Tomás Moyano, D. Pasqual Quiíez y Talón, D. Luis Melendez Bruna, D. Juan Miguel Perez Tafalla, y el Sr. Fiscal D.An­ tonio Cano Manuel. Luego que llegó eí Sr. Decano y dexó el co­ che en el zaguan de la referida casa ,…</t>
  </si>
  <si>
    <t>uena. — Duquesa del Arco y Monteilano. — Condesa de Superunda. — D. José Almendariz. — D. Iginio Antonio Llórente; —• Fr. Ignacio Gómez Ibluzqueta. — D. Luis Melendez Bruna. — D. José Mariano Dineo.—D. Joaquin Muñoz, recibidor de Mal­ ta. — Conde de Oñate. — Marquesa de Malpicá. — D. Joaquín de Viliauneta.-- D. Antonio Campag…</t>
  </si>
  <si>
    <t>Bruna, Luis Meletidea</t>
  </si>
  <si>
    <t>Luis Meletidea Bruna</t>
  </si>
  <si>
    <t>ta varría y D. Ignacio Martínez de Villela, D. Antonio López .Quinta*na , D. Miguel Alfonso Villagomez , D. Temas Mayan*, T&gt;. Fasq nal Quiles Talón , D. Luis Meletidea Bruna , X). Juan Miguel Berez TafaUa, y D. Ciríaco Goqzalez Carvajal: nombrando para Fiscales á D, Nicolás María de fierra, y D; Antonio Cano Manuel : para una…</t>
  </si>
  <si>
    <t>Bruno</t>
  </si>
  <si>
    <t>una sobre el dique de Sloé , con el ñn enemigo se contentó con meter en las lan­ de defender este paso. chas unos pocos soldados, que dispararon ,,E1 general Bruno quedó encargado de algunos fusilazos contra nuestros buques, observar al enemigo, y &gt;0 regresé ayer que estaban defendidos por un batallón del mañana á Batz con el…</t>
  </si>
  <si>
    <t>Bruyere</t>
  </si>
  <si>
    <t>Gaceta de Madrid n.º 1 (suplemento)</t>
  </si>
  <si>
    <t>, se abrirá ai pu­ blico antes de 3 meses. Los monumentos mandados elevar por V M. en; loor del general Vallongue, muerto en el sitio de Gaeta, y del coroneL Bruyere, atacado y muerto cerca de Fondi, y el que hace erigir á la me—' moría del Taso en la ciudad de su nacimiento, al paso que prueban el coi-* dado de V. M. de cons…</t>
  </si>
  <si>
    <t>Gaceta de Madrid n.º 3</t>
  </si>
  <si>
    <t>les, y el populacho á cada instante asesinaba ó amenazaba de la horca á sus magistrados y generales. £1 general de brigada Maison ha sido herido. El general Bruyere ha muerto por haberse adelantado imprudentemente después de cesado el fue-* go. Hemos tenido 50 soldados heridos y J2 muertos, debiéndose tan corta pérdida al peq…</t>
  </si>
  <si>
    <t>Bsurnonville</t>
  </si>
  <si>
    <t>El presente Senado Consueto orgánico se pasará á Atanos de S. M. el Emperador y Rey. París 2 de marzo, == Cambaceres , Archicanciller del Imperic=Si General Bsurnonville, y T. Hédouville, Secretarlos* Este decreto fué presentado el 28 de febrero último al Senado por los consejeros de Estado^ Condes Regnaud y Defermon, en cuya…</t>
  </si>
  <si>
    <t>Btake</t>
  </si>
  <si>
    <t>1898</t>
  </si>
  <si>
    <t>de infantería. . GRAN BRETAÑA. Londres 21 de noviembre. EXTRACTO DEL KENTISH CHRONÍCLE. Según las últimas noticias de España del dia 5 de este mes el general Btake debía marchar el dia 6 contra él enemigo. El ha debido encaminarse hácia Bilbao, por lo importante que es este puesto, y porque los franceses Intentarán sin duda a…</t>
  </si>
  <si>
    <t>Gaceta de Madrid n.º 344</t>
  </si>
  <si>
    <t>stíglione, quien inme­ diatamente tomó todas' las disposiciones Madrid 8 de diciembre. convenientes para recobrar lá ofensiva so-; bre el enemigo. El general Btake estaba; Gerona habia prolongado so resistencia^' acampado en las alturas de Bruñóla quan­ con una tenacidad, propia solamente del' do el duque de Castiglione resol…</t>
  </si>
  <si>
    <t>Btlíáifé, Saint</t>
  </si>
  <si>
    <t>Saint Btlíáifé</t>
  </si>
  <si>
    <t>yeí administrador general de rentas Mr. Bignón Habiánimarchadó al gurí os dias antes. ‘ : ‘ Etí'la 'éfdeirert dúe! ePduqqedé Avéirstáédt cómúíiico al general Saint-9 Btlíáifé^u^Vfída di Mili*, sdü, dignos dé^ ttót^e lps ^g^Mgdiéniíe^ ..Lo ,vLo último aue que tenéo áué inandaros1 al Salir tengo que salir deBerliiré* Qe-tterlur…</t>
  </si>
  <si>
    <t>BtvmikQwski</t>
  </si>
  <si>
    <t>&gt; de Falencia; par qne vuelven del wércitó de Alemania Bigarré, general comandante de la infantería para Francia. de nnestra guardia. ; 1 Et gékieral conde BtvmikQwski va S la- Cambrooero (D. Manuel), consejero de lir para París, don le parece que se deten■ 1 Estado.'. drá alguna» semanas.- Casa-Enlacio (marques de }, marisca…</t>
  </si>
  <si>
    <t>Buach, José</t>
  </si>
  <si>
    <t>José Buach</t>
  </si>
  <si>
    <t>469</t>
  </si>
  <si>
    <t>mente molestan al enemiga ios comandantes D..Juan Claros y D. Esteban Llovera, merecé los mayores elogios la que salió de esta villa ayer al mando de D. José Buach , teniente del. tercio de Figueras, compuesta de 20 hombres del mismo, quien en. cumplimiento de las instrucciones que llevaba del Sr. Claros, atra­ vesó el camino…</t>
  </si>
  <si>
    <t>Buchel, José</t>
  </si>
  <si>
    <t>José Buchel</t>
  </si>
  <si>
    <t>rdo López, ayu­ dante del Juéz militar, el teniente del de Murcia D. Antonio Aivarez, es­ tos dos oficiales de quienes echo mano quando los necesito, D. José Buchel, c.apitan del misino Murcia, que por hablar el ingles me sirvió de interprete, para varios-avisos verbales y partes por escrito que dirigía al general in­ gles en…</t>
  </si>
  <si>
    <t>Bugge, Tomas</t>
  </si>
  <si>
    <t>Tomas Bugge</t>
  </si>
  <si>
    <t>5 de marzo de 1809</t>
  </si>
  <si>
    <t>Gaceta de Madrid n.º 64</t>
  </si>
  <si>
    <t>zar el presente reconocer ni sujetarse al gobierno de los ge­ año de 1809 al secretario de la academia, nízaros. Se teme que en Bulgaria haya nue­ el profesor Tomas Bugge, en Copenhague. vos alborotos. Ya se habia dado la orden para deponer de su empleo al baxá de Nissa; AUSTRIA. pero este ha declarado que de ninguna ma­ nera…</t>
  </si>
  <si>
    <t>Buil, Antonid</t>
  </si>
  <si>
    <t>Antonid Buil</t>
  </si>
  <si>
    <t>D. Valentín Solanot.— D. Ra­ món Gayan. — D. Gerónimo Castillon. — D. Antonio Laspuertas.— D. Narciso Laclara. — D. Mariano Ciria. — D. José Pons. — D. Antonid' Buil. — D. Pedro Blecüa. — D. Salvador Puycercus. — D. Mariano Baguena.— Condado de Plasencia.— Baronía de' Gurrea.— Marques de Dosaguas.— Marques de Sta. Coloma.— D.…</t>
  </si>
  <si>
    <t>Bullen</t>
  </si>
  <si>
    <t>a á las fuer­ za-! combinadas, que se portaron con mucho valor. Por nuestra parte solo hubo 3 heridos. El mismo vice almirante remitió otra carta del capitán Bullen, en que participa la destrucción del fuerte Rioux en la costa ne Francia, y la toma dé 5 buques que se creian defendidos por el mismo fuerte. Los franceses tuvier…</t>
  </si>
  <si>
    <t>Bunel</t>
  </si>
  <si>
    <t>Gaceta de Madrid n.º 90</t>
  </si>
  <si>
    <t>ciembre último, anuncian la llega­ Nurem&amp;erg 6 de marzo. da á aquella isla del buque aventurero el Los numerosos cuerpos-de tropas aus­ Desquite , su capitán Bunel. tríacas que se reúnen en Bohemia , y pare­ Según las últimas noticias que hemos te­ cen amenazir al Palatinado superior , han nido de Semlin se cree que dentro- d…</t>
  </si>
  <si>
    <t>Bunhury</t>
  </si>
  <si>
    <t>e Alava 4al quartel general, mien­ tras yo despacho ya en derechura á V. E. y ganando hon­ ras el correo D.4 Isidoro Liencres. .Copia de la carta del Coronel Bunhury al -Sr, JLopez, Oporto .-de *mayo de 1^809. rzz’Mi buen u*migo : Np tengo mas que un momento - pára darle á Vd. la noticia de que se alegrará al saber de que est…</t>
  </si>
  <si>
    <t>Buol</t>
  </si>
  <si>
    <t>Gazeta del Gobierno n.º 16 · 2.ª serie</t>
  </si>
  <si>
    <t>132</t>
  </si>
  <si>
    <t>el fin de contener al exército fran­ cés que de Italia pasaba hacia Hungría , solo quedó en el Tirol una parte de su exército á las órdenes del mayor general Buol. Aprovechándose los bávaros de esta ocasión , atacaron á los tirole­ ses , y consiguieron apoderarse de Inspruck , y se creyeron con esto dueños de todo el pais, y …</t>
  </si>
  <si>
    <t>Burguillo, Ignacio</t>
  </si>
  <si>
    <t>Ignacio Burguillo</t>
  </si>
  <si>
    <t>águila; D. Juan Sanz; D. Severo Bernal Moran; Don Segundo Revilla; D. Pedro Revilla* D. Narciso Holgado; D. Juan Solís Martin ; D. Valentín Perrino ; D. Ignacio Burguillo; D. Sebastian Sánchez; D. Juan Manuel Bazan; D. Marcelo Meló. Del estado eclesiástico secular y regular asistieron D. Angel Josef de Huecas j cura de S. Mar…</t>
  </si>
  <si>
    <t>Buriy, Mariano</t>
  </si>
  <si>
    <t>Mariano Buriy</t>
  </si>
  <si>
    <t>de que ante' eran de la filiación de regulare», Zaragoza á D. Pedro Lapuy-da, y en su quedan sujetas á los M. RR. arzobispos ausencia é interinidad á D. Mariano Buriy obispos de lis respectivas diócesis; y los 11o, con el mismo sueldo que los anterio­ vicarios y cape lañes regulares que tenían res. Para la de Soria á D. Josef…</t>
  </si>
  <si>
    <t>Búrraggi, Vicente</t>
  </si>
  <si>
    <t>Vicente Búrraggi</t>
  </si>
  <si>
    <t>nchas cañoneras que había yo pedido y enviádome eJ capitán de navio D. Juan Carranza , mandadas por los tenientes de navio D. • Ahdrés de la Fuente ; D. Vicente Búrraggi, D. Manuel Echevarría; el alférez de fragata D* Simón Ponce de Leon5 &gt;</t>
  </si>
  <si>
    <t>Burssack</t>
  </si>
  <si>
    <t>Gaceta de Madrid n.º 258</t>
  </si>
  <si>
    <t>1137</t>
  </si>
  <si>
    <t>o mas que de 100 hombres entre muertos y mui considerable, y cometían horribles es­ heridos. tragos . llevándose cautivos á los habitantes ,,EI mayor general Burssack pasó tam­ del pais; y según los avisos dados por el bién el Kuban con las tropas de su mando, gobernador militar de la Nueva Rdsia , es­ y puso fuego á lo lugar…</t>
  </si>
  <si>
    <t>Burthe</t>
  </si>
  <si>
    <t>16 de marzo de 1809</t>
  </si>
  <si>
    <t>Gaceta de Madrid n.º 75</t>
  </si>
  <si>
    <t>bcaSioft Mr. Sthal, gefe de batallón del regimiento al Frente de Una colüna de infantería , .y 14.0 de línea, y el teniente Víctor de Buf- también el coronel Burthe^del 4.a de hú­ fon &gt; que subió de los primeros al asalto. sares , y el gefe de batallón Camus , del a 8.*^ El 16 de enero sé apoderó el duque de de infantería lig…</t>
  </si>
  <si>
    <t>Busíamante, Toribio</t>
  </si>
  <si>
    <t>Toribio Busíamante</t>
  </si>
  <si>
    <t>201</t>
  </si>
  <si>
    <t>lvió escarmentarlos áfin de que no se atre­ viesen á caminar en pequeños destacamentos ; y habiendo comu­ nicado su pensamiento , y conferenciado con D. Toribio Busíamante, capitán de caballería, y con D. Francisco Rodríguez, capi­ tán de voluntarios de Plasencia, pasaron el Tajo con poco mas de 200 hombres á las 10 de la noc…</t>
  </si>
  <si>
    <t>Bustillos, Juan Manuel</t>
  </si>
  <si>
    <t>Juan Manuel Bustillos</t>
  </si>
  <si>
    <t>anuel Balbontin. 2.000 D. Juan Antonio Estanillo. 2.000 D. José Bernabé lzita. 16.000 D. Pedro Marcos Gutiérrez. 8.000 D, Francisco Almirante. 10.000 D. Juan Manuel Bustillos. 2.000 D. Manuel Diez Cortina. 1.000 D. Francisco y D. Joaquín de la Cortina. 30.000 El capitán D. Diego y D. Juan Manuel de Peredo. 30.000 D. Juan Marc…</t>
  </si>
  <si>
    <t>Bustos, Patricio</t>
  </si>
  <si>
    <t>Patricio Bustos</t>
  </si>
  <si>
    <t>Gaceta de Madrid n.º 27</t>
  </si>
  <si>
    <t>r á visitar el hospital General, y lo ha encontrado en ¿buen estado. S. M. ha manifestado su satisfacción á los administradores, y en especial al Sr. D. Patricio Bustos, comisario general de Cruzada y her­ mano mayor, al intendente general del exército francés, al comisario orde­ nador en ge fe, y á los Sres. Perci y Degenete…</t>
  </si>
  <si>
    <t>Buxhovvden</t>
  </si>
  <si>
    <t>el gran duque Constantino hubiese ido á mandar el exército que suponen marcha á Constantinopla., Tampoco, se han confir­ mado-los. rumores de que el general Buxhovvden tomaría el mis­ mo mandov El príncipe Prosorovvski se halla restablecido de su enfermedad , y se manifiesta digno de la confianza que tiene en é| su soberano..…</t>
  </si>
  <si>
    <t>Buxhowdan</t>
  </si>
  <si>
    <t>9 de abril de 1809</t>
  </si>
  <si>
    <t>Gaceta de Madrid n.º 99</t>
  </si>
  <si>
    <t>fusil, cañones de hierro y de bron­ ce, pólvora, mechas , sables, y toda clase Petersburgo i.° de marzo. de armas de fuego , pagando solamente la El general Buxhowdan ha llegado aquí mitad de los derechos de aduana. de la Finlandia con sus 2 hijos. El minis­ Por un decreto de S. M., dado el 9 del tro de la Guerra conde de Ara…</t>
  </si>
  <si>
    <t>Buxhowden</t>
  </si>
  <si>
    <t>ases, y con especialidad entre los propie­ DINAMARCA. tarios y negociantes. Se ha esparcido la voz en la Servia de Copenh.igitc 14 de febrero. que el general Buxhowden está destinado El señor Memers, ministro de Holanda para mandar en gefe las tropas rusas en cerca de nuestra corte , y el señor Bever, Moldavia y Valaquia. sec…</t>
  </si>
  <si>
    <t>Ca, Antonio</t>
  </si>
  <si>
    <t>Antonio Ca</t>
  </si>
  <si>
    <t>20 de enero de 1809</t>
  </si>
  <si>
    <t>Gazeta del Gobierno n.º 4</t>
  </si>
  <si>
    <t>lealtad, amor y sumisión que esa de Cádiz manifiésta. en lá credencialdadavá,D.: Josef Alvarez 'Cam­ pana, , y al Canonigo Magistral, dehesa Iglesia D. Antonio Ca­ brera, Diputados para cumplimentar* á S. M. y ofrecer el tri­ buto de su &gt; respeto y obediencia ; al Cuerpo Soberano Nacional, los quales han tenido la-mas* grata …</t>
  </si>
  <si>
    <t>Ca, Juan Josef</t>
  </si>
  <si>
    <t>Juan Josef Ca</t>
  </si>
  <si>
    <t>Gaceta de Madrid n.º 249</t>
  </si>
  <si>
    <t>1104</t>
  </si>
  <si>
    <t>. An­ es el amigo, quien eF enemigo, para esti­ drés de Gorvea, £&gt;. Luis Colinat D. An­ mar á aquel y protegerle, para que este tonio Ponce de León , D. Juan Josef Ca­ otro busque donde quiera su susrento, y el para, D. Josef Herrera, guardia marina amparo de su vida: y de sus propiedades. de ja real armada, D. Manuel Graiwin…</t>
  </si>
  <si>
    <t>Ca, Juan Manuel</t>
  </si>
  <si>
    <t>Juan Manuel Ca</t>
  </si>
  <si>
    <t>Donativo, suscripción o relación nominal</t>
  </si>
  <si>
    <t>Gazeta del Gobierno n.º 5</t>
  </si>
  <si>
    <t>ydoGufídfilaxara.. res D. Juan Josef Recacho y D. Juan Nepomuceno Hernán­ Idez de Alva, según lista circuns­ tanciada que ha remitido su re­ caudador D. Juan Manuel Ca­ ballero...................... .............. 11.631. 7. De donativo-del Consulado de VeVeracruz........ racruz , y de sus empleados....* 06.513* Id. colectado…</t>
  </si>
  <si>
    <t>Ca, Miguel</t>
  </si>
  <si>
    <t>Miguel Ca</t>
  </si>
  <si>
    <t>485</t>
  </si>
  <si>
    <t>o cinco heridas mortales , su criado tuvo que sujetarle ai caballo, y conducirla al cainpsmeato del Ge­ neral Sánchez. El otro oficial muerto ha sido D. Miguel Ca­ nario , capicaa de Dragones , que con soles.. seis soldados pe-</t>
  </si>
  <si>
    <t>Caba</t>
  </si>
  <si>
    <t>ndición que fueren , que hayan seguido, y sigan el paiddo francés, y señaladamente los dé D. Gonzalo de Ofarrííl , de D. Miguel Josef de Azanza , del Marqués Caba­ ñero , del Conde de Campo de*Atange , del Duque de Frías, del Conde dé Cabarrits , de D. Josef Maz arredo ^ de D. Ma­ riano Luis dé Urquijo , del Conde de M ontarc…</t>
  </si>
  <si>
    <t>Caballero, Juan Facundo</t>
  </si>
  <si>
    <t>Juan Facundo Caballero</t>
  </si>
  <si>
    <t>L — D. Francisco Romano. —► D. Antonio Cano Manuel. — Conae de Bondad Real. — Conde de Sta. Coloma..— Conde de Talara..— D; Ramón Navarro Pingarron.— D. Juan Facundo Caballero..— D-. Sebastian dé Tor­ res. — Di Luis García Puerta. — D: Manuel Quintana.D. Ig­ nacio Gardoqui. — Marques de Villamonte. — D Bernardo Gon­ zález. -—…</t>
  </si>
  <si>
    <t>Cabanellas, Josef</t>
  </si>
  <si>
    <t>Josef Cabanellas</t>
  </si>
  <si>
    <t>Fran­ que quisieran tener en él influencia, no ce­ cisco Prina , D. Leonardo Vila, D. Hen- san de sembrar-cizaña ; y arrimándose á al­ sique Víctor, D. Josef Cabanellas, D. To­ guno de los partidos de la junta , se esfuer­ mas Monroi, D. César Lebrand y Don zan á desacreditar el de sos contrarios para francisco Lors. derribar…</t>
  </si>
  <si>
    <t>Cabazelize, José</t>
  </si>
  <si>
    <t>José Cabazelize</t>
  </si>
  <si>
    <t>ballos muertos 11, heridos 16 3 pérdida total 29 hombres y 27 caballos. Brigada de Sagunto. Regimiento de Sagunto, 8 heridos, entre ellos el teniente D. José Cabazelize, 9 muertos 3 3 caballos heridos y 10 muertcs3 pérdida total 1 oficial 16-hombres y 13 caballos.— Id. regimiento de Ciudad-Rodrigo , 4 heridos , entre ellos el…</t>
  </si>
  <si>
    <t>Cabré, Antonio</t>
  </si>
  <si>
    <t>Antonio Cabré</t>
  </si>
  <si>
    <t>está cnpitaí, dispuso que dos de sus individuos pasa* ran á felicitar á S. M. por su feliz arribo , para lo que nombró á sus individuos los Sres* Dr. D. Antonio Cabré* ra , canónigo magistral de aquella Sta. Iglesia , y el brl* gadier D. Jos.f Alvarez Campana , teniente de Rey de la misma ciudad. El 6 del que-corre se present…</t>
  </si>
  <si>
    <t>Cabrera, Antonio</t>
  </si>
  <si>
    <t>Antonio Cabrera</t>
  </si>
  <si>
    <t>sí lo verifica por medio de los Seño­ res Teniente de Rey dé ella D. Josef Ignacio Alvarez Campa­ na, „ y el Canónigo Magistral de esta Santa Iglesia D. Antonio Cabrera, , dándoles esta; credencial para que, honrados con su ad­ misión á, cumplí mentar á V. M. por tantos y tan dignos mo­ tivos, le aseguren de viva voz la . con…</t>
  </si>
  <si>
    <t>Cabrera, Francisco Plácido</t>
  </si>
  <si>
    <t>Francisco Plácido Cabrera</t>
  </si>
  <si>
    <t>la Castellana j y para la vara de 20, cuyo aumento provendría de solo alcalde mayor de la villa de la Bañeza á el ramo de trigo. Ni hai que temer qué D. Francisco Plácido Cabrera. nuestros campos dexasen de dar todo este fruto; porque mejorada y adelantada nues­ Contimían las rejlexiones sobre el comer­ tra agricultura, se at…</t>
  </si>
  <si>
    <t>Cabrera, Pedro</t>
  </si>
  <si>
    <t>Pedro Cabrera</t>
  </si>
  <si>
    <t>lalba , D. Juan de Pifia, D. Antonio Gómez Barreda , D. JóséfJordán, D. Ma­ nuel Posadas : á Capitanes de navio los de fragata D. Jo­ sef Mollineáo , D. Pedro Cabrera : á espitan de fragata el graduado de la misma clase D. Francisco Alvarez de Perea s á Tenientes de navio los de fragata D. Jcsef María Tagle , D. Francisco Ant…</t>
  </si>
  <si>
    <t>Cabriol, Francisco</t>
  </si>
  <si>
    <t>Francisco Cabriol</t>
  </si>
  <si>
    <t>ente. D. Josef Villalobos, teniente coronei En el regimiento de infantería núm. i.* retirado, está nombrado comisario Ordena­ de la brigada ilrandssa D. Francisco Cabriol, dor con el sueldo señalado á los de esta clase. teniente graduado de capitán que fue del D. Juan Josef Gómez , vocal de la jun­ regimiento de infantería de…</t>
  </si>
  <si>
    <t>Cadet, Miguel Berdalíes</t>
  </si>
  <si>
    <t>Miguel Berdalíes Cadet</t>
  </si>
  <si>
    <t>: tres hermanos apellidados Firpos, el uno llamado Baltasar, y el otro Joaquín,'y dos hijos de estos : D. Tomas Quintana : D, Juan Francisco Barrié: D. Miguel Berdalíes Cadet: I). Juan Dubaña , sobrino: Nicolás Buquet, peluquero, y su hijo Juan: Pedro Charlen , maestro sas­ tre : Francisco Grille 6 Brilieu : D. Andrés Borgas …</t>
  </si>
  <si>
    <t>Cafarelli</t>
  </si>
  <si>
    <t>ín , con intención de Italia. Los vencedores han entrado en de apoderarse de ia escuadra rusa. El ge­ Graetz. Una coluna se dirige hácia Pettau neral conde Cafarelli acababa justamente y Marburgo, para arrojar al archiduque de llegar á aquel puerto. Como estaba des­ Juan de la parte de la Stiria inferior, que armada la ciudad…</t>
  </si>
  <si>
    <t>Caibo, Ramón</t>
  </si>
  <si>
    <t>Ramón Caibo</t>
  </si>
  <si>
    <t>e fizará eo los sitios acostumbrados de esta Ciudad , y se insertará en los periódicos, zz Dido en Sevilla á 15 de abril de i8of.=D. Ramón Navarro. = D. Ramón Caibo. z; D Juan Fernando de , Águirre. zz D. Josef Morales Gallego, zr Por mandado del Tri* bu nal. = D. Manuel Josef de Sousa Ramírez. CON REAL PRIVILEGIO.</t>
  </si>
  <si>
    <t>Caíen</t>
  </si>
  <si>
    <t>tercer cuerpo, él qúal señaló so llega­ de guerra y de boca, y les cogió 1© fusi-, da con la toma del convento de S. Josef, les ingleses. El ayudante comandante Caíen cuyo ataque se distinguió por. su valoir rion de Nizas se distinguió en .. esta bcaSioft Mr. Sthal, gefe de batallón del regimiento al Frente de Una colüna de i…</t>
  </si>
  <si>
    <t>Caivo, Antonia</t>
  </si>
  <si>
    <t>Antonia Caivo</t>
  </si>
  <si>
    <t>otras cosas curiosísimas hai en este ga­ D. Josef de la Serna , teniente vicario del binete un esqueleto de ballena que tiene 28 valle de Carranza: á D. Antonia» Caivo y pies de largo, con la cabeza bien conserva­ Baeza , capellán y sacristán mas or de nna da, 12 costillas &amp;c. de las dos reales parroquias de la casa del campo…</t>
  </si>
  <si>
    <t>Caivo, Lorenzo</t>
  </si>
  <si>
    <t>Lorenzo Caivo</t>
  </si>
  <si>
    <t>Conde de Gásteifiorido. — Duque deL Parque. —Marques del Portago.—Marques de Lazan. — Con­ de del Montijo. — D. Antonio Samper. —D. Ramón ViJlaiba. — D. Lorenzo Caivo. — D. Antonio Valdés. — D. JoséRaniirez. — Marques de Revilla. — D. Luis Gonzalo. —- D Manuel de la Pe­ ña.— Dt Ignacio Antonio de Cortabarria.— D. Ramón Ger.— …</t>
  </si>
  <si>
    <t>Calero, Joaquín</t>
  </si>
  <si>
    <t>Joaquín Calero</t>
  </si>
  <si>
    <t>144 El Administrador del Hospital del ;Espirita Sárito , 30 rls. para dos mochilas, r — 4 • &gt; D. Amaro Mota , 17 rls. para unos zapatos. D. Joaquín Calero , ao rls. para dos pares de medias. I . Manuel Pulido*, l7 ris. para unos zapatos. 3?. Alonso Colíantes , 10 rls. para un par de medias. r- j osef Rodríguez , 10 rls. para …</t>
  </si>
  <si>
    <t>Calleja, Josef María</t>
  </si>
  <si>
    <t>Josef María Calleja</t>
  </si>
  <si>
    <t>10 de diciembre de 1809</t>
  </si>
  <si>
    <t>Gaceta de Madrid n.º 345</t>
  </si>
  <si>
    <t>200</t>
  </si>
  <si>
    <t>los por El sobre dice asi: todas partes, y á estas tal vez Madrid es- Prov inda de Mancha. Cuenca. -tará hecho una liorna : ¡ infeliz casa nuestra, A D. Josef María Calleja, Presbítero. y oxalá madre estuviera en esa, y mi mu- Tarancon. ger conmigo! La cosa va con tesón , rigor Alarcon. EN LA IMPRENTA REAL.</t>
  </si>
  <si>
    <t>Callejas, Francisco</t>
  </si>
  <si>
    <t>Francisco Callejas</t>
  </si>
  <si>
    <t>° de ti­ está nombrado subteniente. radores , está {Sombrado subteniente en re­ En el,batallón de infantería ligeran. t.° emplazo de D. Pedro Lapeña. D. Francisco Callejas, subteniente de di­ D. Josef María &lt;Sutoli, teniente que cho cuerpo, está nombrado teniente de fue del regimiento de infantería de Navar­ Id primer, conipu…</t>
  </si>
  <si>
    <t>Calomarde, Tadeo Francisco</t>
  </si>
  <si>
    <t>Tadeo Francisco Calomarde</t>
  </si>
  <si>
    <t>oa.—-D. Joaquin Tamayo. — D. José Compani. — Marques de la Romana.— Conde de Cimera. —; D. Eusebio Bardaxi y Azara. — D. Evaris­ to Perez de Castro.— D. Tadeo Francisco Calomarde.— D. Cris­ tóbal de Góngora. — D. Jacobo Parga. — D. Mateo de Mora y Lomas. — Conde de Vaide Paraiso. — Marques de Orieco. — Duque de Abrantes. — Co…</t>
  </si>
  <si>
    <t>Calvo, Lorenzo</t>
  </si>
  <si>
    <t>Lorenzo Calvo</t>
  </si>
  <si>
    <t>Presidente Exc. Sr* Vioe-Presidente, Marques de Astorga. Exc. Sr. D. Francisco Revolledo de Palafox Aragón.,.*, •••••*•»•••«• • { y Melci. ^»Exc. Sr. D. Lorenzo Calvo. Asturias... Exc. Sr, D. Gaspar Melchor de Jovellanos* ¿Exc.Sr. Marques de Campo Sagrado. Cataluña..... .*.......... «¿Exc. Sr. Marques del Villel.* *»Exc. Sr. …</t>
  </si>
  <si>
    <t>s de la Puebla. Exc. Señor D. Lorenzo Bonifaz y Quintan®. Exc. Señor D. Carlos .Atnatria. SECCION DE HACIENDA* Exc. Señor D. Félix Ovalle. Exc. Señor D. Lorenzo Calvo. Exc. Señor D. Sebastian de Jócano. Exc. Señor D. Luis Funes y Salido* Exc. Señor D. Miguel Balanza Exc. Señor D. Francisco de I *!a Castañedo,</t>
  </si>
  <si>
    <t>27 de marzo de 1809</t>
  </si>
  <si>
    <t>Gazeta del Gobierno n.º 13 (edición complementaria)</t>
  </si>
  <si>
    <t>ontinuación de los donativos para fas obras de fortificación . de, esta Ciudad de 'Sevilla desde 27 de febrero hasta y del corriente. t El Excmo. Sr. D. Lorenzo Calvo, diputado de la Su­ prema Junta Central por el Rey no de Aragón x además de un caballo de buen servicio que acaba de dar para la guerra, de las sumas considerab…</t>
  </si>
  <si>
    <t>Calvo, Manuel Antonio</t>
  </si>
  <si>
    <t>Manuel Antonio Calvo</t>
  </si>
  <si>
    <t>8 de junio de 1809</t>
  </si>
  <si>
    <t>Gaceta de Madrid n.º 159</t>
  </si>
  <si>
    <t>74</t>
  </si>
  <si>
    <t>Pedro de Porras: la vara en provecho suyo de quantos caudales pue­ de alcalde mayor de la ciudad de Almagro den haber á las manos, y se consideran á D. Manuel Antonio Calvo ; y la de la distantes de los peligros de ia guerra , ar­ villa de Pozuelo á D. Juan Ronque y Or­ rancan con la mayor violencia al campo de tega . batalla…</t>
  </si>
  <si>
    <t>Calzas, Juan Miguel</t>
  </si>
  <si>
    <t>Juan Miguel Calzas</t>
  </si>
  <si>
    <t>conuancia de los españole? El Tribunal de Seguridad pública , por su auto de 28 da abril último , -mandó sobreseer en el expediente formado con­ tra D. Juan Miguel Calzas , Abogado de los Reales Conse­ jos, y Síndico Personen) del común de vecinos de la Ciu­ dad da Granada, sobra haber proferido algunas expresiones que censur…</t>
  </si>
  <si>
    <t>Cam, Manuel</t>
  </si>
  <si>
    <t>Manuel Cam</t>
  </si>
  <si>
    <t>las Españas y de las Indias. pasará siempre el proceso al archivo del tri­ ,, Hemos nombrado y nombramos al bunal de comercio. marques de Baxamar, á D. Manuel Cam­ bronera y á D. Bernardo Iriarte miembros TITULO QUINTO. de la comisión del consejo de Estado, en­ cargada de exáminar los títulos de nobleza, De la legislación mer…</t>
  </si>
  <si>
    <t>Cam, Salvador</t>
  </si>
  <si>
    <t>Salvador Cam</t>
  </si>
  <si>
    <t>es. — D. Rafael Costa. — D. José Angel Foncillas. -- D. Andrés Nuñez de Haro.-~ D. Mateo Cortés.— D. Cos­ me Laredo. — D. Francisco López Pelegrin. — D. Salvador Cam­ pillo. — D. Eusebio Ximenez. — D. Pedro Calzan Se ha publicado en Lóndres un quaderno con el título de Suggestions on the cortes (Ir) Su autor es el Lord Hollan…</t>
  </si>
  <si>
    <t>Camacho, Vicente</t>
  </si>
  <si>
    <t>Vicente Camacho</t>
  </si>
  <si>
    <t>— D. Ildefonso Quartero.--Doña Ven­ tura Lisa. — D. Pedro Silves— José Fornies. -- D. José Latasa. — D. José Marracó. — D. Tomas Castillo Larroy. -- D. Vicente Camacho. -- D. Pablo Pasqual.— D. Juan Ramón Perez. -- D. Xa­ vier Castillo.--Monjas de Sigena. — D. Ambrosio Nasarre.— Mar­ ques de las Amarillas.— Marques de Lezo. —…</t>
  </si>
  <si>
    <t>Cambrone, Manuel María</t>
  </si>
  <si>
    <t>Manuel María Cambrone</t>
  </si>
  <si>
    <t>Cons- litos , proponiéndonos el juez ó tribunal que ra::rinopla; á D. Zenon Alonso, consejero haya de entender en estas causas. Dado en de Lidias ; i D. Manuel María Cambrone- nuestro palacio de Madrid á 9 de marzo de r&lt;&gt; y a! conde de Guzman , ambos del con­ 1809. = Firmado = YO EL REI. = Por sejo de Hacienda; á D. Francisco…</t>
  </si>
  <si>
    <t>Cameron</t>
  </si>
  <si>
    <t>12 de abril de 1809</t>
  </si>
  <si>
    <t>Gaceta de Madrid n.º 102</t>
  </si>
  <si>
    <t>493</t>
  </si>
  <si>
    <t>rra.---- L¿s tropas inglesas Letpsh k 1$ de rn.trso. que han quedado hasta ahora en Oporto i Los preparativos militare': continúan en las órdenes del general Cameron deberán Saxonía. be asegura que dentro de poco embarcarse en Lisboa.——El almirante Pur-</t>
  </si>
  <si>
    <t>Camilla, Francisco de Paula</t>
  </si>
  <si>
    <t>Francisco de Paula Camilla</t>
  </si>
  <si>
    <t>ntado en donativo , el marques de Alcántara dos muías, valuadas en 900 reales; la mar­ quesa su madre una en 550; el marques de Villaverde 2 en 1200; D. Francisco de Paula Camilla una en 650 ; D. Marcelo 'Amaya 2 en 10 ; D. Francisco Ximenez una en 850. — De Cádiz, la real aduana ocho mulos en 13.300 ; D. Fermín Elizalde2 en …</t>
  </si>
  <si>
    <t>Camino, Manuel</t>
  </si>
  <si>
    <t>Manuel Camino</t>
  </si>
  <si>
    <t>19 de febrero de 1809</t>
  </si>
  <si>
    <t>Gaceta de Madrid n.º 50</t>
  </si>
  <si>
    <t>Napoleón por la gracia de Dios y por la constitución del es­ tado, REI de las Españas y de las Indias. „ Atendiendo á los méritos y circunstancias de D. Manuel Camino, agen­ te fiscal de ja sala de alcaldes de nuestra real casa y corte, hemos decretado y decretamos lo siguiente: ; articulo 1. Para la fiscalía de Ja sala de al…</t>
  </si>
  <si>
    <t>Campagny, Antonio</t>
  </si>
  <si>
    <t>Antonio Campagny</t>
  </si>
  <si>
    <t>lendez Bruna. — D. José Mariano Dineo.—D. Joaquin Muñoz, recibidor de Mal­ ta. — Conde de Oñate. — Marquesa de Malpicá. — D. Joaquín de Viliauneta.-- D. Antonio Campagny.— D. Torquato Collado.— Marques de Bellestá.— Conde de Puebla del Maestre.— Marquesa de Pontejos.—D. Bernardo Mozo Rosales.—D. Juan Antonio Quin­ tana.--D. J…</t>
  </si>
  <si>
    <t>622</t>
  </si>
  <si>
    <t>yos bienes mandó con­ fiscar el rey intruso en Madrid, y se Sa publicado en la gazeta de nuestro Gobierno del mártes 19 dei corriente, en donde dice: D. Antonio Campagny debe leerse Capmany. SEVILLA : EN LA IMPRENTA REAL.</t>
  </si>
  <si>
    <t>Cámpbcll</t>
  </si>
  <si>
    <t>145</t>
  </si>
  <si>
    <t>la línea donde habla el mayor riesgo , y demostrando la adhe­ sión particular á nuestra justa causa , difícil de explicar dignamente, como también ar teniente coronel Cámpbcll , que está en la vanguar­ dia del exército hace quatro meses,, sir viendo siempre con mucha dis­ tinción. El teniente coronel D. Josef O-Lovvlor , coma…</t>
  </si>
  <si>
    <t>Campero, Antonio García</t>
  </si>
  <si>
    <t>Antonio García Campero</t>
  </si>
  <si>
    <t>Gazeta del Gobierno n.º 13 · 2.ª serie (suplemento 2.º)</t>
  </si>
  <si>
    <t>113</t>
  </si>
  <si>
    <t>Manuel Ilubiano y Nieto.. Palma. . . . . . . D. Martin Mallol. Sevil. . D. José María Gómez. Sar^Ker. . Señores Vidal é hijo.. StajCriiz de Tenerife. D. Antonio García Campero.. Tarragona.................. D. Ramón de Llordella é hijo. falencia...................... D. Francisco Peyrolon y compañía.</t>
  </si>
  <si>
    <t>Camps, José</t>
  </si>
  <si>
    <t>José Camps</t>
  </si>
  <si>
    <t>Gazeta del Gobierno n.º 10 · 2.ª serie</t>
  </si>
  <si>
    <t>82</t>
  </si>
  <si>
    <t>o hallamos otro medio para el desenlace de los prodigios que todos los dias vemos. Extracto del parte dado por el teniente del segundo de Bar­ celona D. José Camps , comandante de la guerrilla extraordina­ ria de la mañana del 3 de agosto, &lt;£ He salido con 34 hombres para desalojar al enemigo de „ la posición que habia tomado…</t>
  </si>
  <si>
    <t>ada en tantas ocasiones r y particularmente en la no­ che que siguió al último asalto de esta plaza-. El subteniente D. Antonio Bivern, y el teniente D. José Camps,, unidos en sus guerrillas r recorrieron las brechas por fueray campos: inmediatos ^ horrorizáronse con la vista de tamo cadáver j entre estos; dieron con un infel…</t>
  </si>
  <si>
    <t>471</t>
  </si>
  <si>
    <t>azadera-; h mas de esto muchos atados de trigo y "yerba seca. He tenido durante la descubierta, un herido de balar, le cañón de la batería de Palau,” D. José Camps avisa haber notado por la parte de M'onjuich • S. Danvri algunos movimientos , que unidos- al tiroteo que ob­ servaba por el cementerio y calle de la Rulla , le hi…</t>
  </si>
  <si>
    <t>Canals, Buenaventura</t>
  </si>
  <si>
    <t>Buenaventura Canals</t>
  </si>
  <si>
    <t>lecimiento de D. .Josef Urquía , á D. Andrés Segura, cura párroco en aquella ciudad; y para otra canongia vacante de la propia iglesia, por muerte de D. Buenaventura Canals, á D. Joaquin Tarin , vicario general de aquella diócesi : para la de Canarias, vacante por fallecimiento de D. Femando Hernández Zumbado , á D. Este­ ban…</t>
  </si>
  <si>
    <t>Cáncer, Antonio</t>
  </si>
  <si>
    <t>Antonio Cáncer</t>
  </si>
  <si>
    <t>*43 D. Antonio Xfntenes, ia rl*. ptrf nn sombrero. P. Jaoa Perez, 10 rls. para unas inedias. D. Pedro 0,úz , 30 rls. para dos mochilas. D. Antonio Cáncer, 20 rls. para dos pares de medias* T&gt;* Josef García , 30 rls. para dos mochilasD. Felipe Fernandez, 40 rls. para dos mochilas , y un par de medias. D. Josef de los Santos , …</t>
  </si>
  <si>
    <t>Cañizares, Vicente Perez</t>
  </si>
  <si>
    <t>Vicente Perez Cañizares</t>
  </si>
  <si>
    <t>drés Elasti. — Francisco Talayera — D. Juan Pedro Delgado y sus dos hi­ jos. — D. Rafael Delgado. — D. Vicente Delgado. D. Manuel González Montaos. — D. Vicente Perez Cañizares. — El conde de Torre Muzqui^. -- D. Lope Peñaranda. — D. Tadeo Galisteo. — La condesa de S.Román, viuda, con sus hijos. — El marques de Melgarejo. El …</t>
  </si>
  <si>
    <t>CannÍDg</t>
  </si>
  <si>
    <t>sageros francés y ruso, que llegaron ¿ Douvres , los que entraron: en esta capital en Ja noche del mismo Jueves. Al momento entregaron sus pliegos ai ministro CannÍDg , y quedaron al cuida­ do de nuestros mensageros de estado,. Nada- se ha tras*iutido»</t>
  </si>
  <si>
    <t>Cano, José</t>
  </si>
  <si>
    <t>José Cano</t>
  </si>
  <si>
    <t>evilla en la de Bsrard ,, y en Cádiz en la de Castillo ; recibiéndqs.e por' el cor­ reo francq de porte. Por el correo de la ciudad de Agreda remitió D. José Cano, comisario de guerra de los reales exércitos, un vale real de la creación de enero de 150 pesos , número 235.641 á la ciudad de Cádiz á D. Gerónimo Ximenez,Ü quien …</t>
  </si>
  <si>
    <t>Cano, Rafael</t>
  </si>
  <si>
    <t>Rafael Cano</t>
  </si>
  <si>
    <t>in Muñoz, D. Pedro Valero y D. Francisco Martin , sargento mayor, capitán 1.° , teniente y subteniente del batallón de tiradores de Ciudad-Rodrigo: á D. Rafael Cano, capitán del regimiento del General, y á los ayudantes de campo D. Ramón Rey, teniente de dragones de la Reyna , y á D. Vicente Sánchez , capitán del regimiento d…</t>
  </si>
  <si>
    <t>Canosa, Josef Antonio</t>
  </si>
  <si>
    <t>Josef Antonio Canosa</t>
  </si>
  <si>
    <t>a, puestos á favor de Doña Ma­ siere hacer postura á ellas acuda á la escribanía del nú­ ría Xaviera de Irucgas, ti vales reales de 150 pesos mero de D. Josef Antonio Canosa, que se admitirán de la creación de enero, números 146363, 159918, siendo arregladas. 164524,.177043, 177055» *79878» ,8o359» *95755» Por providencia del…</t>
  </si>
  <si>
    <t>Canteras, José</t>
  </si>
  <si>
    <t>José Canteras</t>
  </si>
  <si>
    <t>Gazeta del Gobierno n.º 43 (suplemento)</t>
  </si>
  <si>
    <t>41</t>
  </si>
  <si>
    <t>empre estuvo á la vanguardia de su gente ani-mándoles á la firmeza.trrTambién recomienda con particularidad al ayu­ dante de órdenes de esta división D. José Canteras, ayudante mayor del real cuerpo de Artillería , por lo bien que se portó durante la función , y porque fue el tercero en cargar á los enemigos con los húsares d…</t>
  </si>
  <si>
    <t>Capel</t>
  </si>
  <si>
    <t>Gazeta del Gobierno n.º 27 (suplemento)</t>
  </si>
  <si>
    <t>e. Es constante que los franceses estaban muy alarmados , y en el estado mas misesable á causa de la fatiga y marchas forzadas. Del 2i.—Una carta del capitán Capel de la fragata Endttniort sobre Finisterre refiere : que el 20 hubo un ataque en Corcubion y aldeas inmediatas con un desta&amp;mento enemigo, «on caballería que babia …</t>
  </si>
  <si>
    <t>Caprara</t>
  </si>
  <si>
    <t>22 de marzo de 1809</t>
  </si>
  <si>
    <t>Gaceta de Madrid n.º 81</t>
  </si>
  <si>
    <t>. Weser. Se han señalado samas considera­ París 10 de marzo. bles para la execucion de esta importante empresa» que facilitará la comunicación en­ El cardenal Caprara acaba de enviar á tre las ciudades de Cassel, Brema » Hannó- la sociedad filantrópica de Paris a® fran­ ver y Brunswick, y las de Magdébüt%ó, cos, y 1200 á la c…</t>
  </si>
  <si>
    <t>Car</t>
  </si>
  <si>
    <t>Gazeta del Gobierno n.º 29 (extraordinaria 2)</t>
  </si>
  <si>
    <t>Candas y CastrópóL mandados por sus respectivos coroneles D. Juan Cienfuegos , y D. Josef Navia Osorio, la segunda compañía de granaderos del Infante D. Car­ los, y una de tiradores formada de fusileros dei mismo cuerpo, debía forzar el puente de Cainijanes, y batir ios enemigos que lo defendían.</t>
  </si>
  <si>
    <t>494</t>
  </si>
  <si>
    <t>el teniente coronel D. Mario Valdina , comandante de la columna de alternación, que se separó de la co­ lumna de Villar con dos compañías del Infante D. Car­ los; y el teniente coroneL D. Francisco Ruiz¿- que con otras dos pasó á Narganes» debían atacar al mismo tiem­ po los destacamentos de Eigueras y S. Pedro, para que qued…</t>
  </si>
  <si>
    <t>Car, Luisa</t>
  </si>
  <si>
    <t>Luisa Car</t>
  </si>
  <si>
    <t>9 de marzo de 1809</t>
  </si>
  <si>
    <t>Gaceta de Madrid n.º 68</t>
  </si>
  <si>
    <t>357</t>
  </si>
  <si>
    <t>u presencia el establecimiento de educación Pasado mañana se publicarán en la cor­ de las niñas nobles. El Emperador y e! Rei te los esponsales de la princesa Luisa Car­ van siempre juntos en un mismo coche, lota, hija del difunto príncipe hereditario con un gran acompañamiento de generales Federico, hermano de Cristiano vil,…</t>
  </si>
  <si>
    <t>CarafFa</t>
  </si>
  <si>
    <t>2 de mayo de 1809</t>
  </si>
  <si>
    <t>Gaceta de Madrid n.º 122</t>
  </si>
  <si>
    <t>dirigió al castillo nuestros fieles aliados ; desgracia que no de santa Catalina con ánimo de asesinar al perdonarla jamas la nación al pueblo de Cá­ general CarafFa que está arrestado allí: las diz , y cuyas fatales consecuencias seria el razones de algunos sugetos de carácter que el primero que las experimentase.” acudieron…</t>
  </si>
  <si>
    <t>Caramowski</t>
  </si>
  <si>
    <t>Gaceta de Madrid n.º 105</t>
  </si>
  <si>
    <t>ticia ha producido en Londres la mayor sensación. Hamburgo 26" de marzo. El 29 de marzo han pasado por Nanct En la noche pasada llegaron aquí, vi­ el general Caramowski, edecán de S. M. niendo de Estockolmo , el coronel de La- el Emperador de Rusia, que vuelve de Pa­ grange, edecán real sueco, y el teniente rís á Petersburgo …</t>
  </si>
  <si>
    <t>Caraza, Antonio</t>
  </si>
  <si>
    <t>Antonio Caraza</t>
  </si>
  <si>
    <t>ía, está nombrado capitán de la primerasino en el tumulto. Queden confundidas compañía del mismo esquadron. de una vez, con un movimiento pronto, ar­ D. Antonio Caraza, ayudante que fue diente y regular, las ¡ajarías de sus ene­ del regimiento de cababalleríadel Reí, está migos y sus esperanzas incendiarias. En el nombrado ca…</t>
  </si>
  <si>
    <t>Carazo, Josef Manuel</t>
  </si>
  <si>
    <t>Josef Manuel Carazo</t>
  </si>
  <si>
    <t>Gazeta del Gobierno n.º 13</t>
  </si>
  <si>
    <t>Pedro Martínez de Pinilios ofrece auual-mente durante la guerra contra Francia. = Otra de i$ts. vn. de D. Juan Francisco Céspedes.n Otra de id rs. de D. Josef Manuel Carazo , del comercio de Cartagena. Una de id pesos en vales reales de D. Juan Josef Nuñez del mismo co­ mercio.— Y otra de 30^ rs. vn. de D. Juan Francisco Mart…</t>
  </si>
  <si>
    <t>Carbón, Maniul</t>
  </si>
  <si>
    <t>Maniul Carbón</t>
  </si>
  <si>
    <t>a de la santa causa que defendemos. Tampoco debo dexar de hacer mención particu­ lar de los comandantes de columnas D. Pedro Hernández ide Texada , y D. Maniul Carbón , que el mismo Areizaga</t>
  </si>
  <si>
    <t>Cários</t>
  </si>
  <si>
    <t>811</t>
  </si>
  <si>
    <t>el archiduque lantarse hacia otros puntos. Estos acanto­ Palatino, á quien cambien se opone abier­ namientos se extienden desde Haimburgo, tamente el príncipe Cários , primado de á quatro leguas al poniente de Presburgo, Hungría y hermano de esta princesa. hasta Brugg en la orilla del Leitha, Getzendorff, Wieneerhorberg , Lax…</t>
  </si>
  <si>
    <t>Carirasco, Manuel Celestino</t>
  </si>
  <si>
    <t>Manuel Celestino Carirasco</t>
  </si>
  <si>
    <t>an Joséfde Aspiróz, D. Cristóbal Fernandez'Cuesta, D. Serapio Saviñac , D. Juan Santa-María , D. Josef Antonio Ibarrela., D. Vicente Perez de Hervás, D. Manuel Celestino Carirasco., D. Juan Burand y D. Juan Teran oficiales primeros ; á ©. Mateo Bravo y Lomas, D. Antonio Leiral , D. Carlos Reboul, ©. Francisco Guilmó , D. Beni…</t>
  </si>
  <si>
    <t>Carli, Antonio</t>
  </si>
  <si>
    <t>Antonio Carli</t>
  </si>
  <si>
    <t>Gazeta del Gobierno n.º 51 · 2.ª serie (suplemento 2.º)</t>
  </si>
  <si>
    <t>ra con una descubierta enemiga compuesta de unos 30 caballos, la hice cargar por otra partida de igual fuerza, mandada por el te­ niente de Calatrava D. Antonio Carli, quien los atacó espada en mano, y los persiguió hasta una legua de Talayera; habiéndoles muerto 4 hombres , cogido un prisionero y 4 ca­ ballos ; con el resto …</t>
  </si>
  <si>
    <t>Carlos</t>
  </si>
  <si>
    <t>sona. Exc* Señor Conde de Ayamans* Exc. Señor Conde de Gimonde. Exc. Señor Marques de la Puebla. Exc. Señor D. Lorenzo Bonifaz y Quintan®. Exc. Señor D. Carlos .Atnatria. SECCION DE HACIENDA* Exc. Señor D. Félix Ovalle. Exc. Señor D. Lorenzo Calvo. Exc. Señor D. Sebastian de Jócano. Exc. Señor D. Luis Funes y Salido* Exc. Señ…</t>
  </si>
  <si>
    <t>Francia, en que se intitula el Con­ de del Imperio Moullien , y recuerda á Bonaparte que ha­ bia habido justos motivos para suspender la pensión del Rey Carlos desde 1.0 de Agosto. Tenemos pues , que el pobre Rey Carlos IV no ha hallado recurso alguno , ni en la ca­ ridad del Conde del Imperio, ni en la de los comerciantes de…</t>
  </si>
  <si>
    <t>Cárlos</t>
  </si>
  <si>
    <t>de Cabarrus al Sr. D. Gaspar de Jovellanos en 1792, y precedidas de otra al príncipe de la Paz. Acompaña á estas cartas una memoria presentada al Sr. D. Cárlos m para* lá extinción de la deuda nacional y arreglo de contribuciones eii 1783. Se hallará en la imprenta de la cálle de Eeganitos , y en las libre­ rías de Quiroga y …</t>
  </si>
  <si>
    <t>nte de Casamira, se colocaron al amane­ cer á la retaguardia de Molleda. El brigadier D. Remigie Ohara con los fusileros de su regimiento del Infante D. Carlos, el de Navia á las órdenes de su sargento.ma­ yor D. Gaspar Aoevedo y 8o cazadores de Riyadeva y Peñamellera al .mando de sus capitanes D. Ignacio de Ho­ yos y D. Hipó…</t>
  </si>
  <si>
    <t>i­ mitir á la posteridad las hazañas memora­ ción en Viena han llegado ya á Bohemia. bles de estos guerreros. Como entre los milicianos y volunta­ El príncipe Carlos tiene por su parte rios del exército de reserva hai muchos su historiador : este es el señor Sgell, li­ hombres casados, el gobierno acaba de se­ terato mui esti…</t>
  </si>
  <si>
    <t>ce: ria de Jena desconcertó sus proyectos. Co­ ,, El Emperador acaba de conseguir so­ mo estaba débil, escasa de hombres , de ca­ bre él exército del príncipe Carlos una ba­ ñones y de fusiles, difirió para mejor oca­ talla mas completa, si es posible , que la sión el executar sus miras guerreras. de Jena. La batjila de Ratis…</t>
  </si>
  <si>
    <t>Ratisbona, fueron arrojados á los llanos, el combare de Landshat producían tan im­ y cortados allí por nuestra caballería. En portantes resultas, el príncipe Carlos efec­ esta acción mataron un caballo al senador tuaba su reunión con el cuerpo de Bohe­ general de división Demont. La caballería mia, mandado por el general Koll…</t>
  </si>
  <si>
    <t>14 de mayo de 1809</t>
  </si>
  <si>
    <t>Gaceta de Madrid n.º 134</t>
  </si>
  <si>
    <t>638</t>
  </si>
  <si>
    <t>638' IMPERIO FRANCES. Entre tanto por la parte de Ratisbona ha ido el duque de Auerstaedt á seguir el Parts a de maye. alcance al príncipe Cárlos , que teniendo DIARIO S1GVKOO. cortadas sus comunicaciones con el Inn y Viena, &lt;10 ha encontrado otro recurso que Qu artel general de Mulhdorf 2 7 de abril «1 de retirarse á las mon…</t>
  </si>
  <si>
    <t>de Pisués, é im­ pedir el paso del Nansa por aquellas barcas. El coronel D. Francisco Antonio del Villar, sargen­ to mayor del regimiento del Infante D. Cárlos, con tres compañías de granaderos, tres de alternación, dos_¿de ti­ radores del Inhestó, y la de cazadores de Montaña de­ bía embestir á * Molleda , y posesionarse de …</t>
  </si>
  <si>
    <t>, que eran millares sus operaciones. Los primeros fugitivos aus­ de exemplares de las proclamas del archi­ tríacos llegaron el 2o por la tarde á esta duque Carlos, dirigidas á los bávaros y á la ciudad: siguieron después algunos cuerpos nación germánica , por medio de las quales enteros, y en la noche del 20 al 21 la re­ se q…</t>
  </si>
  <si>
    <t>de Auerstaedt se si­ 130, comunicando ambos por medio de tina tuó delante de Ratisbona, mientras que el isla. Mañana quedarán concluidas estas obras. príncipe Carlos entraba en Bohemia, é in­ Según todas las noticias recogidas cree­ mediatamente después se dirigió por Pas- mos que el Emperador de Austria está eh sau y Lintz á…</t>
  </si>
  <si>
    <t>11 de junio de 1809</t>
  </si>
  <si>
    <t>Gaceta de Madrid n.º 162</t>
  </si>
  <si>
    <t>dad y sus 32 arrabales. Este príncipe hacia ver á los vieneses que la conservación del AUSTRIA. ^ imperio estaba cifrada en la próxima llega­ da del príncipe Cárlos, y en la milicia in­ Viena de mayo. surreccional de Hungría tan ponderada. En El sitio de seis horas que ha sufrido es­ general el pueblo de Viena se echa él mis­…</t>
  </si>
  <si>
    <t>an enor­ este, bien se echa de ver que no puede ser otro me como se pretende aquí, ;por qué el archi­ que el do los ingleses, losquales, para exaltar duque Carlos se retiró con tanta precipitación ahora las cabezas de los españoles , se valen de á la Bohemia por las montañas y desfiladeros los mismos medios que empleaban el a…</t>
  </si>
  <si>
    <t>celebra­ «que los dotes deberían ser en dinero, é no das en Valladolid el año 1523 por el Em­ «en bienes raíces, ¿ que esto será otra maperador y Rei D. Cárlos 1, el reino decia: «nera de remediar el patrimonio seglar, «Que segunt lo que compran las eglesias é «porque como están ticos los conventos no «monasterios,.donaciones…</t>
  </si>
  <si>
    <t>Gaceta de Madrid n.º 188</t>
  </si>
  <si>
    <t>ener seguros sus dominios , y de este estanco han sido, como representó; respetada su autoridad háciá las adquisicio­ la diputación del reino al Sr.. D. Carlos iii, nes de las comunidades. ,, Urt Monarca , dir &gt;ila despoblación de la España, la decaden- « ce, no tiene de quien temer -sino, de los, «cia de su agricultura , la …</t>
  </si>
  <si>
    <t>14 de julio de 1809</t>
  </si>
  <si>
    <t>Gaceta de Madrid n.º 195</t>
  </si>
  <si>
    <t>884</t>
  </si>
  <si>
    <t>aviera., escribiéndole la carta que se ha, in­ Copia de una carta de S. Af. el Empera • sertado ya en los papeles públicos , el ge­ dor de Austria al príncipe Carlos. neral Chasteller sublevaba el Tirol, y sorprehendia 700 conscriptos franceses que iban Mi amado hermano: á Augsburgo , en donde se Hallaban sus re­ He sabido qu…</t>
  </si>
  <si>
    <t>Gaceta de Madrid n.º 207</t>
  </si>
  <si>
    <t>ón en que El-quartel general del príncipe Gallitzin tenían mayores esperanzas el Emperador de se ha tran-ferido'de Lubün á Sandomir. Los Austria y el príncipe Carlos, y por medio austríacos, arrojados ya por los polacos de de la qual creían poder revolucionar todo tí d 1 la Gallitzia oriental , lo serán también el norte de la…</t>
  </si>
  <si>
    <t>Gaceta de Madrid n.º 210</t>
  </si>
  <si>
    <t>946</t>
  </si>
  <si>
    <t>errota completa del á Baireuth, después de una corta defensa, exe'rcito austríaco, . mandado, por el archi­ que les .ha costado algunos muertos y he­ duque Carlos, en la jornada del 6. ridos, han ido á acamparse á Bioloch, en­ El cuerpo wurtembergues á las órdenes tre Baireuth y Hoff; pero en seguida se del generál Vandamme h…</t>
  </si>
  <si>
    <t>ustríacas, que ocupa­ cos dias tendremos noticias mui interesan­ ban el distrito situado entre Holl* y Berneck» tes del Tirol. han recibido orden del príncipe Carlos pa­ Las últimas cartas que hemos recibido ra volver á Bohemia , y en el dia habrán de aquella provincia refieren que el hambre, ya evacuado todo el niargraviato …</t>
  </si>
  <si>
    <t>72</t>
  </si>
  <si>
    <t>a* só el Toya delante de Nicelsbourg, y el general Grouchy batió la retaguardia del príncipe Rosenberg, y le'hizo 4 ¿O prisioneros del regimiento del príncipe Carlos.” ícEl 11 al medio'dia el emperador llegó delante de Znaim a tiempo que la batalla había comenzado. El duque de Ragusa ha­ bía atacado la ciudad , y el de llivol…</t>
  </si>
  <si>
    <t>? ¿Por qífó el archiduque Fernando na impidió la organización de aquel exército que tan tranquilamente- se inzo , y después fue á reunirse al archi­ duque Carlos , abandonando las excelentes posiciones que pudo haber tomado en los-montes intermedios para impedirle el paso con poca tro­ pa ? ¿ Y por qué finalmente el emperador…</t>
  </si>
  <si>
    <t>20 de septiembre de 1809</t>
  </si>
  <si>
    <t>Gaceta de Madrid n.º 264</t>
  </si>
  <si>
    <t>imos. Seria mui y en las quales se ruega al Emperador que difícil adivinar el fin que se propuso en esto haga la paz. Se habla también de reclama­ el príncipe Carlos; pero las personas que ciones mui enérgicas relativas á la convoca­ están mas enteradas de quantq ha pasado ción de una dieta húngara, y en las quales en el gabi…</t>
  </si>
  <si>
    <t>Gaceta de Madrid n.º 281</t>
  </si>
  <si>
    <t>dé! 12 rotados estos , y muertes ó estropeados &lt;5o© de julio se hallaba con su exército en Hungría, hombres. ¡Qué hermoso, qué sonoro, que re­ con el príncipe Carlos, que estaba con el sayo dondo , y aun qué quadrado es este número de «n Bohemia, algo dificultosilla parece, median­ 6o9! Por de contado es menester suponer que …</t>
  </si>
  <si>
    <t>vet ( D. Ramón), caniran del regimienGimes de Ajala (D. Pió), secretario de ,• to uiím. i.°, infantería de lima. i a legación en Holanda . Maiherer ( D. Carlos) , teniente coronel de González (D. Cesar), teniente coronel de ,iiií.|literla. artillería. Marie (D. Fermín) , general y edecán del Gomales Arnaud ( D. Vicente), secr…</t>
  </si>
  <si>
    <t>18 de noviembre de 1809</t>
  </si>
  <si>
    <t>Gaceta de Madrid n.º 323</t>
  </si>
  <si>
    <t>esorden Miguel Orbaneja y Ortega, agente fiscal ageno. que fue de la junta general de comercio, Concluiremos estas reflexiones con las dirigió al Rei D. Carlos m en el año de palabras en que termina la representación 1784 una representación respetuosa, pero del referido Orbaneja, por la relación que llena de verdad y energía,…</t>
  </si>
  <si>
    <t>ceremojiias. — Llórente (D. Juan Antonio) consejero de Estado. — Llobet ( Di Ramón) capitán del regimiento núm. i , infantería de línea.” “Malherer (D. Cárlos) teniente coronel de infantería. — Ma-</t>
  </si>
  <si>
    <t>Gaceta de Madrid n.º 343</t>
  </si>
  <si>
    <t>sentados á jano mayor del hospital General. A la fun-' S. M. dación del real colegio de S. Carlos el se­ Por S. E. el príncipe Kurakia, emba­ ñor Rei D. Carlos m, atendiendo á la pu­ lador de Rusia, los señores conde de Pah- blicidad y eminencia de su mérito, le nom­ len , enviado extraordinario y ministro ple­ bró catedrátic…</t>
  </si>
  <si>
    <t>uardia real. V ayudante de palacio. Piñeiro ^ D. Joaquín María ) , dignidad de Bofferton (D. Luis), caballo ligero déla Cuenca. guardia real. Rebonl (D. Carlos), oficial en el ministe­ Bossier (D. Luis), mariscal de logis de ca­ rio de Hacienda. ballos ligeros de la guardia real. Rossicr (D. Estéban ), cabalo ligero de la Bou…</t>
  </si>
  <si>
    <t>s del regimiento infantería de lí­ Landaburu (D. Agustín), coronel de ca­ nea núm. 2.° ballería. Stoffel ( D. Agustín) , gefe de batallón del Lebrón (D. Carlos), capitán del regimien- regimiento Real Extrangero. , to núm. i." infantería de línea. Traxler (D. Jorge) , coronel de infantería. Leonard (D. Carlos), capitán del reg…</t>
  </si>
  <si>
    <t>180</t>
  </si>
  <si>
    <t>davía noticia-nin­ Inmediatamente se. les fmna el proceso de guna relativa al estado de salud del larfihvr acusación, 6 irremisiblemente son condena­ duque Carlos ; varias personas aseguran qq# dos á pena tc ;pic^4y-La sentencia se exe- no tardará en llegar i esta ciudad. . cuta al momento. Es ípui crecido.el núme­ Según las …</t>
  </si>
  <si>
    <t>de 1a capital, y se asegura la Allgovia, en Tucssen, Wcwbach, Nesque no tardarán en llegar también el archi­ selwang y otros parages, se dispone para duque Carlos y el duque Alberto de Saxo- marchar, y creemos, por lo que se dice, nia Teschen. que irá á Francia. Parece que el Austria estará en adelan­ te dividida en tres gobi…</t>
  </si>
  <si>
    <t>l de granaderos de Darrigol ( D. Salvador ), pagador de la co­ nuestra guardia. ’ ■ ' rona./- .. . -Llórente (D. Juan-Antonio)» consejero de Livenc ( D. Carlos de), escudero. .Estado , y-director de bienes nacionales. Melendeá Valdés (D. Juan) , consejero de Marie:(D¿Fermín),mariscal de campo, y ■ Estado. - nuestro edecán. . …</t>
  </si>
  <si>
    <t>Carlota</t>
  </si>
  <si>
    <t>w Copia de un pasage escrito con tinta simpática en la carta de la Reina Carlota d la princesa de Asturias s su fecha i§ de enero de 180G. Mi mui amada hija: estoi sumamente inquieta por vuestra situación y salud, y por la pena y sentimiento que recibiréis al saber nuestra cruel si­ tuación. «Nos encontramos én el mayor apuro</t>
  </si>
  <si>
    <t>Carlota, Luisa</t>
  </si>
  <si>
    <t>Luisa Carlota</t>
  </si>
  <si>
    <t>ha comprometido hasta su mismo honor y la independencia de su corona en una contienda agena, y aun opuesta á sus verdaderos intereses.** S. A. R. la princesa Luisa Carlota está destinada para esposa del prínci­ pe Guillermo de Hesse&gt; Cassel. El contra-almirante ingles Keats ha despachado órdenes á todos los bu­ ques que están…</t>
  </si>
  <si>
    <t>Carmichael</t>
  </si>
  <si>
    <t>del comandante general' D-. Juan Sánchez Ramírez , te­ nían muy adelantadas sus operaciones contra-la plaza. Habiéndo­ las después auxiliado el mayor general Carmichael con 1.0 hom­ bres, y el almirante ingles-Romby con 9 buques para bloquear el puerto ; qúando después de cinco días- de ataque combinado , se estaban dando dis…</t>
  </si>
  <si>
    <t>Carmishaef</t>
  </si>
  <si>
    <t>lamento de Ingla­ en que SS. MM. de biau hacer descanso. Los terra. La asamblea ha mandado que el ma­ diputados de las provincias han salidoá re­ yor general Carmishaef, comandante de las cibir en sus fronteras respectivas á estos tropas, y muchos de sus oficiales, se pre­ ilustres viageros, quienes encontraban ilu­ senten 4 …</t>
  </si>
  <si>
    <t>Carmona, Josef</t>
  </si>
  <si>
    <t>Josef Carmona</t>
  </si>
  <si>
    <t>ga , y dos pares de medias, que importa mil trescientos quarenta y dos reales y tres quartilíos. E N PRENDAS» D. Manuel de Arias , un par de medias.r=D. Josef Carmona, un par de medias. =:D. Pedro Herrera , un par de medias.es D. Félix Díaz , una camisa.—Doña Rosa de Castro, unos zapatos.-=L“. Leandro Riso , dos pares de boti…</t>
  </si>
  <si>
    <t>Carnero, Juan García</t>
  </si>
  <si>
    <t>Juan García Carnero</t>
  </si>
  <si>
    <t>Gazeta del Gobierno n.º 54 · 2.ª serie</t>
  </si>
  <si>
    <t>egios execrables de ios exércitos fran­ ceses en Jlaades. Librería de Caro. Tratado Me la-fiebre y sus principales diferencias. Obra que dexó escrita D. Juan García Carnero; ilustrada con notas, etc. por D. Teodoro Escovar y Nuñez. Dos tomos en 4.9 Se hallará en la librería de Caro á 40 rs. SEVILLA: EN LA IMPRENTA REAL.</t>
  </si>
  <si>
    <t>Carnps, Jóse</t>
  </si>
  <si>
    <t>Jóse Carnps</t>
  </si>
  <si>
    <t>347</t>
  </si>
  <si>
    <t>al momento, llevándose muchos heridos , y abando­ nando las escalas y herramientas con que intentaban asaltarlo. El teniente del segundo de Barcelona D. Jóse Carnps , que man­ daba la guerrilla destinada á sostener el punto de la torre Gironella, la que se componía de 34 hombres, sin haberse podido reunir la fuerza restante ,…</t>
  </si>
  <si>
    <t>Caro, Félix</t>
  </si>
  <si>
    <t>Félix Caro</t>
  </si>
  <si>
    <t>s extraviados , 2 6 sol­ dados y 27 caballos. — Quartel general de Bodon 12 de diciembre de 1809. —. Antonio Retana. - ÍSlota. El ofi­ cial muerto es D. Félix Caro, alférez anteriormente dei regimiento de voluntarios de España , y en la actuali­ dad teniente del de caballería segundo de Algarbe. * El marques de Grañina ha ent…</t>
  </si>
  <si>
    <t>Caro, Francisco Xavier</t>
  </si>
  <si>
    <t>Francisco Xavier Caro</t>
  </si>
  <si>
    <t>Señor Marques del VilleL. SECCION DE GRACIA Y JUSTICIA* Exc. Señor Arzobispo Co-Administrador de Sevilla. Exc. Señor D. Rodrigo Riquelme* Exc, Señor D. Francisco Xavier Caro. Exc. Señor D. Gaspar Melchor de J^veüanos. SECCION DE GUERRA* Exc. Señor Marque* de Campo Sagrado. Exc. Señor D* Francisco Rebolledo de Palafox y Melci.…</t>
  </si>
  <si>
    <t>Caro, Josef</t>
  </si>
  <si>
    <t>Josef Caro</t>
  </si>
  <si>
    <t>ído hasta Numero 3.® aquel sitio al exército francés, dexaron que De orden del Exento. Sr. capitán general este atravesase el rio, y tomase posición, D. Josef Caro. apoyando su derecha en el lugar de Esling, y la izquierda en el Grois Arpei: seguros Gazeta extraordinaria del principado de de alcanzar la mas brillante victoria…</t>
  </si>
  <si>
    <t>Carolina</t>
  </si>
  <si>
    <t>de los ingleses en el echó luego á pique el barco ingles, porque reino de Ñipóles se atribuye también ,á ¡a sus fuerzas no le permitían conservarle. Reina Carolina, á rjuien acusan hoi de ha­ berlos engañado, diciéndoles que tenia na ESPAÑA. gran partido en el pais. Lo que hai de cier­ Madrid j/ de agosto. to es que el genera…</t>
  </si>
  <si>
    <t>Carpintier, Ambrosio</t>
  </si>
  <si>
    <t>Ambrosio Carpintier</t>
  </si>
  <si>
    <t>Ambrosio de la Q ladra reunió sus tropas,,y tomó posición para opo­ nerse al enemigo^ y dar lugar ai embarque y paso^de ías tropas de la división; y D. Ambrosio Carpintier con las guerrillas; de caballería quedó en el puente dé Pontevedra para reunirse con una partida de. infantería, del; r, ° de Cataluña , y otra de . caball…</t>
  </si>
  <si>
    <t>Carpizo, Juan de la Cruz García</t>
  </si>
  <si>
    <t>Juan de la Cruz García Carpizo</t>
  </si>
  <si>
    <t>ento D. Antonio Luengo Vázquez, regidor decano ; D. Juan de Dios Dáviia, regidor; D. Antonio Ovejero, regidor habilitado; D. Alonso Mar­ tin, id. , y D. Juan de la Cruz García Carpizo, procurador del comuh. De agregados á junta de municipalidad concurrieron D. Ignacio de Ta­ pia, conde de Valdeláguila; D. Juan Sanz; D. Severo…</t>
  </si>
  <si>
    <t>Carra</t>
  </si>
  <si>
    <t>Falster y Moen. Pero co ambos ca- rin aqui 8~ hombres de tropas frances.as. sos estarán sujetos á la vigilancia militar. que estan .á las órdenes del general Carra..Este mismo privilegio se e-ztiende á lo. bu- Saint-Cir , y que formarán una division del ques .uecos autorizados con pasaportes de OCtayo cuerpo J mandado por el …</t>
  </si>
  <si>
    <t>Carra-Saintno</t>
  </si>
  <si>
    <t>rudos con pasaportes dados por la chanci- En esta ciudad le nota grande actividad llería danesa, y firmados por $. M .• podr~q ,desde b. llegada del general Carra-Saintno 5010 oavegar libremente y sia .bstácolos Cir J que merece la contianza de nuestro So.aioguncts eo las aguas de DiDamarca, siao berano y la estimacion públic…</t>
  </si>
  <si>
    <t>Carrafa, Juan</t>
  </si>
  <si>
    <t>Juan Carrafa</t>
  </si>
  <si>
    <t>nombre del rey nuestro Sr. D. Fernando VII delia-eonsulta del consejo supremo interino de Guerra y Marina sobre la causa formada al teniente general. D. Juan Carrafa, acerca de su. conducta en el mando de nuestras tropas en Portugal", y particularmente en la época en que fueron desarmadas. Enterado S. M. dn todo^.y.conformánd…</t>
  </si>
  <si>
    <t>ilitar para satisfacción de este general ; y que le sirva de indemnización'á ios arrestos que' lia sufrido finalmente j quiere S. M. que se permita á D. Juan Carrafa imprimir , si le conviene, la memoria que ha presentado en autos , y en que hace una circunstanciada re-ación de quantó le ha pasado en Portugal con-la división …</t>
  </si>
  <si>
    <t>Carralero, Manuel</t>
  </si>
  <si>
    <t>Manuel Carralero</t>
  </si>
  <si>
    <t>16 de febrero de 1809</t>
  </si>
  <si>
    <t>Gaceta de Madrid n.º 47</t>
  </si>
  <si>
    <t>dura, canónigo, y D. Josef de la Peña y Padura, ídem. • Por su empleo Drt,p. Serafín Domínguez, teniente vicario eclesiástico. Por la universidad Dr. D. Manuel Carralero, rector de la real universidad, Dr. D. Francis­ co^ Mariano Lebrón, Di”. D. Bernardo Merino y Dr. D. Manuel Esperanza. ' Por rentas dirímale* D.‘ Francisco P…</t>
  </si>
  <si>
    <t>Carranza, Florentin</t>
  </si>
  <si>
    <t>Florentin Carranza</t>
  </si>
  <si>
    <t>a guerra destructora del pueblo : manda que estos particulares, »tue son D. José González Icedo , D. Diego de Alva, D. Juan Bello , D. José Barcena , D. Florentin Carranza , el vizconde de Rascón , D. Juan Peñalosa ,y D. N. Arteaga , todos conocidos con el nombre de ganaderos, es decir , poseedores de rebaños, que por sus riq…</t>
  </si>
  <si>
    <t>Carrasco, Francisco Xavier</t>
  </si>
  <si>
    <t>Francisco Xavier Carrasco</t>
  </si>
  <si>
    <t>te, Sr. D. Josef Antonio de Ürrlza, Sr. D. Ful­ gencio de la Riva y Sr. conde de Torremuzquiz. Consejo de Hacienda. Sr. D. Manuel de Valenzuela y Sr. D. Francisco Xavier Carrasco. Junta de Comercio y Moneda. Excmo. Sr. D. Manuel Sixto Espinosa y Sr. P. Domingo Garcia Fer­ nandez. Consejo de Querrá. Sr. marques de las Amarilla…</t>
  </si>
  <si>
    <t>Carreño, Juan Galo</t>
  </si>
  <si>
    <t>Juan Galo Carreño</t>
  </si>
  <si>
    <t>130</t>
  </si>
  <si>
    <t>23 del mismo: , Lo, que se avisa al públicoTpara su inteligencia. Triunfo de Sevilla, restaurada en la memorable batalla de Bavlen. Poema épico. Por D. Juan Galo Carreño. Se vende en el despacho del correo de Sevilla , calle de Genova,, á 4 rs. SEVILLA : EN LA IMPRENTA REAL.</t>
  </si>
  <si>
    <t>Carri</t>
  </si>
  <si>
    <t>ta­ to y cáñamo, que ha pasado el invierno en cada inopinadamente el dia 28 de enero Laadseroa. último por un destacamento á las órdenes HUNGRIA. del teniente coronel Carri; se apoderó de ella , y puso sello á las propiedades de la Pres burgo &amp; de marzo. compañía, declarando por prisioneros de guerra á todos los súbditos de S…</t>
  </si>
  <si>
    <t>Carrica, Francisco</t>
  </si>
  <si>
    <t>Francisco Carrica</t>
  </si>
  <si>
    <t>--------- ó«y de Ito. — D. Pedro Balduque. — D. Francisco Carrica. — D. Faus­ tino Lecha. — D, Ramón Robres. — D. Pedro Benisa. — D. Joaquin Manrique de Lara.-- D. Manuel García del Campo.— D. Vi­ cente Aragón. — D. Antonio Viscasillas. — D. Vicente Martí</t>
  </si>
  <si>
    <t>Carrol, Guillermo Parker</t>
  </si>
  <si>
    <t>Guillermo Parker Carrol</t>
  </si>
  <si>
    <t>a lista, se han llena­ do de gloria, y los considero los mas acreedores á las gracias que S* M. quiera dispensarles; lo mismo que al caballero inglés D. Guillermo Parker Carrol, teniente coro­ nel, agregado al regimiento del Príncipe, que todo el dia desempeñó á toda mi satisfacción las funciones de mi ayu­ dante de campo. Y …</t>
  </si>
  <si>
    <t>Carteret</t>
  </si>
  <si>
    <t>en las casas de los ron muertos en la refriega. vecinos. Las tropas holandesas se lamentan de la ,El 2Ó se conduxeron aquí muchos pri­ pérdida de su general Carteret, de los co­ sioneros meklemburgueses , quienes después roneles Baltemburg y Dollman, y de algu­ de una resistencia vigorosa y obstinada ha­ nos otros oficiales. …</t>
  </si>
  <si>
    <t>Carvajal, Ciríaco Goqzalez</t>
  </si>
  <si>
    <t>Ciríaco Goqzalez Carvajal</t>
  </si>
  <si>
    <t>ez .Quinta*na , D. Miguel Alfonso Villagomez , D. Temas Mayan*, T&gt;. Fasq nal Quiles Talón , D. Luis Meletidea Bruna , X). Juan Miguel Berez TafaUa, y D. Ciríaco Goqzalez Carvajal: nombrando para Fiscales á D, Nicolás María de fierra, y D; Antonio Cano Manuel : para una de las dos Secretarías ge-</t>
  </si>
  <si>
    <t>Carvajal, Toribio</t>
  </si>
  <si>
    <t>Toribio Carvajal</t>
  </si>
  <si>
    <t>2. 0 de idem , *25. = D. Bartolomé Rigo , Guarda-mayor, 25 = D. Santiago Milla , 16. = Do­ ña Ana Francisca ftequena , 100. zz D. Julián Yeia, 500.= D. Toribio Carvajal , 25. = D. Alexandro Ramírez , 10o,^= Por ei dos por ciento que se ba beneficiado de premio sobre el total de estas cantidades por medio de libranzas sobre Ve…</t>
  </si>
  <si>
    <t>CarY</t>
  </si>
  <si>
    <t>eladas del invierno la guarnición no pue­ Corsini, conde Fossombroni, conde Ande contar con la protección de la marina. guissola, conde Veuturi, y el conde CarY aun quando los hielos no sean mui fuer­ bonara, todos senadores. tes para abrir al enemigo el paso de SudParís de octubre. Beveland, temerán que los hielos flotantes …</t>
  </si>
  <si>
    <t>Cas, Francisco</t>
  </si>
  <si>
    <t>Francisco Cas</t>
  </si>
  <si>
    <t>¿astro ^ imhat de! cuerpo le voTdafarleide la Union , el aya* dante del batallón de Moaforte D.Ramon Gómez ,y loe sub­ tenientes del de llovera D. Francisco Cas anova y D. Josef Suarez, y 14 contusos , incluso ei comandante de artillería H« Antonio Rosellon ,; ¿orno también un caballo muerto y 3 heridos. Concluye^ ehbrigadier…</t>
  </si>
  <si>
    <t>Cas, Juan</t>
  </si>
  <si>
    <t>Juan Cas</t>
  </si>
  <si>
    <t>e de Sta. Coloma y D. Ramón Duran , capitán y teniente del regimiento de Pavía : al briga­ dier D. José Pineda , coronel de la Granada de Llerena : á D. Juan Cas­ quero y i). Juan Ruiz, coronel y alférez de Borbon : al brigadier D. Cir­ ios Tasier, comandante de esquadron del Infante : á D. José Taberner, teniente coronel del…</t>
  </si>
  <si>
    <t>Cas, Xavier</t>
  </si>
  <si>
    <t>Xavier Cas</t>
  </si>
  <si>
    <t>27 de noviembre de 1809</t>
  </si>
  <si>
    <t>Gaceta de Madrid n.º 332</t>
  </si>
  <si>
    <t>puertas de su ruina, y solo podía sal­ Sin dada fueron despreciados loí buenos varse humillándose al provocado vencedor, oñeios de los ministros con D. Xavier Cas­ como lo verificó mui luego pidiendo un ar­ taños. La junta que formó el gobierno, misticio , y dejándose poner en él unas ca­ contando con una línea de 1200 hombre…</t>
  </si>
  <si>
    <t>Casabona, José</t>
  </si>
  <si>
    <t>José Casabona</t>
  </si>
  <si>
    <t>235</t>
  </si>
  <si>
    <t>don con algunos de los pueblos de sus cercanías, al mando de D. Miguel Malet, presbítero , el de Olot organizado en S compañías á las.órdenes del Dr. D. José Casabona , y dos.otro* somatenes de varios pueblos que todavía están dominados por lo* franceses, y que no nombro para no comprometerlos , cuyo nú­ mero total ascendia á…</t>
  </si>
  <si>
    <t>Casagna, Aniceto</t>
  </si>
  <si>
    <t>Aniceto Casagna</t>
  </si>
  <si>
    <t>n Marzarone , vélite de nuestra cargado de la execucion del presente de­ real guardia &gt; está nombrado subteniente. creto. — Firmado YO EL REI. se Por D. Aniceto Casagna, vélite de nnestra S. M. su ministro secretario de Estado Ma­ real guardia , está nombrado subteniente. riano Luis de Urquijo." D. Rafael de Luna , también vé…</t>
  </si>
  <si>
    <t>Casais, Josef</t>
  </si>
  <si>
    <t>Josef Casais</t>
  </si>
  <si>
    <t>y á la criad?. En los dias 2 y 3 , continuando las atrocidades, asesina­ ron á D. - Agustín Sangenís , Sargento mayor de los Miqueletes , ai referido D. Josef Casais , y á D. Ignacio Bayona, ve­ cino de esta Ciudad. — Registraron muchas casas particu ares y Conventos, reconociendo hasta ios aliares y sepulturas; y al mismo ti…</t>
  </si>
  <si>
    <t>Casanueva, Baltasar</t>
  </si>
  <si>
    <t>Baltasar Casanueva</t>
  </si>
  <si>
    <t>Torre. 2.000 D. Ignacio Suarez. 9.000 El subteniente D. Gabriel Manuel Iturbe. io ooq D. Manuel Tirso Salceda. 2.ooo# D. José Gregorio Urbizu. 10.000 D. Baltasar Casanueva. 10.000 D. Teodoro Salazar del Puerto. 30.000 El capitán D. Ignacio García Saenz. 5.000 D. Antonio Olarte, sin estar matriculado. 2.000 D. José Llain. 10.0…</t>
  </si>
  <si>
    <t>Casao, Juan</t>
  </si>
  <si>
    <t>Juan Casao</t>
  </si>
  <si>
    <t>, D. Pedro Fran-. cisco de Cambra , D. Sebastian de Gambra , D. Genaro Mar­ tin , D. Matías de Aras , D. Tomás de Renovales , D. Ale-* ¿andró Amigot, D. Juan Casao, y los cadetes D. Xavier An­ gel Ros , D, Vicente de Soravilla , D. José María Barricat,D. Pedro Antonio Barrena , D. Gregorio Cruchaga , D. Hi­ lario Marco, D. Ci…</t>
  </si>
  <si>
    <t>Casaus, Juan</t>
  </si>
  <si>
    <t>Juan Casaus</t>
  </si>
  <si>
    <t>e Dosaguas.— Marques de Sta. Coloma.— D. Ma­ nuel Ulzurrun de Asan za, Sr. de Conduero. — D. Ventura Elorduy. — D. Felipe Porte. — D. Felipe Arias. — D. Juan Casaus. — D. José Ponte.— D. Mariano Olaso.—D. Juan Mallada. — D. Mi­ guel Porte. — D. Jacinto Garisa. — D. Bruno Huici. — D. Manuel Larruga.— D. Ventura Ateza. — D. Jos…</t>
  </si>
  <si>
    <t>Cascallana, Luis José</t>
  </si>
  <si>
    <t>Luis José Cascallana</t>
  </si>
  <si>
    <t>á D.Joaquin Calbo Cervantes, Canónigo de la colegial de Mora en la misma diócesi : para la canongía de la catedral de Jaén , vacan­ te por muerte de D. Luis José Cascallana , á D. Andrés Ansótegui, prebendado de la misma iglesia ; y para la ración que este</t>
  </si>
  <si>
    <t>Caspe, Jacinto</t>
  </si>
  <si>
    <t>Jacinto Caspe</t>
  </si>
  <si>
    <t>iales y tropa se portaron con el mayor valor y espíritu., y en particular los comandantes de las guerrillas 1). Sebastian Kamirez,, D. Benito Losada, D. Jacinto Caspe, D. Pedro Moiano, D. J.osef Siraon, Zurita , y D. Josef Matcu ; no pudiéndome olvidar del desempeño de D. Ho­ norato Flcircs, capitán del real cuerpo de Ingenie…</t>
  </si>
  <si>
    <t>Castañeda, Juan Antonio</t>
  </si>
  <si>
    <t>Juan Antonio Castañeda</t>
  </si>
  <si>
    <t>. Josef Rodríguez , 153 rls. para diez mochilas. Doña Josefa Tirado, 10 rls. para un par de medias. D. Agustín García, 10 rls, para un par dé medias. D. Juan Antonio Castañeda, 20 rls. para dos pares de media*. D. Antonio Beguilía, 20 rls. para dos pares de medias. D. Fernando Quero, 10 rls. para unas medias.</t>
  </si>
  <si>
    <t>Castañeda, Rafael</t>
  </si>
  <si>
    <t>Rafael Castañeda</t>
  </si>
  <si>
    <t>216</t>
  </si>
  <si>
    <t>que nada sobra en una acción, y mucho mas en esta, que ha sido tan,reñida como largame valí dé los cadetes , el alférez D. Ezequieí Gómez de Tejada y D. Rafael Castañeda , del primero de húsares de Extremadura , D. Juan Pagar, el alférez D. Manuel Gil y Landa, D. Manuel Moreno de Tejada , y- I). M miaño López, del segundo de …</t>
  </si>
  <si>
    <t>Castañedo, Francisco</t>
  </si>
  <si>
    <t>Francisco Castañedo</t>
  </si>
  <si>
    <t>.......... ] Exc. Señor D. Manuel Maria Avalle. /f*Exc. Señor I&gt;. Rodrigo Rsqueltne. .......... \ Exc. Siñor D. Luis Funes y Salido. 1ae r Exc. Señor D. Francisco Castañedo. *****.... *.••••••«•'•• j7Xe. Señor D. Sebastian de . Jócano. León.... i . y Exc. Señor Baylio Fr. D. Antonio Váidas. ........................ \ Exc. Señ…</t>
  </si>
  <si>
    <t>Castaño, Xavier</t>
  </si>
  <si>
    <t>Xavier Castaño</t>
  </si>
  <si>
    <t>me­ No había español honrado que en el fondo moria de la situación y del ínteres de la de su alma no clamase á Dios por su re­ nación, escribieron á D. Xavier Castaño* medio. para que emplease su influencia con el go­ Le pedia extremo el extremo del mal. bierno que se instituyese, á fin de que meDios , cuyo dedo juega con tod…</t>
  </si>
  <si>
    <t>Castaños</t>
  </si>
  <si>
    <t>oficio. ,,Los pliegos del general sir. Davjd Baird recibidos ayer, su fecha en Astorga á 20 de noviembre, anuncian que habia tenido noticia de que el general Castaños habia sido derrotado; pero que no sabia el por menor de esta derrota. El general sir JuanMoore habia dado orden á sir David Baird que se reembarcase inmediatame…</t>
  </si>
  <si>
    <t>te puesto, y porque los franceses Intentarán sin duda apoderarse de él. Sabemos.por los diarios españoles que el exército del centro, al man-* do del general Castaños, ha tomado una hueva posición. Habiendo abando­ nado la línea del Ebro , se ha retirado sobre la orilla izquierda del Alagon,extendiéndose desde Vi 11 afranca á…</t>
  </si>
  <si>
    <t>r David Baird , nada de ar­ viado nuestras tropas á España? riesgado habia tenido hasta que fue derro­ ,,El noble lord y sus colegas han que­ tado el general Castaños ; y últimamente, rido justificarse, alegando la rapidez de las que la pérdida de nuestro exército no pa­ marchas del exército francés. Pero todo saba de 5® homb…</t>
  </si>
  <si>
    <t>Castaños, Francisco Xávlér</t>
  </si>
  <si>
    <t>Francisco Xávlér Castaños</t>
  </si>
  <si>
    <t>PDF p. 12</t>
  </si>
  <si>
    <t>ocorro de las urgencias en qué actualmente se halla el Real erario. %j¡brós nuevos. Relación oficial de la 'Wátalla" de Baylen dada por el Excmo. Sr. D. Francisco1 Xávlér Castaños; á la Suprema Jun­ ta de Sevilla, desde éí cjüárfeí ¿eneral de Andújar á 27 de Julio de 1808.—La victoria de Baylen: Oda impresa de or­ den de la J…</t>
  </si>
  <si>
    <t>Castejon, Gregorio</t>
  </si>
  <si>
    <t>Gregorio Castejon</t>
  </si>
  <si>
    <t>Gaceta de Madrid n.º 349</t>
  </si>
  <si>
    <t>e los Hemos decretado y decretamos lo si­ obispos deben dispensar los impedimentos guiente : dei matrimonio y demas gracias necesarias articulo 1. ,, D. Gregorio Castejon para el bien espiritual de sus diocesanos queda nombrado asistente al consejo de Es­ quando el gobierno lo considere útil, ano tado. estando expedito al rec…</t>
  </si>
  <si>
    <t>Castelar</t>
  </si>
  <si>
    <t>s dé ■mayo. ■ - « • k; ; ^ ^ El mariscal duque de Istria intimó la rendición de Madrid, en donde sé habia formado una junta militar, presidida por el general Castelar, tenien­ do, baxo sus prdengs al general Moría, capitán general de Andaluza é ins­ pector general de artillería. I3e 8 diás á esta parte se formaban; trincheras…</t>
  </si>
  <si>
    <t>do, F. marques del Castelar. f N.° 3 ° Al general comandante de Madrid.__ En el campo imperial delante Madrid el 4 de diciembre d las 11 del dia. Sr. general Castelar: Defender á Madrid es contra los principios de la guerra, siendo ademas inhumanidad para con sus habitantes. Me autoriza ~S. M. á enviarle segunda intimación. Y…</t>
  </si>
  <si>
    <t>Castillon, Gerónimo</t>
  </si>
  <si>
    <t>Gerónimo Castillon</t>
  </si>
  <si>
    <t>Obispo.—D. Ig­ nacio Lopez.-=-'D. Vicente Lisa.—D. Narciso Meneses.— D. Fe­ lipe Perena.— D. Martin Garay.— D. Valentín Solanot.— D. Ra­ món Gayan. — D. Gerónimo Castillon. — D. Antonio Laspuertas.— D. Narciso Laclara. — D. Mariano Ciria. — D. José Pons. — D. Antonid' Buil. — D. Pedro Blecüa. — D. Salvador Puycercus. — D. Mar…</t>
  </si>
  <si>
    <t>Castriciones, Gregorio</t>
  </si>
  <si>
    <t>Gregorio Castriciones</t>
  </si>
  <si>
    <t>. Loren­ zo Moreno, 4®. = D. Juan Josef B^rberena, 5* zz D. Dosningó Gómez de Segura , 200, = D. Manuel Garda Muro, íaoo. = D. Miguel Rebato , 25. zz D. Gregorio Castriciones, vecino de S. Salvador , 4®. = D. Víctor Zavala , 200. zz D. Juan Hernández, 100. — D. Juan Antonio Gómez, Contador de .Ejército, 200. = D. Juan Josef E…</t>
  </si>
  <si>
    <t>Castríllo, Félix</t>
  </si>
  <si>
    <t>Félix Castríllo</t>
  </si>
  <si>
    <t>alas, 100. = D. Ramón Andrade, Con­ tador general de idem, 100.= D. Gerónimo Gos , Alcs^dé de idem,100.= D. Manuel de Olavenri, Vista de»idem , 25. = D. Félix Castríllo , Oficial 2. 0 de idem , *25. = D. Bartolomé Rigo , Guarda-mayor, 25 = D. Santiago Milla , 16. = Do­ ña Ana Francisca ftequena , 100. zz D. Julián Yeia, 500.=…</t>
  </si>
  <si>
    <t>Castro, Josef María</t>
  </si>
  <si>
    <t>Josef María Castro</t>
  </si>
  <si>
    <t>calde de Casa y Corte; y ha conferido Ja chado una porción de la segunda paralela. alcaldía del crimen , que resulta vacante en dicha chancillería, á D. Josef María Castro, Noche del 2$ al 2 C. auditor de guerra de la plaza de S. Se­ Ataque de la derecha. Se ha trabajado bastian. EN LA IMPRENTA REAL.</t>
  </si>
  <si>
    <t>Castroverde, Mariano Gil</t>
  </si>
  <si>
    <t>Mariano Gil Castroverde</t>
  </si>
  <si>
    <t>z Guerrero , capellán de los reales exércitos : para la canongía va­ cante en la colegiata de Lorca por fallecimiento de D. Juan An­ tonio García , á D. Mariano Gil Castroverde , cura párroco de Sta.* María de aquella ciudad : para otra vacante en la misma co­ legiata por muerte de D. Francisco Fernandez Zavala, á D. Juan Dia…</t>
  </si>
  <si>
    <t>Catalina</t>
  </si>
  <si>
    <t>isión de nuestra eS-; cuadra del Báltico , ha hecho dimisión dé este cargo, y s¿ le Ka admitido. * Está ya resuelto el casamiento de S. A. I, la gran duquesa Catalina , her­ mana de S. M. el Emperador, con el príncipe Jorge de Holstein-OIdem»bonrg, gobernador de Estonia, hijo del duque reinante de OIdembourg , el qual ha sido…</t>
  </si>
  <si>
    <t>739</t>
  </si>
  <si>
    <t>í el todos los medios posihlea para allanarlas en matrimonio del príncipe Jorge de Oldensu origen, y aun se ha llegado á ofrecer la bourg con la gran duquesa Catalina. El garaíma de la Rusia para asegurar la inte­ príncipe ha recibido el título ds alteza im­ gridad de los estados austríacos, y al mis­ perial , y ha sido nombr…</t>
  </si>
  <si>
    <t>Catarineu, Juan</t>
  </si>
  <si>
    <t>Juan Catarineu</t>
  </si>
  <si>
    <t>to se actué* Al tiempo de la última invasión del exército francés en el reyno de Aragón, remitió D. Lorenzo Baura, residente en Madrid, á los señores D. Juan Catarineu é hijo, vecinos de Areos de Mar, en eí principado de Cataluña, por el correo y con primer endoso á su favor , quince vales reales de 300 pesos de -setiembre , …</t>
  </si>
  <si>
    <t>Cathcart</t>
  </si>
  <si>
    <t>les, y dentro gamento para los puertos á que van desti­ de nn mes estarán inundados, y mucho nados,” mas peligrosos por la imposibilidad de re­ *' El coronel Cathcart, hijo del lord Cath-</t>
  </si>
  <si>
    <t>Cavaleri</t>
  </si>
  <si>
    <t>io, D. Pedro Gamez , D. Manuel Rizo, el Príncipe de Anglona , D. Manuel Freyre , el Conde, de Bocarmé , D. Juan Espronceda , D. Rodrigo Machuca, y el Capitán Cavaleri , Coroneles , aquellos de los regimien­ tos de España, Sagunto , Pavía, Voluntarios de Madrid, ReyJia , Borbon y Principe, y el ultimo Comandante accidental de …</t>
  </si>
  <si>
    <t>Cavieron</t>
  </si>
  <si>
    <t>16 de junio de 1809</t>
  </si>
  <si>
    <t>Gaceta de Madrid n.º 167</t>
  </si>
  <si>
    <t>licadeza del señor conde Lemar­ ferentes destacamentos en la orilla izquier­ rois. Asistieron mas de 500 personas,y tu­ da del Zermagna inferior , el coronel Cavieron el placer de ver sentadas á la mesa seaux , con un batallón del 18.® de infan­ 150 señoras en la hermosa parte de esta ga­ tería ligera los acometió en las altu…</t>
  </si>
  <si>
    <t>Cayetano</t>
  </si>
  <si>
    <t>11 de mayo de 1809</t>
  </si>
  <si>
    <t>Gaceta de Madrid n.º 131</t>
  </si>
  <si>
    <t>á D. Josef Vinuesa, corregidor apostólica. de Segovia, D. Roque Novella, corregi­ Por lo que hace á las quejas suscitadas dor de Alcalá de Henares , D. Cayetano en el ducado de Vartovia por las dificulta­ de Torres , alcalde mayor de Villalon, y des mayores que sufririan diferentes expor­ D. Miguel Ruiz de Celada, ex-catedrát…</t>
  </si>
  <si>
    <t>15 de noviembre de 1809</t>
  </si>
  <si>
    <t>Gaceta de Madrid n.º 320</t>
  </si>
  <si>
    <t>onio tro real decreto de 14 de octubre último, Romano; y á los vélites D. Amadeo Juy contribuir al mismo tiempo al adorno de galdo, D. Josef Manzone, D. Cayetano la capital; Fiore, D. Francisco Perracino, D. Alfon­ Hc-mos decretado y decretamos lo si­ so det Rincón, D, Meiiton Rico, D. Cir­ guiente : ios Ermeler, D. Cirios D'…</t>
  </si>
  <si>
    <t>róximo de 1810, con el fin de Pricfc (D. Joan ) , capitán del regimiento acordar lo que tengan por conveniente. Real Extrangero. Ramírez de Arellano (D. Cayetano) , gefe de batallón del regimiento Josef Napo­ En (a gazeta del 13 del presente, nú­ león. mero 348 , pág. 1522, donde dice Gonzá­ Rapnn (D. Bernabé ), comisario ord…</t>
  </si>
  <si>
    <t>Cbamberlhac</t>
  </si>
  <si>
    <t>30 de abril de 1809</t>
  </si>
  <si>
    <t>Gaceta de Madrid n.º 120</t>
  </si>
  <si>
    <t>ista á algunos en ei mando del exército de reserva de Es­ cuerpos de tropas que se f trinan en esta paña. plaza, tanto de infantería como de caba­ El general Cbamberlhac, comandante llería. de la 24.a división militar, ha traslada­ Varios oficiales empleados en el estado do su quartel general de Bruselas á Gante, mayor han sa…</t>
  </si>
  <si>
    <t>Cbrnel, Antonio</t>
  </si>
  <si>
    <t>Antonio Cbrnel</t>
  </si>
  <si>
    <t>Gazeta del Gobierno n.º 12 (suplemento 2.º)</t>
  </si>
  <si>
    <t>eídos del justo horror á la iafame esclavitud, se bailan in­ flamados por el honor, amor á nuestro legítimo Soberano, y verdadero patriotismo. El Sr. D. Antonio Cbrnel , . Secretario* de Estado ,. y del Despacho universal de la Guerra,, ha dirigido ai Consejo Su­ premo interino de. Guerra y Marina, á los Generales en xefe de …</t>
  </si>
  <si>
    <t>Ce, Pedro</t>
  </si>
  <si>
    <t>Pedro Ce</t>
  </si>
  <si>
    <t>rte de Londres; y ha determina­ do que despache los asuntos correspondientes • á la primera Secre­ taria de Estado, durante la ausencia de díchoj Sr» D. Pedro Ce valíos, el Excmo. Sr.. D. Martin de Garay, Vocal y Secretario de Estado y dei despicho general de la Junta Suprema Central Gu­ bernativa del Reyno.^ LISTA DE LOS SEÑ…</t>
  </si>
  <si>
    <t>Cebrian, Manuel</t>
  </si>
  <si>
    <t>Manuel Cebrian</t>
  </si>
  <si>
    <t>s brazos y valor , como á los dichosos españoles Europa contra el tirano de ella , usurpador del trono de España, y enemigo de su grandeza» Los Sres. D. Manuel Cebrian é hijo, del comercio de Va­ lencia , en 29 de Noviembre último remitieron á D. Juan Josef Inarte , del comercio de Cádiz, con el último endoso á favor de este …</t>
  </si>
  <si>
    <t>Cederstroem</t>
  </si>
  <si>
    <t>tado remita á la discusión de la dieta. Las tuarse en Suecia. El exército de! 00 dente, * * comisiones deberán dar sobre ellos sus pa­ mandado por el general Cederstroem , ha receres fundados, mayormente quando se sido el primero á sublevarse , y ha dirigido trate de impuestos, de legislación civil y de su marcha hacia la cap…</t>
  </si>
  <si>
    <t>Cejudo, Josaf María</t>
  </si>
  <si>
    <t>Josaf María Cejudo</t>
  </si>
  <si>
    <t>y ca , que adornado de las mas eminentes vir­ Corre; y para corregidor interino de la ciu­ tudes , sabrá distinguir y apreciar las que dad de Soria á D. Josaf María Cejudo de caracterizan á aquel país: apoyados en es­ Aldana. tas bases los pueblos á quienes representa El REI ha venido en nombrar á D. Jo­ esperan los mas felic…</t>
  </si>
  <si>
    <t>Cele</t>
  </si>
  <si>
    <t>505</t>
  </si>
  <si>
    <t>tiemble V. E. y todos los gavackos que caigan en mis manos. Dios guarde á V. E. muchos años. Biescas 6 de noviembre de 1809.— Miguel de Sarasa. — P. D. Cele­ bro que V. E. publique las paces del norte.... Haga V. E. publicar las victorias de Lasieso y Tiermas. Ya veo que tienen la salida de la superioridad de fuerza ; esto no…</t>
  </si>
  <si>
    <t>Celestino'Car, Manuel</t>
  </si>
  <si>
    <t>Manuel Celestino'Car</t>
  </si>
  <si>
    <t>aría, gobierno de los regimientos que se van for­ D. Josef Antonio Ibarrola , D. Vicente Pe­ mando de infantería y-caballería, su ves­ rez de Hervás, D. Manuel Celestino'Car­ tuario , armamento y montnra. rasco , D. Juan Durand y D. Juan Teran oficiales primeros ; á JD. Mateo Bravo y Lomas, JD. Antonio Leiral, O. Cirios Re- R…</t>
  </si>
  <si>
    <t>Cendeja, Pedro</t>
  </si>
  <si>
    <t>Pedro Cendeja</t>
  </si>
  <si>
    <t>cade­ tar tan graves males ? Es bien claro qne no te de reales guardias. Walotias , D. Félix queda otro arbitrio sino forzar la indecisión, Palacios, D. Pedro Cendeja, D. Joaquín cerrar la puerta ’á todo vano efugio ó res­ de Osés, D. Matías de la Torre y D. Fran­ tricción de la cavilosidad, precisar á que cisco. Xavier Vidar…</t>
  </si>
  <si>
    <t>Cenfani, Francisco</t>
  </si>
  <si>
    <t>Francisco Cenfani</t>
  </si>
  <si>
    <t>1663</t>
  </si>
  <si>
    <t>de Introducido entre nosotros por los Sobera­ las rentas públicas, y el trastorno en su re­ nos de la casa de Austria, que nos gober­ caudación , que D. Francisco Cenfani no naron por espacio de do* centurias , y que dúcía •‘asegurar, y aun demuestra en un roe- habían agotado la sangre y la sustancia de ¡norial que dirigió al…</t>
  </si>
  <si>
    <t>Cenon</t>
  </si>
  <si>
    <t>del Hospicio. — Alderete (D. Ramón) cabo primero del regimiento de infantería de línea , núm. 2.— Almenara ( marques) consejero de Estado. — Alonso (D. Cenon) -id. — Alonso ( D. Manuel ) oficial primero del ministerio de Ne.gocios extrangeros. — Amor.ós (D. Francisco) conse ero dé Es¡tado. — Angulo ( D. Francisco ) id. — Aran…</t>
  </si>
  <si>
    <t>Cernebois</t>
  </si>
  <si>
    <t>Cea ( D. Francisco Antonio), gefe de divi­ gimiento núm. 2.°, infantería de línea. sión del ministerio de lo I iterior. Echeverría (D. Pedro Ramón), consejero Cernebois, sargento de granaderos del re­ de Estado. gimiento Real Extranjero , infantería de Echeverría (D. Cipriano), intendente de línea. exército. Chabert (D. Anton…</t>
  </si>
  <si>
    <t>Ceroni</t>
  </si>
  <si>
    <t>29 de septiembre de 1809</t>
  </si>
  <si>
    <t>Gaceta de Madrid n.º 273</t>
  </si>
  <si>
    <t>horas antes diferentes decretos , de los quales citaremos de rayar el alba, y apretaron quanto había las principales disposiciones. en la ribera. El capitán Ceroni, con algu­ ,,Los sub-prefectos y corregidores darán nos valientes soldados, saltó en las lanchas» las providencias necesarias para que desde y fue á abordar un buq…</t>
  </si>
  <si>
    <t>Cérveüoni</t>
  </si>
  <si>
    <t>s compuesto de * 3 : hombres, man­ dado por el Virey Eugenio y el General de Brigada Gilét, con 80 piezas de artillería: y desunes con el socorro dél General Cérveüoni que venia de la Italia con' 1-59, con laquaí ' los franceses formaban un grueso de yo9 hombres.—Los austríacos baxo el mando dei Archiduque Juan atacaron con: …</t>
  </si>
  <si>
    <t>Cesar</t>
  </si>
  <si>
    <t>de Ajala (D. Pió), secretario de ,• to uiím. i.°, infantería de lima. i a legación en Holanda . Maiherer ( D. Carlos) , teniente coronel de González (D. Cesar), teniente coronel de ,iiií.|literla. artillería. Marie (D. Fermín) , general y edecán del Gomales Arnaud ( D. Vicente), secretario Reí. del consejo de Estido. Mariner …</t>
  </si>
  <si>
    <t>César</t>
  </si>
  <si>
    <t>erio de Policía. — Gómez de Teran ( D. Leonardo ) ministro en Holanda. — Gó­ mez de Ayala ( D. Pió) secretario de la legación en Holan­ da.—González (D. César) teniente coronel de artillería.—Gon­ zález Arnao ( D. Vicente) secretario del consejo de Estado. Guerrero (D.Juan) capitán del regimiento núm. i , infantería, de línea…</t>
  </si>
  <si>
    <t>Céspedes, Juan Francisco</t>
  </si>
  <si>
    <t>Juan Francisco Céspedes</t>
  </si>
  <si>
    <t>na letra de 22.500 rs.de vn. que el Regidor D. Pedro Martínez de Pinilios ofrece auual-mente durante la guerra contra Francia. = Otra de i$ts. vn. de D. Juan Francisco Céspedes.n Otra de id rs. de D. Josef Manuel Carazo , del comercio de Cartagena. Una de id pesos en vales reales de D. Juan Josef Nuñez del mismo co­ mercio.— …</t>
  </si>
  <si>
    <t>Cevallos</t>
  </si>
  <si>
    <t>Gaceta de Madrid n.º 14</t>
  </si>
  <si>
    <t>do á todos los tribunales de la ciudad.__ Han sido pasados por las armas to de los mas malas cabezas de la ínfima plebe; los mismos que asesinaron al general Cevallos , y que por tan larga temporada han opri­ mido á las gentes honradas. S. M. ha mandado la supresión del convento de Dominicos, en el qual ha sido asesinado un f…</t>
  </si>
  <si>
    <t>Cevallos, Francisco Díaz</t>
  </si>
  <si>
    <t>Francisco Díaz Cevallos</t>
  </si>
  <si>
    <t>e, dignidad de maestrescuelas y canónigo, consejero de Estado; D. Matías de Robles, arcediano titular de Toledo; D. Pedro Ro­ drigue»Pardo, canónigo; D. Francisco Díaz Cevallos, canónigo; D. Pa­ blo Nicolás de San Pedro, canónigo; IX Vicente Rodrigo de Mena, canó­ nigo ; D. Josef de Salcedo y Xaramillo, canónigo; D. Pablo Rec…</t>
  </si>
  <si>
    <t>Cevallos, Josef Víctor</t>
  </si>
  <si>
    <t>Josef Víctor Cevallos</t>
  </si>
  <si>
    <t>Suprema Gubernativa del Reyno. SEÑORES OFICIALES. i. rtdi* • ^ 3. D. Pasqual Genaro Rodenas. 4. D¿ Pío Agustin de lenda» 5. D. Josef CoSta y Gali. 6. D. Josef Víctor Cevallos. Por auto de 19 de Octubre de i8©8 se manda citar y em­ plazar á qualquier acreedor que se conceptúe con derecho á con­ tradecir el pago mandado hacer á…</t>
  </si>
  <si>
    <t>Cevallos, Pedro</t>
  </si>
  <si>
    <t>Pedro Cevallos</t>
  </si>
  <si>
    <t>Gazeta del Gobierno n.º 14 (extraordinaria 2)</t>
  </si>
  <si>
    <t>G AZETA EXTRAORDINARIA DEL GOBIERNO , DEL DOMINGO 2 DE ABRID. SEVILLA. En oficio de ii de marzo ultimo avisa desde Lon­ dres el Sr. D. Pedro Cevallos y nuestro embaxador en aquella Corte , en P. D. lo siguiente. = yy En este momento acaba de decirme Mr. Canning, primer Se­ cretario de Negocios extrangeros : que han empe­ zado…</t>
  </si>
  <si>
    <t>er enganar á los pueblos. Renuevo á V. E. mi profundo respeto &amp;c. Trieste 17 de abril de 1 809. zr Excmo. Sr.~Cárlos Alexandro de Lellir.— Excmo. Sr. D. Pedro Cevallos. Carta del caballero D, 'Ensebio Bardaxi. Excmo. Sr.~ Acabo de desembarcar en este puerto, y. aprovecho con el mayor gusto la ocasión que se me ofre­ ce de un …</t>
  </si>
  <si>
    <t>Ceyalios, Geferjno</t>
  </si>
  <si>
    <t>Geferjno Ceyalios</t>
  </si>
  <si>
    <t>id í&gt; Josef Hermosilla, D.1 Juan de Matia y Satini, IX.Juan Antonio de Zámacóla , Don Josef de Ibarrbla , D. Lorenzo de Negueruela, D. Jusef Belmar , D. Geferjno Ceyalios , D.An§elmo Rerenga., D..Manuel Antonio Díaz, y jus­ to de la Vega Osorio. , ; art. in. Nuestro ministro de Policía general queda encargado de la execucion …</t>
  </si>
  <si>
    <t>Chabot</t>
  </si>
  <si>
    <t>5 de febrero de 1809</t>
  </si>
  <si>
    <t>Gaceta de Madrid n.º 36</t>
  </si>
  <si>
    <t>199</t>
  </si>
  <si>
    <t>e dia, para lo qual la división dei general Sou­ ham vadeó el rio por S. Juan, las 2 brigadas de la del general Pino por S. Feliu , y la división del general Chabot por la derecha de este pueblo, son orden de flanquear la izquierda del general Souham. La división del</t>
  </si>
  <si>
    <t>Chabran</t>
  </si>
  <si>
    <t>ecibir víveres, de qne carecía absolutamente, y para organizar su artillería* El 20 se encaminó hacia el Llobregat, en esta for­ ma : la división del general Chabran á Molins del Rei; la del general Pino á S. Feliu ; la del general Souham á Cornelia, y la reserva, al mando del ge­ neral Chabot, á Sens y al Hospitalet. A las 2…</t>
  </si>
  <si>
    <t>a en- que nos vemos empeñados* ESPAÑA. Tarragona 13 de Marzo, En esté instante nos dicea dos mozos que han- venid» ¿e Villafranca del Panadés, que el general Chabran' con unos 3'D de sus vándalos franceses lia sido desbaratado, esta ma­ gaña, en su paso para Barcelona entre Molins de Rey y Orda!. Esto se debe, según aseguraná…</t>
  </si>
  <si>
    <t>Chabrán</t>
  </si>
  <si>
    <t>a fuga , y perseguidos por nuestra tropa y somaten con increible entusiasmo. Varios vecinos del pueblo de S. Juan de Espí acababan de avisarle que el General Chabrán habiá entrado con su división muy aterrada en Barcelona, y con porción de carros de heridos. »Por ultimo dice, que la oficialidad y tropa se ha portado con la ma…</t>
  </si>
  <si>
    <t>Chacón, Nicolás</t>
  </si>
  <si>
    <t>Nicolás Chacón</t>
  </si>
  <si>
    <t>Gazeta del Gobierno n.º 13 · 2.ª serie</t>
  </si>
  <si>
    <t>107</t>
  </si>
  <si>
    <t>o verificaron con el mayor denuedo, mandados por el coronel de caballería adicto á mi estado mavor D. Antonio de Zea , v el co­ mandante de esquadron D. Nicolás Chacón ; aunque habiéndose consolidado en masa aquella , y roto contra ellos un vivísimo fue­ go , con que perdimos bizarros soldados , y al benemérito y va­ leroso c…</t>
  </si>
  <si>
    <t>Chambarlach</t>
  </si>
  <si>
    <t>fantería La artillería gruesa que llegó aquí hace y una de caballería. La primera división, alganos días, ha salido ya para Pastan. Un mandada por el general Chambarlach, tie­ nuevo transporte qoe llegó ayer ha toma­ ne so quartel general en Stabroeck; la se­ do la misma dirección. gunda en Eeckeren al tnabdo del general Dall…</t>
  </si>
  <si>
    <t>as por conducentes para que esta medida general el general Reí. La primera división está á se efectúe con la posible brevedad , Tespeclas órdenes del general Chambarlach, y la to á aquellos cuya congrua no llegase á es­ segunda á las del general Lamarque. Los cin- ta cantidad. co generales de brigada son Valletanx, De- art. n…</t>
  </si>
  <si>
    <t>Chamberlac</t>
  </si>
  <si>
    <t>27 de agosto de 1809</t>
  </si>
  <si>
    <t>Gaceta de Madrid n.º 240</t>
  </si>
  <si>
    <t>añarlo, y sin darle tiempo de reflexionar mente no podrán sostenerse alli largo tiempo. le intimó la rendición. El coronel M0rk.1l Se .asegura que el general Chamberlac respondió que no se entregaría sino preci­ ha enviado á Flesinga un refuerzo de 3700 sado por la fuerza, y después de usar de hombres. sus armas. En consecuen…</t>
  </si>
  <si>
    <t>Chamberlach</t>
  </si>
  <si>
    <t>man­ para nuevos establecimientos, sobre la ex­ da el exército francés reunido en Amberes. tensión y mejora del servicio; y en suma« La división del general Chamberlach cons­ en todos los asuntos en que el superinten­ ta ya de ta® hombres, y se agaarda de aa dente estime consultarla. momento á otro al general Charbonier, que …</t>
  </si>
  <si>
    <t>Chamorro, José</t>
  </si>
  <si>
    <t>José Chamorro</t>
  </si>
  <si>
    <t>duquesa de Abrantes 6 ; la marquesa de Camarasa 7; la duquesa de Osuna 10 ; la duquesa viuda del Infantado 2 y una galera ; D. Francisco Enriquez 2 ; D. José Chamorro 2 ; y Don Francisco Benet 2. — El teniente general príncipe de Monforte ha entregado también • 4 muías de donativo gratuito para el ser­ vicio de nuestros exérc…</t>
  </si>
  <si>
    <t>Chamorro, Josef</t>
  </si>
  <si>
    <t>Josef Chamorro</t>
  </si>
  <si>
    <t>D. Miguel Baeza , 24 rs. =D. Peregrino Mallen , por una vez, 40 rs. cu El P. Prepósito de S. Felipe Nefi , 200 r«.*= D. Pedro de Castillo , 60 r?. — D. Josef Chamorro, ¿oo rs. mD. Pasqual Ignacio Altolaguirre, too rs. = D. Alonso del Pino, por una vez, 144 rs. = D. Joaef Urquiaga , 60 rs. -zz Total 143930. ■ ..... — ■....... …</t>
  </si>
  <si>
    <t>Champacsi</t>
  </si>
  <si>
    <t>su soberanía y por su decreto de 17 de diciembre del mis­ á su dignidad? Soi señor ministro Sec.—Fir­ mo ano, ha declarado los buques, cuya mado, el conde Champacsi." bandera hubiese sido violada, degradada ó atropellada, como no pertenecientes á aque­ ESPAÑA. lla nación de quien era la banadera. ,,La América ha decretado un …</t>
  </si>
  <si>
    <t>Champagni</t>
  </si>
  <si>
    <t>5 de agosto de 1809</t>
  </si>
  <si>
    <t>Gaceta de Madrid n.º 218</t>
  </si>
  <si>
    <t>977</t>
  </si>
  <si>
    <t>­ dos en los hospitales. Los auditores del ciadores. Solamente se nota suma actividad consejo de Estado, que se hallan en Viena, en la secretaría del conde Champagni, mi­ han ido al campo de batalla la noche si­ nistro de Relaciones exteriores. S. E. va to­ guiente á la acción de Wagram. Allí han dos los días ai palacio de Sc…</t>
  </si>
  <si>
    <t>17 de noviembre de 1809</t>
  </si>
  <si>
    <t>Gaceta de Madrid n.º 322</t>
  </si>
  <si>
    <t>del telégrrfo .se comu­ nique á la Emperatriz la noticia de haberse jMadrid 16 de noviembre. firmado la paz el 14 á las nueve de la ma­ ñana entre el conde Champagni y el prín­ Extracto de las minutas de la secretarla cipe de Lichtenstein. Comunicad ¡también de Estado. esta noticia á vuestra división y al corre­ En nuestro pa…</t>
  </si>
  <si>
    <t>Champagny</t>
  </si>
  <si>
    <t>truyen algunas casas. El brazo del Danubio que ro­ dean á Leopoldstadt está cubierto con baterías y reductos. Id. 29. Hoy ha vuelto- de Aitenburgo el conde Champagny.. Se dice que mañana llegará ei conde Metternich, y que las ne­ gociaciones de paz se continuarán en esta ciudad. Aseguran que ya están vencidos los principales …</t>
  </si>
  <si>
    <t>Champmol</t>
  </si>
  <si>
    <t>apita] á los 63 años de edad el exce­ han sido nombrados recientemente indivi­ lentísimo señor Manuel Cretet', conde de duos de la orden por S. M. el Emperador Champmol, comandante de la legión de y Rei. Honor, ministro de F.stado y consejero de S. A. ha dado después audiencia al cuer­ Estado. po diplomático, en la qual ha si…</t>
  </si>
  <si>
    <t>Chanteanx</t>
  </si>
  <si>
    <t>a son Valletanx, De- art. ni. En los pueblos en que hubie­ veaux, Cacault, Benier y Burke. El ayu­ se bienes, rentas ó réditos pertenecientes á dante comandante Chanteanx es gefe del sugetos que se hallasen en provincias no su­ estado mayor del ala izquierda. misas , autorizamos á Jas justicias para que La caballería se compo…</t>
  </si>
  <si>
    <t>Chara, Remigio</t>
  </si>
  <si>
    <t>Remigio Chara</t>
  </si>
  <si>
    <t>ores y y dos de gradaneros; quedando la línea cubierta con las restantes tropas. La fuerza total de las tropas destinadas al ataque sin la columna de D. Remigio Chara, que lle­ varía 300, componía 800 hombres. Todas las columnas, ¿excepción de la de Ohara,. de­ bían romper el fuego al rayar el alba, sirviendo de señal el de l…</t>
  </si>
  <si>
    <t>Charbonier</t>
  </si>
  <si>
    <t>ral Chamberlach cons­ en todos los asuntos en que el superinten­ ta ya de ta® hombres, y se agaarda de aa dente estime consultarla. momento á otro al general Charbonier, que : art. Vi. El presupuesto de los gastos, llega coa refuerzos considerables. Todos los de la administración se.formará por la jun-, caminos de París á Amb…</t>
  </si>
  <si>
    <t>Charbonnief</t>
  </si>
  <si>
    <t>n Eeckeren al tnabdo del general Dallemagne; la tercera en Amberes al man­ WIRTEMBERG. do del general Depeaux; la qnarta en Ca­ ldo á las órdenes del general Charbonnief. Stuttgardt 18 de agosto. El senador Klein manda la división de ca­ De algunos días i esta parte hemos vis- ballería , y tiene su qúartel general en Am* to p…</t>
  </si>
  <si>
    <t>Charnberlac</t>
  </si>
  <si>
    <t>23 de agosto de 1809</t>
  </si>
  <si>
    <t>Gaceta de Madrid n.º 236</t>
  </si>
  <si>
    <t>cuado dicho fuerte, el qual á esta hora debe estar ya ocupado por Munich 3 o de julio. tropas francesas. Se ha publicado un edicto real para el »&gt; El general Charnberlac defiende la establecimiento de un empréstito general •rilla izquierda del Escalda con un cuerpo</t>
  </si>
  <si>
    <t>Charteller</t>
  </si>
  <si>
    <t>quí con un cuerpo compuesto de los para desempeñar, uua comisión cerca de la regimientos de Jennkei, Preising y otros. porte- de Berlín, - :- : ■&gt; El general Charteller, después de haber tenido algunas acciones mui reñidas con el DALMÁCIA. general Rusca, ha llegado á entrar en la Carintía; pero es mui dudoso que pueda Híara 1…</t>
  </si>
  <si>
    <t>Chastclier</t>
  </si>
  <si>
    <t>18 tre Laybach y Kfogcnfurth. Pero el general conde Giulay do­ mina de nuevo el pais de Cilley , y tiene inmediata comunicación con el general Chastclier. Las tropas austríacas se han estendido desde el Tirol meridional hasta Veroiui y Bassano. Cotejando este boletín con elfrancés núm. 1 6 , que presenta como una gran victori…</t>
  </si>
  <si>
    <t>Chaste</t>
  </si>
  <si>
    <t>junio* S. M. el Emperador de Austria ha recibido el siguien &lt; fe parte por un correo despachado desde Inspruck el $x dé mayo. Después que el Teniente General Chaste 11er, que man­ daba en el Tirol , partió con parte de su exercito para Lientz en el Punterthai para atacar al exercito de Italia,, que se adelantaba contra la Sti…</t>
  </si>
  <si>
    <t>Chasteiler</t>
  </si>
  <si>
    <t>ranceses, y han solicitado el auxilio de ios austríacos, que á estas ho­ ras habrán ya entrado allí. Di todo el Tirol se ha apo­ derado igualmente el General Chasteiler^ su vanguardia ha en­ trado en Veronaq y no recelamos que los austríacos encuen­ tren resistencia alguna en el paso del Addige. Así es que todo el mundo está …</t>
  </si>
  <si>
    <t>Chasteler</t>
  </si>
  <si>
    <t>iosas de que mue­ ,,Solo en estos casos podrán obtener per­ ren diariamente muchos soldados. miso para entrar en los puertos de ios Es­ Dícese que el general Chasteler ha sido tados-Unidos los buques que llegaren á llamado al quartel general austríaco, y que ellos, y quedan exentos por ahora de em­ se le conferirá otra v:z un…</t>
  </si>
  <si>
    <t>371</t>
  </si>
  <si>
    <t>eden hacerse en los papeles públicos, mas bien prueban estar próxima la renovación de las hostilidades que la conclusión de un tratado. Dícese que el general Chasteler, aquel xefe vale­ roso délos patriotas del Tirol, cuya cabeza proscribió Bonapaite en un furioso boletín , ha sido llamado al quartel general austría­ co para …</t>
  </si>
  <si>
    <t>Chasteller</t>
  </si>
  <si>
    <t>24 de junio de 1809</t>
  </si>
  <si>
    <t>Gaceta de Madrid n.º 175</t>
  </si>
  <si>
    <t>licó ha tomado las armas sino por su defensa » el general: los rebeldes , inflamados por propia, persuadida de que estaba ya re­ n el que se intitula general Chasteller, han suelta su perdición en el consejo del Em­ «querido 'defenderse en Schwatz; y este perador de los franceses; pero es evidente «pueblo, que os pertenece, v…</t>
  </si>
  <si>
    <t>851</t>
  </si>
  <si>
    <t>e la DIARIO DECIMOOOTAVO. vanguardia , después de haber entrado en Vien a 13 dt junio de l8os&gt;• Lowiez, se adelantó hasta Sochacz vv, La división del general Chasteller, el donde encontró á los enemigos, que pare­ qual había sublevado el Tirol, pasó el dia ce se retiraban hacia el Pilika; aunque se­ 4 de este mes por las inme…</t>
  </si>
  <si>
    <t>940</t>
  </si>
  <si>
    <t>risis en que se halla en el día tracto de él, persuadidos de que será agra­ 4a monarquía austríaca. dable i los lectores, asi por las noticias in­ El general Chasteller, dice un diario teresantes que contiene, como porque es dei 18 de junio, no habiendo podido vol­ fácil, £ poco que se reflexione, advertir ver á entrar en el …</t>
  </si>
  <si>
    <t>a 30. ofi­ ciales a.ustriacos y á muchos soldados que el enemigo cogió en la. batalla del 14 ,.per último,consiguió reunirse el.20_eiv Hidveg con; pl general Chasteller que atravesando la Stiria ha venido á Hun­ gría con 5 ó 62 hombres.. Lo mismo-hizo. un coronel que había quedado - cortado con dos regimientos y se salvó igua…</t>
  </si>
  <si>
    <t>132 les to;nó 1 cañón y 2 carros de pólvora. Por todas partes se per­ sigue al enemigo. Después que el teniente general Chasteller se vino desde Inspruck hacia Carintia, con el fin de contener al exército fran­ cés que de Italia pasaba hacia Hungría , solo quedó en el Tirol una parte de su exército á las órdenes del mayor gen…</t>
  </si>
  <si>
    <t>133</t>
  </si>
  <si>
    <t>estos avanzados. Nues­ tras patrullas hacen correrías hasta las cercanías de Raab. Un cargamento de trigo para el enemigo se le ha cogido en Nema. El general Chasteller estaba el 4 en S. Groth» Núm. 4.° Pest 9 de julio. El general Giulay desde su quartel general con fecha del 3 participa : que para hacerse dueño del camino de…</t>
  </si>
  <si>
    <t>Chauaquel, Francisco</t>
  </si>
  <si>
    <t>Francisco Chauaquel</t>
  </si>
  <si>
    <t>lta de Estado.:.Hoi día_&lt; ha ..querido tit; á los tenientes agregados á la de la mis­ darle mayor importancia, y rodearla, de ma clase de Fuenrerabía D. Francisco Chauaquel aparato ,y esplendor ,que resaltan so­ mont y D. -Tomas -Grande , y á los sub­ bre ella de un trono tan brillante de gloría. tenientes de inválidos de.Pam…</t>
  </si>
  <si>
    <t>Checa, José</t>
  </si>
  <si>
    <t>José Checa</t>
  </si>
  <si>
    <t>presentarse en la real maestranza de esta ciudad para el servicio de la artillería de los exércitos, en -clase de donativo voluntario ; por los Srs. D. José Checa una muía, valuada en 2500 reales; por el conde de Oñate ,2 en 53 ; la du­ quesa de Abrantes, 2 en 53 ; y D. Joaquín de Morua, 2 en 3800. — De la ciudad de Ecija han…</t>
  </si>
  <si>
    <t>Cherasco, Estanislao</t>
  </si>
  <si>
    <t>Estanislao Cherasco</t>
  </si>
  <si>
    <t>xandro La Bartha capitán efectivo con 3 2) hombres armados, y casi igual nú­ de caballería de linear y admitir á su real mero de paisanos. servicio á D. Estanislao Cherasco y á Don Este puesto casi inaccesible, situado en Estéban Fleuri en clase de capitanes de in­ la llanura de una montaña de cerca de una fantería de línea. …</t>
  </si>
  <si>
    <t>Chester</t>
  </si>
  <si>
    <t>por el Coronel Chester, Maestro de ceremonias , i una audien­ cia particular del Rey, en la qual presentó S.. Exc. sus ere* denciahs, y. fué recibido por, S, M. con las im8 extraordina­ rias. muestras de singuiai</t>
  </si>
  <si>
    <t>Chocano, Ambrosio</t>
  </si>
  <si>
    <t>Ambrosio Chocano</t>
  </si>
  <si>
    <t>arga. — D. Mateo de Mora y Lomas. — Conde de Vaide Paraiso. — Marques de Orieco. — Duque de Abrantes. — Conde de Cervellon. — D. Mauricio Pa­ rada. — D. Ambrosio Chocano. — Conde de Castroterreño. — Marques de Palacio.— D. Manuel López Araujo.— D. José Gar­ cía de León y Pizarro. — Marquesa viuda de Fontanar. — D. Ra­ món Bel…</t>
  </si>
  <si>
    <t>Chollen</t>
  </si>
  <si>
    <t>Gazeta del Gobierno n.º 34</t>
  </si>
  <si>
    <t>lonia, i2p9, por el Archiduque Fer­ nando. De Italia; 949, por el Archiduque Juan. De Dalmacia, 309, por eLGeneral Vakcovieh. Del Tiro!, 309 , por el General Chollen. Reserva, 969, por el Emperador en persona. Total 59$9. ESP A N A. 2 4f de- mayo.. La pr odama .que: simstw al en xefe ha dirigid**</t>
  </si>
  <si>
    <t>Choya, Andrés Alfonso</t>
  </si>
  <si>
    <t>Andrés Alfonso Choya</t>
  </si>
  <si>
    <t>rt queda nombrado j uez de primera ins­ Extracto de las minutas de la secretaria tancia en esta villa en la plaza vacante por de Estado. promoción de D. Andrés Alfonso Choya. art. ii. Nuestro ministro de la Justicia En nuestro palacio de Madrid á 7 de noviembre de 1809. queda encargado de la execucion del pre­ Don Josef Napol…</t>
  </si>
  <si>
    <t>e las juntas de negocios contencicsos, pendientes en los suprimidos conse os; de D. Domingo Rico Villademoros para fiscal de estas mismas juntas ; de D. Andrés Alfonso Choya, D. Martin de Villaíaz , D. Manuel Silvela y D. Francisco Iturribarria , para alcaldes dé casa y córte ; de D. Juan Bautista Guitart, para juez de primer…</t>
  </si>
  <si>
    <t>Ciar, IX Diego</t>
  </si>
  <si>
    <t>IX Diego Ciar</t>
  </si>
  <si>
    <t>la (manária áe hoy íavanguardíade esta di-i visión , compuesta del segunda ide Cataluña mandado por su co­ mandante , y el regimiento de Grado por el coronel IX Diego Ciar,/: teniente coronel del mismo pasase á colocarse en las alturas del puente de Peñaltor, ,á cortar al enemigo en su retirada, si la inten-, taba: que una di…</t>
  </si>
  <si>
    <t>Ciarás</t>
  </si>
  <si>
    <t>274</t>
  </si>
  <si>
    <t>coronel y lint capitán. Hace muchos elogios de su tropa , y recomien­ da de muevo á su segundo D,. Esteban Llovera. . Sigue el extracto id parte del teniente coronel Ciarás que se'insertó por entero en la gazeta del gobierno de 30 de setiembre y n. 2.6. pág. 236. Extracto del parte del temente Llandén Luego que se hubo situad…</t>
  </si>
  <si>
    <t>Ciarós, EK Juan</t>
  </si>
  <si>
    <t>EK Juan Ciarós</t>
  </si>
  <si>
    <t>gún aseguraná las disposiciones dades por nuestro* General y á la execudon del cuerpo del brigadier Wiaffen qde ha báxado de Tarraga, en compañía del coronel EK Juan Ciarós, comandante de paysanos y so­ matenes. Sabemos que los contornos de Barcelona están ocupados por los paysanos somatenes y rniqusieres, armados * que im­ p…</t>
  </si>
  <si>
    <t>Ciasa, Antonio</t>
  </si>
  <si>
    <t>Antonio Ciasa</t>
  </si>
  <si>
    <t>fan­ de las Españas y de las Indias. tería de linea á los cabos de la compañía de ,,Queriendo establecer en Madrid la bol­ vélites de su real guardia D. Antonio Ciasa de comercio que determinamos por nues­ burri, D. Rafael Martino y D. Antonio tro real decreto de 14 de octubre último, Romano; y á los vélites D. Amadeo Juy con…</t>
  </si>
  <si>
    <t>Cibat, Antonio</t>
  </si>
  <si>
    <t>Antonio Cibat</t>
  </si>
  <si>
    <t>s del art. m. Desde la publicación de este exército señor Saincerre, el señor Paroisse, decreto obedecerán las drdenes de esta ad­ nuestro médico , y D. Antonio Cibat, ins­ ministración de dichos hospitales, y á este pector del servicio de sanidad de nuestra fio les harán la prevención correspondiente guardia. las juntas, dip…</t>
  </si>
  <si>
    <t>Cienfuegos, Juan</t>
  </si>
  <si>
    <t>Juan Cienfuegos</t>
  </si>
  <si>
    <t>con los -de Rábago y Catnijatiés. Eí brigadier Don: Remigio Oliara con los regimien-tos de Candas y CastrópóL mandados por sus respectivos coroneles D. Juan Cienfuegos , y D. Josef Navia Osorio, la segunda compañía de granaderos del Infante D. Car­ los, y una de tiradores formada de fusileros dei mismo cuerpo, debía forzar el…</t>
  </si>
  <si>
    <t>Cifuentes, Joaquín</t>
  </si>
  <si>
    <t>Joaquín Cifuentes</t>
  </si>
  <si>
    <t>adera xefes de división ; á D. Joa­ quín Albaytua , D. Luis Bellocq y D. Pedro Isla , oficiales pri­ meros ; á D. Fausto Foronda, D. Santiago Torres, D. Joaquín Cifuentes, D. Antonio Tejada, D. José María Carnerero y D. Ma­ nuel.García Suelto oficiales segundos ; y á D. José Antonio Con­ de archivero y ■bibliotecario. Por dec…</t>
  </si>
  <si>
    <t>Ciílan, Manuel</t>
  </si>
  <si>
    <t>Manuel Ciílan</t>
  </si>
  <si>
    <t>dro; D. Felipe Fraile Ramino, id. de S. Mi­ guel; D. Gregorio Nuñez Gamarra, id. de S. Nicolás el Real; D. Antonio _ Salvad ios, id. de Sto. Domingo; D. Manuel Ciílan, id. de S. Salvador; Fr. Félix de la Soledad, teniente de S. Juan; Fr. Bernardino del Pozo, guardián de S. Francisco; Fr. Vicente deí Rosario, id. de Descalzos;…</t>
  </si>
  <si>
    <t>Cipriano</t>
  </si>
  <si>
    <t>ior. Echeverría (D. Pedro Ramón), consejero Cernebois, sargento de granaderos del re­ de Estado. gimiento Real Extranjero , infantería de Echeverría (D. Cipriano), intendente de línea. exército. Chabert (D. Antonio ), sargento t.° del re­ Escolari (D. Pedro), cabo i.° del regi­ gimiento núm. r.°, brig.da irlandesa. miento núm…</t>
  </si>
  <si>
    <t>. -- Echegaraya (D.Jacobo ) capitán del regimiento núm. 2 , infantería de línea. — Echeverría ( D. Pedro Ramón) consejero de Estado. — Eche­ verría ( D. Cipriano ) intendente de Exército. — Escolari ( D. Pe­ dro ) cabo primero del regimiento núm. 1 , infantería de línea. — Escudero (D. José) subteniente del núm. 2. — Espert, …</t>
  </si>
  <si>
    <t>Cir</t>
  </si>
  <si>
    <t>Josef Manzone, D. Cayetano la capital; Fiore, D. Francisco Perracino, D. Alfon­ Hc-mos decretado y decretamos lo si­ so det Rincón, D, Meiiton Rico, D. Cir­ guiente : ios Ermeler, D. Cirios D'aiguebelles , Doa articulo 1. Cedemos al comercio de Francisco Brost y D. Juan Soriie. Madrid para establecer la bolsa el edificio del …</t>
  </si>
  <si>
    <t>Cir, Carra-Saint</t>
  </si>
  <si>
    <t>Carra-Saint Cir</t>
  </si>
  <si>
    <t>24 de septiembre de 1809</t>
  </si>
  <si>
    <t>Gaceta de Madrid n.º 268</t>
  </si>
  <si>
    <t>inmediata­ senten en el término de un año. mente fue preseutado á SS. MM, el Rei y Reina de Saxonia. S. E. iba acompañado Stralsund 28 de agosto. del general Carra-Saint- Cir y de todo sa Acaban de llegar aquí de Estockolmo estado mayor. los empleados en la embaxada que el Rei Después de su llegada el duqüe de do Suecia Cátío…</t>
  </si>
  <si>
    <t>6 de octubre de 1809</t>
  </si>
  <si>
    <t>Gaceta de Madrid n.º 280</t>
  </si>
  <si>
    <t>o día, en que forman se asemejará pronto á un her­ donde fue recibido coa rodas las demostra­ moso puebla. ciones de respeto y de amor que un pue­ El general Carra-Saint-Cir ha ido hoi blo fiel se complace en manifestar &amp; su buen i Meissen para pasar revista i los nuevos Reí. S. M. se dignó vestirse con el trage reclutas. Den…</t>
  </si>
  <si>
    <t>Cir, Carra-Salnt</t>
  </si>
  <si>
    <t>Carra-Salnt Cir</t>
  </si>
  <si>
    <t>Gaceta de Madrid n.º 340</t>
  </si>
  <si>
    <t>34</t>
  </si>
  <si>
    <t>guardia debía do sin duda en las miras políticas de Napo­ llegar á Hoff el 26 de octubre. león , y estará enlazada con los vastos pla­ Se dice que el general Carra-Salnt-Cir nes que piensa executar; será gobernador del Margraviato, y está Verificada la paz con el Austria, nada para llegar de un día á otro á Baíreuth. Los ha! …</t>
  </si>
  <si>
    <t>Cir, Gonvion-Saint</t>
  </si>
  <si>
    <t>Gonvion-Saint Cir</t>
  </si>
  <si>
    <t>3 de febrero de 1809</t>
  </si>
  <si>
    <t>Gaceta de Madrid n.º 34</t>
  </si>
  <si>
    <t>reino de Galicia, y está en disposición de apoyar, en caso necesario, al cuerpo del duque de Dalmacia. Se ha confirmado la noticia de la llegada del general Gonvion-Saint Cir con el 7.0 cuerpo á Barcelona, en cuya ciudad entró el dia 17. El dia 15 encontró en Liinás las trepas de los generales Reding y Vives, y las der­ rotó …</t>
  </si>
  <si>
    <t>Cir, Saint</t>
  </si>
  <si>
    <t>Saint Cir</t>
  </si>
  <si>
    <t>e en Tole lo con su cuerpo de exército. El duque de Dantzick está con el suyqen'Talavera de la Reina. El 8.° cuerpo ha! litigado á Burgos. . . ' : El general Saint Cir marcha: á juntarse en/Barcelona con el general Duhesmev'aT km.Ív 2í A. .... ; : Nuestras avanzadas de,.caBallería llegan hasta cerca de la Andalucía. El Empera…</t>
  </si>
  <si>
    <t>id W de octubre. El exército del general Blake , que constaba de 253 hombres , ha sido Completamente batido en Cataluña el dia 26 de setiembre por el general Saint Cir. Ha perdido Blake en­ tre heridas , muertos y prisioneros la tercera parte de su exérci­ to , y se le han dispersada lee restantes. Los paisanos han regre­ sad…</t>
  </si>
  <si>
    <t>Ciria, Mariano</t>
  </si>
  <si>
    <t>Mariano Ciria</t>
  </si>
  <si>
    <t>Fe­ lipe Perena.— D. Martin Garay.— D. Valentín Solanot.— D. Ra­ món Gayan. — D. Gerónimo Castillon. — D. Antonio Laspuertas.— D. Narciso Laclara. — D. Mariano Ciria. — D. José Pons. — D. Antonid' Buil. — D. Pedro Blecüa. — D. Salvador Puycercus. — D. Mariano Baguena.— Condado de Plasencia.— Baronía de' Gurrea.— Marques de Do…</t>
  </si>
  <si>
    <t>Cirios</t>
  </si>
  <si>
    <t>, y proveer las vacantes, REINO DE ITALIA. se preparaba rodo lo necesario para la im­ portante operación del paso del Danubio. Milán 7(3" de mayo. Ei príncipe Cirios , arrojado después El 26 de abril los austríacos pasaron el de la batalla de Eckmühl al otro lado del</t>
  </si>
  <si>
    <t>migo y. verificado, se-batía.completamente haciéndolas rechazar repeti­ das veces.: recomiendo, particularmente á V. E. al coronel del mismp,£ucr. po D. Cirios.Carabantes ,quien,dirigió,.con,é\..mayor;acierto Jas salidas y -.¡entradas ..dejas,expresadas, guerrillas.yul. córpnH, í). 'Antonio Calbache,.es­ pitan del mismo por .…</t>
  </si>
  <si>
    <t>dministradores dado por. ercrito; y cotí con la plausible noticia de haberse unido el CSte;informe y los dates que lo justifiquen* archiduque Juan al príncipe Cirios, y ha­ se presentará á la aprobación del ministro ber tenido el 29 de julio pasado una San* de Hacienda. gríenra acción, en Ja que fueron derrota­ V. La junta de…</t>
  </si>
  <si>
    <t>do Gómez de Teran Negrete, enviado legio de médicos, médico y cirujano hono­ extraordinario de España cerca de S. M. el rario de cámara del señor Rei D. Cirios ir, Reí de Holanda, y S. E. el marques de doctor en cirugía-médica, y více-director Bendaña, grande de España, y gentilhom­ del referido real colegio de S. Carlos.—. b…</t>
  </si>
  <si>
    <t>to Real Extrangero. , to núm. i." infantería de línea. Traxler (D. Jorge) , coronel de infantería. Leonard (D. Carlos), capitán del regi­ T’Serclaes (D. Cirios), coronel de infan­ miento núm. i.° brigada Irlandesa. tería. Makaruff (Ignacio ) , sargento del regimien­ Veugoa (D. Domingo), gefe de división to Real Extrangero. ..…</t>
  </si>
  <si>
    <t>Estado. ■&gt; .. Mora y Lomas (DJ Pedro), consejero de ART. n. Nuestros gran canciller y gran •Estado. ' tesorero de la Orden quedan encargados de Morí (D. Cirios ) , teniente general1 de la exícocion del presente decreto. =s Firma­ nuestros reales exércitos. dos YO EL REI. == Por S. M. el gran Muzquiz (marques D. Ignacio), cons…</t>
  </si>
  <si>
    <t>Ciriza, Diego Maria</t>
  </si>
  <si>
    <t>Diego Maria Ciriza</t>
  </si>
  <si>
    <t>31 de maye, En las referidas cortes de Madrid del año ha sido nombrado proto-médico del reino 15 j j se propusieron varios arbitrios para de Navarra D. Diego Maria Ciriza, médico atajar ó minorar este mal; pero no se acer­ de la ciudad de Pamplona. tó con el remedio verdadero y oportuno, pues se dexó en todo su vigor la prohi…</t>
  </si>
  <si>
    <t>Cisne, Domingo Francisco</t>
  </si>
  <si>
    <t>Domingo Francisco Cisne</t>
  </si>
  <si>
    <t>30 de noviembre de 1809</t>
  </si>
  <si>
    <t>Gaceta de Madrid n.º 335</t>
  </si>
  <si>
    <t>servidero El coronel Lapairolerie se dirigió en se­ de la villa de Bonilla , en la misma diócesi guida hacia Campo y Bonansa; llegó el 18 de Avila, á D. Domingo Francisco Cisne- á la villa de Calvera , enyas montañas en­ ros , presbítero ex-trinitario calzado; y pa­ contró ocupadas por los insurgentes; pero á ra otro benefici…</t>
  </si>
  <si>
    <t>Cisternes, Manuel</t>
  </si>
  <si>
    <t>Manuel Cisternes</t>
  </si>
  <si>
    <t>23 de noviembre de 1809</t>
  </si>
  <si>
    <t>Gazeta del Gobierno n.º 49 · 2.ª serie</t>
  </si>
  <si>
    <t>ridas por el esquadron de lanceros de Utre­ ra, que fué enviado desde la vanguardia^con este obgeto : y por último hice marchar á to.do el cuerpo .de D. Manuel Cisternes por el mismo camino. — Entretanto seguía yo la marcha con direc­ ción á Madridejos con la coluna del centro, y se dirigía á Camu­ ñas la de la derecha. Por t…</t>
  </si>
  <si>
    <t>Ciutfila, Josef</t>
  </si>
  <si>
    <t>Josef Ciutfila</t>
  </si>
  <si>
    <t>Queri. En­ tretanto !ss guerrilla»' de- estos cuerpos cón lks db Géroas, Es­ colares- “dé .León , y una partida de caballería al rosado áéi Teniente D. Josef Ciutfila afrailaron á lo» enemigos por -todas paites’ hasta encerrarles en ía plaza- de armas 4*e i» Casa Füéftel En está primera operación tuvimos; algunos he•" áridos*…</t>
  </si>
  <si>
    <t>Cla, Cristóbal</t>
  </si>
  <si>
    <t>Cristóbal Cla</t>
  </si>
  <si>
    <t>acionales y ceremonias públicas, la gefcs de división D. Josef María Lanz , Don estadística del reino , la agricultura y eco­ Francisco Antonio Zea y D. Cristóbal Cla- nomía rnral, los mercados y ferias &amp;c.; y dera. en ñn ; quanto tiene relación con las pa­ El gefe de la primera' división D. Josef tentes de descubrimientos, r…</t>
  </si>
  <si>
    <t>Clairfait</t>
  </si>
  <si>
    <t>nde es un coronel austríaco muy distinguido ya en las guerras contra Francia al principio de la revolución, en las quales sirvió baxo las órdenes del general Clairfait.. Qassel 4 de julio.'Lcs austríacos evacuaron á Dresdeel i.° del cortiente , y en seguida el campo de Pirna , sin hacer defensa alguna al paso del Elba. El duq…</t>
  </si>
  <si>
    <t>Clan, Bienvenu</t>
  </si>
  <si>
    <t>Bienvenu Clan</t>
  </si>
  <si>
    <t>Gaceta de Madrid n.º 293</t>
  </si>
  <si>
    <t>iz$4 . art* u. los vales-reales que no-lleven mandante de batallón; y para esta coman­ el sello .-seco, que atestigüe esta revalida­ dancia á D. Bienvenu Clan. En el regi­ ción:, no podrán darse ni admitirse en pago miento de caballería de la guardia Real á ni para fianza por los tribunales ni escriba­ comandante de esquadron…</t>
  </si>
  <si>
    <t>Clanzel</t>
  </si>
  <si>
    <t>atallones, su artillería y bagages. Como tentó rodearle, y ya estaba á punto de lo­ los puentes estaban cortadas tuvimos que grarlo , guando mandé al general Clanzel dar vuelta por todas las lagunas de Otto­ que enviase al general Delzons los tres ba­ chatz. El general Delzons, al frente del 8.° tallones del ii .“ á las órden…</t>
  </si>
  <si>
    <t>Claretona, Susana</t>
  </si>
  <si>
    <t>Susana Claretona</t>
  </si>
  <si>
    <t>Gazeta del Gobierno n.º 20 · 2.ª serie</t>
  </si>
  <si>
    <t>150</t>
  </si>
  <si>
    <t>tusclar!:-” íüstre las heroínas españolas que tanto han contribuido h 1» fiefcíisa de la patria, y al honor de su sexo , merece un lugar dis'tjnguido Doña Susana Claretona,muger de D. Francisco Felónch, el qv.al por sus servicios en las partidas.de somatenes , obtuvo an­ teriormente el grado de subteniente de infantería. Por …</t>
  </si>
  <si>
    <t>Claró</t>
  </si>
  <si>
    <t>sto ha retrocedido á Barcelona muy maltratado* r—, Por la costa de Mstaró 00 hay temor. de que pasen los enemigos, pues les esperan los jugleses y el Comandante Claró*. El General Saint Cyr propone cange de prisioneros, y trata de que se efectúe luego,—Les; franceses estáa enlas inmq»</t>
  </si>
  <si>
    <t>Claró, Juan</t>
  </si>
  <si>
    <t>Juan Claró</t>
  </si>
  <si>
    <t>Gazeta del Gobierno n.º 13 (suplemento)</t>
  </si>
  <si>
    <t>de 4 horas esperando socorros ambas partes ; pero avisados oportunamente por el R-igadier D. Luis 'Wunpfeu., D. Fran­ cisco y D. Ramón de Míians., y 'D. Juan Claró.-» , enviaron primero el tercio de 'Talam mandado por D. Felipe tie Fieyres, y ellos mismos .con la gente de su mando se dirigieron-á la Espluga p3ra cortar al ene…</t>
  </si>
  <si>
    <t>Claros</t>
  </si>
  <si>
    <t>o de Córdoba, hácia el puntó de S. Pe­ dro de Cercada y Clarails,, donde encontré los tercios de miqueletes al man­ do del coronel Miláns, y temer.ua coronel Claros. Había yo dado antes las *</t>
  </si>
  <si>
    <t>Claros, Francisco de Paula</t>
  </si>
  <si>
    <t>Francisco de Paula Claros</t>
  </si>
  <si>
    <t>237</t>
  </si>
  <si>
    <t>ante de ser general el mérito , lo contraxeron par­ ticular algunos individuos : contribuyó á la felicidad de la accioa él ardimiento é intrepidez de D. Francisco de Paula Claros, ma­ yor del tercio de Figueras. Todos los oficiales y distinguidos , que con motivo de las muchas vacantes que hay , lo son interinamen­ te de aque…</t>
  </si>
  <si>
    <t>Clarós, Juan</t>
  </si>
  <si>
    <t>Juan Clarós</t>
  </si>
  <si>
    <t>lles , en donde debía efec­ tuarse la leva en masa del pays. Y como éste tenga la ma­ yor confianza en los Tenientes coroneles D. Ramón de Milarts, y D. Juan Clarós j determinó poner á su cuidado parte de la empresa , á que se ofrecieron gustosos , y aun les añadió por acompañado al Coronel D. Francisco Milans , da quien tant…</t>
  </si>
  <si>
    <t>Claros, Juan</t>
  </si>
  <si>
    <t>Juan Claros</t>
  </si>
  <si>
    <t>omo paisanos , y particularmente al miquelete del tercio de Figaeras que mató al comandante de la división VVestfaliana, se­ gún resulta del parte de D. Juan Claros. P. S. Acaba de saber el Gobierno Supremo que ha entrado en Gerona un segundo convoy. D. Lorenzo Rico , los subtenientes D. José Zanon , D. Juan Aloy , D. Es­ teb…</t>
  </si>
  <si>
    <t>Clausel</t>
  </si>
  <si>
    <t>r hubo también semejantes ocasiones ; y aun hubo de cau­ un combate entre las tropas de Ia.-'*ivisión sarles sentimiento el que se concluyese una del general Clausel, y una vanguardia aus­ función, que ha recordado en Roma muchas tríaca compuesta de 5 á 60 hombres que de las que han dado diferentes Soberanos en desfilaba háci…</t>
  </si>
  <si>
    <t>Clauzel</t>
  </si>
  <si>
    <t>25 de junio de 1809</t>
  </si>
  <si>
    <t>Gaceta de Madrid n.º 176</t>
  </si>
  <si>
    <t>r mientos todos de croatas ó fronterizos; de fortuna ninguna de consideración. Debo estos batallones se encontraron 12 solamen­ igualmente elogiar al general Clauzel, y te en la acción; los demas fueron desta­ hacer particular mención de! general Delcados hácia el Zermagna inferior. zons, que ha influido sobremanera en estos …</t>
  </si>
  <si>
    <t>e halla cortado , y no podrá retirarse siuo el puente de B ilai, y marcharon centra la con mucho trabajo.” di visión Montricnard, que seguia á la del general Clauzel.rAl ¡nsrante di orden al ge­ neral Clauzei de que hiciese que el oencral IMPERIO FRANCES. Deiz ons pasase el rio, que estaba frente de nosotros , con el regimien…</t>
  </si>
  <si>
    <t>yicea , y vino sobresaliente. á formarse delante de nosotros con siete ,,También son mui dignos de elogios el batallones y un crecido número de caño­ general Clauzel, el general Tirlet, coman­ nes , para batir los pasos por donde tenía­ dante de la artiüeria , el coronel Delaure, mos que salir desde Jas montañas á la lla­ gef…</t>
  </si>
  <si>
    <t>Clerac, Josef</t>
  </si>
  <si>
    <t>Josef Clerac</t>
  </si>
  <si>
    <t>quedó en el puente dé Pontevedra para reunirse con una partida de. infantería, del; r, ° de Cataluña , y otra de . caballería mandada por el capitan D. Josef Clerac v,que desdé. la. salida de Caldas &gt; venian '• tiro­ teando y escaramuzeando con* los enemigos.. « Cómo el puente de S. Payo estaba cortado por dos partes^ había y…</t>
  </si>
  <si>
    <t>Clercy, Manuel</t>
  </si>
  <si>
    <t>Manuel Clercy</t>
  </si>
  <si>
    <t>347 en breve su atrevimiento. El subteniente de Borbon D. Manuel Clercy, que mandaba el parapeto de la brecha con 9 granaderos de su cuerpo, y otros tantos soldados del primer tercio de Vique , los desa­ lojó desde luego de toda la muralla con el orden y sereni</t>
  </si>
  <si>
    <t>Clerey, Manuel</t>
  </si>
  <si>
    <t>Manuel Clerey</t>
  </si>
  <si>
    <t>ó y precipitó sobre los enemigos persiguiéndolos hasta sus mismas baterías , habiendo llegado á entrar en las que rod'eairel rebellín, el subteniente D. Manuel Clerey, y en otra dé mor­ teros el soldado del segundó de Barcelona Manuel Nuet, y hu­ bieran clavado las piezas á haber llevado clavos consigo, ó si hu­ biesen-llegad…</t>
  </si>
  <si>
    <t>Clero</t>
  </si>
  <si>
    <t>sa Angulo ( D. Francisco) , ídem. imperial. Anteayer llegaron de París tres Arama (D. Blas), ídem. carros de muebles. Mr. Desmazis, adminis­ Ardanaz (D. Clero ), comandante del bal¡. , trador del guardamuebles de la corona, ha llr.n de infantería ligera núra. i.° visitado tod..s las habitaciones. Se han pues­ Arias ( D. Sanci…</t>
  </si>
  <si>
    <t>Cleto</t>
  </si>
  <si>
    <t>ministerio de Ne.gocios extrangeros. — Amor.ós (D. Francisco) conse ero dé Es¡tado. — Angulo ( D. Francisco ) id. — Aranza ( D. Blas ) id. — Ardanaz (D. Cleto) comandante del batallón de infantería ligera, núm. 1. — Arias (D. Santiago) gobernador interino de San­ tander. — Ariza ( D. Nicolás) ayudante del batallón de in­ fant…</t>
  </si>
  <si>
    <t>CLirfaic</t>
  </si>
  <si>
    <t>s vendrían á sostenérlós.Peta da* y en seguida salió de Amberes para res­ la autoridad legitima ha hecho cjue su'causa tituirse á Viena , adpjide, el general CLirfaic triunfe bien pronto.con las armas-, y por lo- liamó para colocarlo en el número desús premio de sus imposturas no queda á estos edecanes. Desde aquella época si…</t>
  </si>
  <si>
    <t>Clopuicki</t>
  </si>
  <si>
    <t>e acaban de imprimir y participar al público las siguien­ tes noticias. La división enemiga compuesta de 3800 infantes , y 240 caballos, al mando del general Clopuicki r que entró ei 31 del pasado en Culatayudr con el obgeto de envolver _y destruirla del brigadier D. Pedro Villacampa , no habiendo podido conseguir su intento …</t>
  </si>
  <si>
    <t>Clr, Carra-Saint</t>
  </si>
  <si>
    <t>Carra-Saint Clr</t>
  </si>
  <si>
    <t>Gaceta de Madrid n.º 333</t>
  </si>
  <si>
    <t>El- gene­ parre de so nombramiento para la plaza de ral Rivaud manda la primera división de primer lord de la tesorería, manifiesta su S.° cuerpo. El general Carra-Saint-Clr, que mucho sentimiento por no tener las luces y manda la segunda, permanece todavía en los talentos de Mr. Canning, y protesta al Dresde. príncipe que no…</t>
  </si>
  <si>
    <t>Cnavarria, Santiago</t>
  </si>
  <si>
    <t>Santiago Cnavarria</t>
  </si>
  <si>
    <t>5*34 D. Pedro Cortina González. 10.000 El subteniente D. Francisco Iglesias, 1.000 D. Santiago Cnavarria. 3.000 D. Manuel Besanilia Ruiz. 3.000 Las quarenta y ocho partidas que anteceden, componen los 8502 pesos exhibidos por el Real Consulado. El Colegio de San Ildefonso. 10.00a D. Miguel Sox</t>
  </si>
  <si>
    <t>Co, Manuel</t>
  </si>
  <si>
    <t>Manuel Co</t>
  </si>
  <si>
    <t>r fallecimienta de D. Santiago Va­ quero, á D. Joaquín Murua y Euiate , inquisidor en Sevilla : y pa­ ra otra que vacó en dicha iglesia por muerte de D. Manuel Co­ llazo Malvar , k D. Alonso San Martin , racionero de la misma: -para la canongia vacante-en la catedral de Valencia por falleci­ miento de 1&gt;. Ramón de Lrra, á D. …</t>
  </si>
  <si>
    <t>Co-Administrador</t>
  </si>
  <si>
    <t>r Marques del Villar. *’’................. ^Exc. Señor. Navarra.................... ^r}ot Gatlos, ^matria‘ \ Exc. Señor D. Miguel Balanza. Exc. Señor Arzobispo Co-Administrador de Sevilla. Exc. Señor Conde de Tilly. _ , , f Exc. Señor D. Pedro Rivero. Toledo.......*......... ****|íExc. Señor D. Josef García de la Torre. f* Ex…</t>
  </si>
  <si>
    <t>Exc. Señor D. Pedro Rivero. Exc. Señor Conde de Contamina. *% Exc. Señor Marques del VilleL. SECCION DE GRACIA Y JUSTICIA* Exc. Señor Arzobispo Co-Administrador de Sevilla. Exc. Señor D. Rodrigo Riquelme* Exc, Señor D. Francisco Xavier Caro. Exc. Señor D. Gaspar Melchor de J^veüanos. SECCION DE GUERRA* Exc. Señor Marque* de C…</t>
  </si>
  <si>
    <t>Cobian, Juan Antonio</t>
  </si>
  <si>
    <t>Juan Antonio Cobian</t>
  </si>
  <si>
    <t>? 3Z D. Juan Antonio Cobian. C. 25.00a D. Antonio Velasco de la Torre. C. 4.000 El caballero D. Tomás Domingo de Acha. C. 1 j 0.000 D. Eusebia García. C, 10.000 D. Roque Valiente. C. 25.000 El Sr. administrador princi</t>
  </si>
  <si>
    <t>Cobos, Juan Antonio</t>
  </si>
  <si>
    <t>Juan Antonio Cobos</t>
  </si>
  <si>
    <t>dices á Simón Serrano, á Juan Díaz, y á Santiago y ediciones. Malacuera como agregado ; por maestro Pasando por las diferentes salas en que herrero á D. Juan Antonio Cobos ; por ayu­ había algunos sugetos leyendo , tuvo S. M. dante de Ja herrería á Faustino Sancho; por la bondad de acercarse á ellos, é informar­ maestro torne…</t>
  </si>
  <si>
    <t>Cochrane</t>
  </si>
  <si>
    <t>director general de la administración de »» Las tropas inglesas continúan embarcán­ la guerra, á las órdenes del ministrode este dose- El cuerpo del general Cochrane, que departamento. El proyecto de crear un ia- constaba de 8co hombres al salir de la isla tendenre general, suprimiendo los consejos de Wighr, apenas tiene ahor…</t>
  </si>
  <si>
    <t>Coi, Josef</t>
  </si>
  <si>
    <t>Josef Coi</t>
  </si>
  <si>
    <t>cano del citadc&gt;'f^lbtinirt;-5'’'p!tf&amp; Madrid r¡ de setiembre. „r • la dé alcalde del crímen qqWe?- esto--dáVa á Por decreto de 10 de agosto S. M. ha D. Josef Coi! y Piú.-'S/iMpha' -ñíoMbVá^í* nombrado.i O, Aatonio-Dalron , capitán dé á D.uvLanú&amp;L Fernandez i-Dupatl^aléalvLrcílll caballería de línea , comandante de esqua- cri…</t>
  </si>
  <si>
    <t>Colbert</t>
  </si>
  <si>
    <t>te es digna de un soldado del exército grande, pues en el mismo instante de morir veo cómo huyen los últimos y los eternos enemigos de mi patria.” El general Colbert era un oficial de distinguido mérito. Hai dos caminos desde A torga á Viilafranca. Los ingleses pasaron por el de la derecha, los españoles llevaban el de la izq…</t>
  </si>
  <si>
    <t>Colbért</t>
  </si>
  <si>
    <t>a de infantería de damente hacia Lintz, adonde llegó antes "Badén y dfc la brigada dé caballería ligeta que el general Bellegarde, quien sabiendo del general Colbért, ha ido desde Neüstadt esta contramarcha se retiró cambíen hacia el hacia Brug val Simeringberg , montaña ele­ Danubio. vada , que divide las aguas qtíe corren a…</t>
  </si>
  <si>
    <t>su exército de este mo­ 15 ha sido perseguido vivamente hacia el do: la caballería .óel-general Montbrun, la camino de Comorn y de Pe;t. brigada del general Colbert y la caballería Los habitantes del p.tis están tranquilos, del general Grouchi sobre su derecha: el y no toman partido en !a guerra. La pro­ cuerpo del general Gr…</t>
  </si>
  <si>
    <t>Colé</t>
  </si>
  <si>
    <t>egún los últimos avisos , y marcha­ ron á reunirse con el Lord VVellington. — Hay muchas tropas acampadas en Portsmouth, y ha llegado también allí el general Colé, que va á Portugal; de cuyo exército dicen que se embar­ cará una parte en Lisboa para ir á Cataluña. — Es muy singular él pasarse tanto tiempo sin que sepamos nada…</t>
  </si>
  <si>
    <t>Collado, Torquato</t>
  </si>
  <si>
    <t>Torquato Collado</t>
  </si>
  <si>
    <t>é Mariano Dineo.—D. Joaquin Muñoz, recibidor de Mal­ ta. — Conde de Oñate. — Marquesa de Malpicá. — D. Joaquín de Viliauneta.-- D. Antonio Campagny.— D. Torquato Collado.— Marques de Bellestá.— Conde de Puebla del Maestre.— Marquesa de Pontejos.—D. Bernardo Mozo Rosales.—D. Juan Antonio Quin­ tana.--D. Juan Orni.—Í); Jacinto …</t>
  </si>
  <si>
    <t>Colliogh, Miguel</t>
  </si>
  <si>
    <t>Miguel Colliogh</t>
  </si>
  <si>
    <t>y después quando por la incónstáncia de la fortuna todo yino á ser ad­ versó. Esté oficial llevaba consigo á los Tenientes D. Ma­ nuel de Alcalá , y D. Miguel Colliogh , haciéndose por con­ siguiente todos acreedores á las gracias de S. M. , y muy singularmente él Brigadier D. Tomas O-Donoju , quien, en medio del vivofuego de…</t>
  </si>
  <si>
    <t>Colloredo, Josef</t>
  </si>
  <si>
    <t>Josef Colloredo</t>
  </si>
  <si>
    <t>que este impor­ da en los primeros pasos , ya por la traición tante empleo será confiado al fdd-marisczl de algunos de los conjurados, ya por la co­ conde Josef Colloredo, y que serán nom­ bardía de otros * principalmente por brados vice-presidentes los generales prín­ la escasez ó falta de municiones. Los turcos cipe de .Ros…</t>
  </si>
  <si>
    <t>Colmenares, Alexandro</t>
  </si>
  <si>
    <t>Alexandro Colmenares</t>
  </si>
  <si>
    <t>179</t>
  </si>
  <si>
    <t>se lia for.nado una junta compuesta del coman­ dante de la partida, del corregidor, del gobernador de Alfaro, de un prebendado de Calahorra (I), y de D. Alexandro Colmenares; y por el mismo estilo se van formando otrasjuntas de 40 en 40 lu­ gares , en varios puntes de la provincia de Soria. Teruel 2 de setiembre. La junta sup…</t>
  </si>
  <si>
    <t>Colmenares, Pablo</t>
  </si>
  <si>
    <t>Pablo Colmenares</t>
  </si>
  <si>
    <t>e ha sido en la obser­ necesarios, tomando os de los conventos vancia de S. Francisco, para una canongía suprimidos en esta villa. de la de Tudela: á D. Pablo Colmenares, art. vi. Nuestros ministros de Negó-: coronista general que ha sido de la orden cios eclesiástico:, de lo Interior y de Ha­ de S. Benito , para una canorgía…</t>
  </si>
  <si>
    <t>Colmenarescorregidor, Juan Antonina</t>
  </si>
  <si>
    <t>Juan Antonina Colmenarescorregidor</t>
  </si>
  <si>
    <t>res D. Bal­ tasar Hidalgo de Cisneros, avisa desde Montevideo con fecha de 11 de julio último, que ha sido reconocido por las autoridades de (1) Era. D. Juan Antonina Colmenarescorregidor en comisión de Molina.</t>
  </si>
  <si>
    <t>Coloiribo, Francisco</t>
  </si>
  <si>
    <t>Francisco Coloiribo</t>
  </si>
  <si>
    <t>3fo D. Bernardo González con 2yeo Hombres, y al de la mis­ ma clase del batallón de la Victoria, D. Francisco Coloiribo, con (s00. Pero interesando mas que todo la pron­ ta conquista de Vigo, de común acuerdo pasamos'con es­ tas tropas á, jetar mas fuerza y autoridad á las repetidas intimaciones hechas por D</t>
  </si>
  <si>
    <t>Colomer, Lozano</t>
  </si>
  <si>
    <t>Lozano Colomer</t>
  </si>
  <si>
    <t>de Lérida , vacante por fallecimiento de D. Joaquin Lacambra, á D. Antonio Pastoret, canónigo de Vich : pa­ ra la de Tortosa , vacante por muerte de D. Lozano Colomer, á D. Juan Bautista Cortiella , racionero de la misma: para la.de la metropolitana de Tarragona, vacante por fallecimiento de D. .Josef Urquía , á D. Andrés Seg…</t>
  </si>
  <si>
    <t>Colon</t>
  </si>
  <si>
    <t>113 Estado y del Despacho universal de la real hacienda , D. Colon , Decano del supremo Consejo de ia nación de Esp; . t*. Indias, y D-. Esteban Antonio de Qrelíana , del supremo 11 sejo de guerra y marina. Con el fin de que no se experimente en adelante el</t>
  </si>
  <si>
    <t>Colon, Josef Joaquín</t>
  </si>
  <si>
    <t>Josef Joaquín Colon</t>
  </si>
  <si>
    <t>ta del Con­ sejo Supremo , debiendo componerse por ahora el expre­ sado Tribunal en la forma siguiente, por el orden y anrtiguedad aquí señalada : de D. Josef Joaquín Colon, Deca­ no”, D. Manuel de Lardizabal y Uribe, el Conde del Pi­ llar , D. Francisco Requena , D. Josef Pablo Valiente ¿D. Sebastián de Torres , D. Antonio I…</t>
  </si>
  <si>
    <t>Columhine</t>
  </si>
  <si>
    <t>220</t>
  </si>
  <si>
    <t>dante de Gorea. Habiendo sabido este oficial que la guarnición del Senegal’era muy débil ,1a atacó con 16S hombres, concertán­ dose para ello con .el:capitán Columhine , de la fragata Soiehay.-j Pasaren la barra con pél-dida de una goleta ; y habiéndose replegado iel-enemigo a uüá hatería qüei estaba cerca de 12 mi­ llas mas …</t>
  </si>
  <si>
    <t>Comba, Pedro Francisco</t>
  </si>
  <si>
    <t>Pedro Francisco Comba</t>
  </si>
  <si>
    <t>5 de mayo de 1809</t>
  </si>
  <si>
    <t>Gazeta del Gobierno n.º 24</t>
  </si>
  <si>
    <t>Tribunal del Consulado dé Cá­ diz de D. 'Melchor Nicolás de Truxillo= penden autos de quie­ bra y concursó dé acreedores de la casa titulada Viuda de D. Pedro Francisco Comba y compañía de dicho comercio y por providencia de dicho Tribunal . de 27 de mayo del año ítltimo se mandó emplazar 4 quahtos se considerasen con de­ rec…</t>
  </si>
  <si>
    <t>ComeL, Antonio</t>
  </si>
  <si>
    <t>Antonio ComeL</t>
  </si>
  <si>
    <t>nte de las tropas del sitio. Dios guarde á V. E. muchos años. Campo del Pedrol 2 de se­ tiembre de 1809. — Excmo. Sr.---- Joaquín Blake. — Excmo. Sr. D. Antonio ComeL ______________________ *_____________________ i El informe del general Verdier, que aquí se cita y que trae el monitor de 19 de agosto, se acaba de publicar en …</t>
  </si>
  <si>
    <t>Comel, Antonio</t>
  </si>
  <si>
    <t>Antonio Comel</t>
  </si>
  <si>
    <t>275</t>
  </si>
  <si>
    <t>275 El mismo General en gefe D. Joaquín Blaké ha remitido posterior­ mente al Sr. D. Antonio Comel el parte siguiente relativo á la acción del 14 de setiembre sobre el pueblo y castillo de Bascara (1). "Exento. Sr. = El coronel del regimiento de infantería de Ultonia D. Enrique O-Donell me dice la que sigue. "Exento. Sr.—En l…</t>
  </si>
  <si>
    <t>s gavachos, un soldado de Sarasa vale por 4 de aquellos.— Sarasa.” Sevilla l.° de diciembre. El gobernador de Gerona D. Mariano Alvarez dirige al Sr. D. Antonio Comel, en 4 de noviembre, co­ pia del oficio que remitió con igual fecha al general en xefe D. Joaquín Blake, dándole parte de haber atacado el enemigo la plaza en ia…</t>
  </si>
  <si>
    <t>Cómo, Joaquín</t>
  </si>
  <si>
    <t>Joaquín Cómo</t>
  </si>
  <si>
    <t>Gaceta de Madrid n.º 312</t>
  </si>
  <si>
    <t>ido eléctrico? ¿ La comunicación es por articüi.o 1. «Nombramos intendente conductos subterráneos ó por la atmósfera ? de la^provincia de Santander á D. Joaquín ¿ Cómo se han verificado á un mismo tiem­ de Aldámar, intendente actual de la pro­ po tan grandes fenómenos ? vincia de Extremadura. ^ art- 11. Nuestro ministro de lo…</t>
  </si>
  <si>
    <t>Cómpa</t>
  </si>
  <si>
    <t>óeVaI de división, amenaza con cubrirnos de oprobio sobre gefe del estadp qiiaypr_general, conde del los campos mismos de Marengo y de Ulma. imperio, D. Cómpa^s.* ' Nuestra conducta ha de probar si tienen' r ? - - Stuttgárdt‘‘ti4 de abril. ~ 11 razón para echarnos tales amenazas.-Solda­ ■’^Loís austríacos’ han pasado «intímen…</t>
  </si>
  <si>
    <t>Compani, José</t>
  </si>
  <si>
    <t>José Compani</t>
  </si>
  <si>
    <t>588 ~ nuel Albuerrte. — D. José Palafox. — Condesa viuda de Llerena.— D. José Amarillas.— D. Francisco Xavier Ochoa.—-D. Joaquin Tamayo. — D. José Compani. — Marques de la Romana.— Conde de Cimera. —; D. Eusebio Bardaxi y Azara. — D. Evaris­ to Perez de Castro.— D. Tadeo Francisco Calomarde.— D. Cris­ tóbal de Góngora. — D. J…</t>
  </si>
  <si>
    <t>Con</t>
  </si>
  <si>
    <t>ue el Por­ en disposición de tomar las armas salieron tugal. ( Morning-chronicls.) de la ciudad para defender las trincheras Aguardarnos noticias del coronel Con— que hai al rededor. Las xnugeres y niños greve , que partió el 29 de.-marzo con 12 fueron enviados á S. Juan , pueblo 3 millas buques de transporte llenos de mixtos…</t>
  </si>
  <si>
    <t>rte de unos sogetós tan recomenda­ y 20.® La primera división la manda el ge­ bles y útiles como principales pastores de neral Gilll, y la segunda el general Con- la iglesia, roux. Los generales de brigada empleados Hemos decretado y decretamos lo si­ en este cuerpo son Laurent, Clement, Ja- guiente : copia y Mas so o. articu…</t>
  </si>
  <si>
    <t>Con, José Antonio</t>
  </si>
  <si>
    <t>José Antonio Con</t>
  </si>
  <si>
    <t>to Foronda, D. Santiago Torres, D. Joaquín Cifuentes, D. Antonio Tejada, D. José María Carnerero y D. Ma­ nuel.García Suelto oficiales segundos ; y á D. José Antonio Con­ de archivero y ■bibliotecario. Por decreto del citado dia ha nombrado en el ministerio de justicia á D. Alonso Tovar y Ximenez y D. Antonio Benito xefes de …</t>
  </si>
  <si>
    <t>Concluye</t>
  </si>
  <si>
    <t>Gaceta de Madrid n.º 13 (suplemento)</t>
  </si>
  <si>
    <t>89</t>
  </si>
  <si>
    <t>89 SUPLEMENTO A LA GAZETA DESMADftíQ __ DEL VIERNES 13 DE ENERO DE l8®9*R|D Concluye la exposición de la situación del imperio francés. . DE LA GUERRA ACTUAL. El Emperador conoció desde luego este peligro con su gran talento y prudencia; y aunque llamaban su atención las dificultades de la guerra con­ tinental »no cesó de</t>
  </si>
  <si>
    <t>Conde</t>
  </si>
  <si>
    <t>s 0 T A 1. 79 1 ' ’ ■* : Crl¡estoma Peñ aiver , d Conde de $ta. Matía de Loreto: * y D, Ton:i:hi de ia Cru z Mu ¡ faz, ne ral de esta Ch".dad, dipí­liados del lento de ella para la rea 0 ’eecion de oara soeorro de los exéreiites eo&gt; Napoleón , y los Fr</t>
  </si>
  <si>
    <t>Conde, Antonio</t>
  </si>
  <si>
    <t>Antonio Conde</t>
  </si>
  <si>
    <t>437</t>
  </si>
  <si>
    <t>ía de la Reyna: al sargento mayor del quarteí ge­ neral D. Antonio Hernández Pont ; y á los agregados á mi estado mayor el coronel D. Ramón Martínez, D. Antonio Conde, capitán ¿el provincial de Valladolii,y á D. Juan Gómez, teniente del batallón de Fernando Vil. Asimismo recomiendo á los capitanes del batallón del general, el…</t>
  </si>
  <si>
    <t>Conde, García</t>
  </si>
  <si>
    <t>García Conde</t>
  </si>
  <si>
    <t>e mantuvo en incertidumbre í los enemigos. No pue­ do dar á V. E. noticia circunstanciada de esta operación , porque todavía no he recibido parte del general García Conde , que en­ tró en la .plaza con toda la división que escoltaba el convoy ; y saldrá desando en ella la tropa que el gobernador creyese nece­ saria para refue…</t>
  </si>
  <si>
    <t>272</t>
  </si>
  <si>
    <t>tenían á su frente, y les llamaron cen oportunidad la atención por aquella parte.” "Entretanto 4c) hombres de infantería y 500 caballos al mando del general García Conde escoltaban un numeroso convoy compuesto de 1500 á 2000 acémilas, y saliendo de Amer pasaron el Ter, dirigien­ do su marcha por la orilla derecha de dicho rio…</t>
  </si>
  <si>
    <t>4© hombres nidos pór tres esquadrones de dragones. de infantería enemiga con j00 caballos, £ Todas estas órdenes han sido executadas las órdenes del general García Conde, es­ puntualmente, y el enemigo ha sido arro­ coltando un convoí de ijoo muías, diri­ jado de todas sus posiciones en la mas coinf gieron su marcha hacia la …</t>
  </si>
  <si>
    <t>Conde, Jayme García</t>
  </si>
  <si>
    <t>Jayme García Conde</t>
  </si>
  <si>
    <t>100</t>
  </si>
  <si>
    <t>exército español? Sevilla 11 de setiembre. Sabemos de oficio la noticia satisfac­ toria de que una división del exército del :Sr. Bláke , mandada por D. Jayme García Conde, ha logrado romper la línea enemiga , y entrar en Gerona con artículos de subsistencia y defen­ sa para aquella invicta ciudad. i El movimiento generoso de…</t>
  </si>
  <si>
    <t>iaros. Expresan las operaciones de sus tropas y de las del Dr. Rovira para distraer al enemigo, mientras en Gerona entraba de refuerzo la división de D. Jayme García Conde el dia l.° del corriente. “Excmo. Sr. — En cumplimiento de lo mandado por V. E. me puse en marcha con mi división el dia 31 del próximo pasado mes á las 3 …</t>
  </si>
  <si>
    <t>Conegiiano, Je</t>
  </si>
  <si>
    <t>Je Conegiiano</t>
  </si>
  <si>
    <t>tro servicio de 18 millones de ducados , pa­ aprecio y la consideración con que soi Scc. gaderos en seis años, para satisfacer el prin­ En el quartel general Je Conegiiano á cipal y los réditos del censo de 7.200© 17 de abril de 1S09. = Firmado , Juan, ducados, que el reino había fundado so­ archique de Austria. bre sí para p…</t>
  </si>
  <si>
    <t>Conesa, Mariano</t>
  </si>
  <si>
    <t>Mariano Conesa</t>
  </si>
  <si>
    <t>324</t>
  </si>
  <si>
    <t>, el duque de¥:íllahermosa, el marques deiFuerite^ Olivar, él barón de Purroi, Mariano Domínguez, D. Joaquín Ignacio Escala, Miguel^Doíz, secretario, D. Mariano Conesa, D. Manuel Forces, se ha presentado el 20 de febrero, á las 4 de. la tarde, en el quartel general de S. E. monseñor el mariscal du­ que de Mohtehello para ofre…</t>
  </si>
  <si>
    <t>Congreve</t>
  </si>
  <si>
    <t>18 de agosto de 1809</t>
  </si>
  <si>
    <t>Gaceta de Madrid n.º 231</t>
  </si>
  <si>
    <t>­ costas del enemigo solamente para ser es­ blado sus fuerzas desde que estaba .en, Rapectadores de los cohetes incendiarios del, tisbona. - • 1 . ♦. coronel Congreve; pero al menos la patria La casa de Austria ño ha podido hacer no estaría privada de su socorro, ni tendría estos esfuerzos rnas que una sola vez , y soo que ll…</t>
  </si>
  <si>
    <t>Conroux</t>
  </si>
  <si>
    <t>n el Moravia y parte de la Hungría. Es cierto brazo grande del Danubio 1500 voltea­ que esta posición no cubría á Viena , y-que dores mandados por el general Conroux. *</t>
  </si>
  <si>
    <t>Cons</t>
  </si>
  <si>
    <t>se hallen en terrrito- nia de Buda, y los pliegos escritos en latín, rio otomano. que conducía , dan á conocer bien clara­ Parece cierto que el gran duque Cons­ mente el efecto que ha producido la batalla tantino tomará el mando en gefe del ex¿r- de Raab. cito ruso que avanza hicia Turquía. El enemigo innnda el país con rumor…</t>
  </si>
  <si>
    <t>diversas funciones, para las qua— por la paz. Veinte y cinco “mil hombres, Ies es indispensable dar pruebas de idonei­ mandados por S. A. I. el gran duque Cons­ dad. Pero gracias á la vigilancia y esmero tantino, se habian puesto sobre las armas. paternal de nuestro Soberano , tenemos en El Emperador fue á caballo á la iglesi…</t>
  </si>
  <si>
    <t>Cons, ZesarowLtch</t>
  </si>
  <si>
    <t>ZesarowLtch Cons</t>
  </si>
  <si>
    <t>dro el Grande. Las tropas parages en que habite S. M. asistieron i esta ceremonia, y ¡as mandaba Varios buques suecos han llegado ya S. A. I. el gran duque ZesarowLtch Cons­ desde Estockolmo á Cronstadt después que tantino Pawlowitsch.” ha sido firmada la paz entre Suecia y Rusia. El dia 27 se celebró aquí con gran so­ SUECIA…</t>
  </si>
  <si>
    <t>Constan</t>
  </si>
  <si>
    <t>Gazeta del Gobierno n.º 17</t>
  </si>
  <si>
    <t>fecha de 9 de febrero se ha recibido en Yietaa. -la noticia siguiente, de-la corte de Rusia: U_rt oficial ruso que. iba determinado 1, á. asesinar al príncipe Constan­ tino en\ su propio palacio, descargó el golpe,, por equi­ vocación, en un. ^ayudante, de dicho Príncipe, de que mu­ rió á pocos minutos. La causa, de haber. in…</t>
  </si>
  <si>
    <t>Constantino</t>
  </si>
  <si>
    <t>os de los príncipes Guillermo y Augusto. S. M. I. habia ido á recibirlos á la quinta del señor consejero Bergier. El Emperador, el Rei de Prusia y el príncipe Constantino entraron á caballo delante de la Reina, que venia en una carroza tirada por 8 caballos. Treinta mil hombres de infantería y caballería habia sobre las armas…</t>
  </si>
  <si>
    <t>373</t>
  </si>
  <si>
    <t>te exército en el norte de la Finlandia. Este año de la familia imperial mas que el Em­ parte prueba la situación deplorable en que perador y el gran duque Constantino: el se encontraban nuestras tropas al tiempo frió era tan grande, que á muchos de los que se retiraron de aquella provincia. Dice soldados que estaban formados…</t>
  </si>
  <si>
    <t>; y opinión contraria de aquel pays hácia los franceses. Se­ ria muy interesante ^averiguar si el adicto á Napoleón es Atexaadro y sus ministros ó el Príncipe Constantino,,pnsa</t>
  </si>
  <si>
    <t>regresará á Pe- ha ratificado el armisticio ajustado por el tersburgo el 6 del mes próximo. general Knorring, y que se aguarda ya en S. A. I. el gran duque Constantino va á Estockobno un embaXidor ruso. En su á hacer tina visita de inspección en las pro­ consecuencia nuestra corte ha despachado vincias polacas. para Nurwega a…</t>
  </si>
  <si>
    <t>6 de junio de 1809</t>
  </si>
  <si>
    <t>Gaceta de Madrid n.º 157</t>
  </si>
  <si>
    <t>abrieron los teatros. mismos para robar las propiedades de los Las cartas de Alemania refieren qne el ciudadanos pacíficos. Estos deben* apoyar gran duque Constantino va á tomar el man­ las providencias qne el gobernador no cesa do del exército ruso que ha entrado en de tomar para la seguridad general. = El Turquía. general d…</t>
  </si>
  <si>
    <t>1859</t>
  </si>
  <si>
    <t>va de Petersburgo SUECIA. al quartel general, acaba de darnos la no­ ticia que S. M. el Emperador de Tí usía y Estockolmo 8 de mayo. S. A. I. el gran duque Constantino han sa­ El dia 6 ha ocurrido aquí un suceso lido el 2} de mayo de Petersburgo para ir bien singular. Un sugeto particular de la á ponerse á la cabeza de los ej…</t>
  </si>
  <si>
    <t>as di­ sensiones entre algunos bax'aes pueden perjudicar á la existencia del imperio de la media luna. — Ha salido incierta la noticia de que el gran duque Constantino hubiese ido á mandar el exército que suponen marcha á Constantinopla., Tampoco, se han confir­ mado-los. rumores de que el general Buxhovvden tomaría el mis­ m…</t>
  </si>
  <si>
    <t>exandro se preparaba para su víage a la Gaiiitzia , y que dei Mie­ mos esperar grandes sucesos luego que llegue al exército, irá acompasa io dei gran duque Constantino, y de una comitiva muy numerosa. Las gazetas de Madrid nos hablan de los pequeños viag.es que hace el rey José co;i el obgeto de recibir homenago de sus vasall…</t>
  </si>
  <si>
    <t>etersburgo 2 S de agosto. príncipe Pedro Wassielwick-Lapuchín y S. M. el Emperador ha manifestado á dos miembros que esten actualmente en S. A. I. el príncipe Constantino y á todos exercicio. Uno de estos, á s^ber , el conse­ Jos generáis y comandantes de los cuerpos jero de Estado Sonauski dirigirá tambiar» lo satisfecho que…</t>
  </si>
  <si>
    <t>taleza de S. Redro y S. Pablo. Ayer se celebró en la iglesia de Isaac una solemne fiesta en acción de gracias : 2 o el hombres á las órdenes del gran duque Constantino estaban sobre las armas. El emperador se presentó en la iglesia y por todas partes resonaban las aclamaciones. Las dos em­ peratrices , la familia imperial y l…</t>
  </si>
  <si>
    <t>Gaceta de Madrid n.º 330</t>
  </si>
  <si>
    <t>bién con El Emperador Napoleón, viendo que el auxilio poderoso de la Rusia, la qual, el gabinete austríaco persistía en su siste­ decían , enviaba al príncipe Constantino coa ma hostil, tomó las medidas necesarias pa­ un exército formidable para socorrer al ra cuidar de la seguridad de sus aliados, y Austria, en cuyo favor se…</t>
  </si>
  <si>
    <t>e oficio que acaba de publicarse en Estockolmo, la guerra con­ Petersburgo 7 t/r octubre. tra la Rusia ha costado á la Suecia , des­ S. A. I. el grao duque Constantino sa­ de primeros del año de 1808 hasta el lió ayer de esta capital para T wer, con el mes de mayo de 1809, 14-2193 f 4 rixdafin de hacer una visita á su augusta…</t>
  </si>
  <si>
    <t>Constantinq</t>
  </si>
  <si>
    <t>vino-acompañando. En bid de parte del Emperador y de la Em­ Strelna , que es una casa de campo del gran peratriz un servicio precioso de cristal pu­ duque Constantinq. furrQO recibidosjior el lido. trabajado en Petersburgo, diferentes mayordomo del palacio, donde SS. MM. vasos de porcelana , un trage magnifico , y pasaron la …</t>
  </si>
  <si>
    <t>Coote</t>
  </si>
  <si>
    <t>84</t>
  </si>
  <si>
    <t>podrá cortar su retirada á Fiesinga. El princi­ pal ataque contra la isla deWalcheren será executado por las divisiones de Portsmouth mandadas por el general Coote. Dexaremos para otra ocasión el indicar los principales puntos contra los quaies se han de dirigir los mayores esfuerzos. Las lanchas, cañoneras deben ir precedida…</t>
  </si>
  <si>
    <t>Corbalan, Pedro de Mora y Lo Joaquín</t>
  </si>
  <si>
    <t>Pedro de Mora y Lo Joaquín Corbalan</t>
  </si>
  <si>
    <t>y de tas Indias. la de línea núm. t.°, está nombrado mayor ,.Hemos nombrado y nombramos conse­ del mismo cnerpo en reemplazo de Don jero de Estado á D. Pedro de Mora y Lo­ Joaquín Corbalan. &lt; mas , corregidor de Madrid. El señor Baud , teniente, está nombra­ Nuestros ministros secretan* de Esta­ do capitán del regimiento de i…</t>
  </si>
  <si>
    <t>Cornago, Francisco Xavier</t>
  </si>
  <si>
    <t>Francisco Xavier Cornago</t>
  </si>
  <si>
    <t>siguiente será recitada al fin de los oficio* milo Arroyo oficiales"p^iS*eros delr mismo divinos en todas las iglesias católicas de los ministerio; á D. Francisco Xavier Cornago estados romanos: Domine} salvan* fac nos- archivero del propio ministerio *, y por ofitrum Imperatorcm tfapoleónem. - • diales segurirlos-á D.-Tm&amp;as …</t>
  </si>
  <si>
    <t>230</t>
  </si>
  <si>
    <t>l Castillo xefes de división en el ministerio de- guerra ; á D. José Perez de Nueros y D. Camilo Arroyo ofi­ ciales primeros del mismo ministerio ; á D. Francisco Xavier Cornago archivero del propio ministerio; y por oficiales segundos ¿ I&gt;. Tomós Uson, D. Pedro Pichardo, D. Santiago Curet, D. Pe­ dro Dubrenil y D, Manuel Vic…</t>
  </si>
  <si>
    <t>Cornei, Antonio</t>
  </si>
  <si>
    <t>Antonio Cornei</t>
  </si>
  <si>
    <t>z mayor resistencia. Dios guarde á V. E. muehos anos. Peraleda de Garbín 22 de noviembre de 1809. Excmo. Sr. —- El duque de Alburquerque. Exorno. Sr. D. Antonio Cornei.” DOCUMENTOS QUE ACOMPAÑAN, Núm. i.°: Parte del coronel D. José Lardizabal. “Un rápido movimiento de las tropas de mi mando ha sorprehendido al enemigo: como a…</t>
  </si>
  <si>
    <t>Cornel, Antonia</t>
  </si>
  <si>
    <t>Antonia Cornel</t>
  </si>
  <si>
    <t>eutó, sin dar lugar á que acudiesen al socorro los destacamentos que había en pueblos no muy dis­ tantes. =7 Excmo» Su z=iJoaquín Blake. tzrExcmo. Su D. Antonia Cornel* El General del exército de la Carolina ha remitido el par* te dado por el mariscal de campo D. Pedro Grimarest, en que le dice con fecha de 24 de mayo lo sigu…</t>
  </si>
  <si>
    <t>Cornel, Antonio</t>
  </si>
  <si>
    <t>Antonio Cornel</t>
  </si>
  <si>
    <t>4 de enero de 1809</t>
  </si>
  <si>
    <t>Gazeta Ministerial de Sevilla n.º 63 (extraordinaria)</t>
  </si>
  <si>
    <t>Esta Junta Suprema con fecha de 3. del que corre lia mandado publicar $1 edicto siguiente: El Señor D. Antonio Cornel, ministro de la guerra, en papel de .28. del corriente dice á esta Suprema Junta lo que sigue, tf Excmo. Sr. El Rey nuestro Sr. D. Fernando VIL, y en su Real nombre la Junta Central Suprema</t>
  </si>
  <si>
    <t>Gazeta del Gobierno n.º 1</t>
  </si>
  <si>
    <t>el candor é ingenuidad que siem­ pre ío he «xecutado. Dios guarde áW. E, muchos años. Madrid 7 de Diciembre de 1808. Exmo. Sr. "Tornas de Moría. Sr. D. Antonio Cornel. Gon licencia en la imprenta de da Calle de la^ Mar.</t>
  </si>
  <si>
    <t>5o8 elevarlo á la de S. M.ss Escoto* Sr.rrr Joaquín Blake. =Ex:mo«, Sr. D. Antonio Cornel. El mismo General en si del mismo mayo dice lo que signe* ,, Esc.iio. ¿r=^Tardé algunos días en recibir los detallen dát 0cberca¿or interino de Meqqir.eijza sobre la quema déi puen­ te vola</t>
  </si>
  <si>
    <t>varlo i la noticia de S. M. Dios guarde á V. E. muchos anos. Quartel general de Cuspe 30 de mayo de 1809. m Excmo. &amp;r.=z Joaquín BL¡ke, =3 Excmo. Sr. D. Antonio Cornel.” Con fecha de 29 del mismo remite el propio General la copia del parte siguiente. „ Excmo. Sr. zr Ni puedo ménos de elevar á noticia de V. E. el enfusiasmo , …</t>
  </si>
  <si>
    <t>Gazeta del Gobierno n.º 41 (extraordinaria)</t>
  </si>
  <si>
    <t>66</t>
  </si>
  <si>
    <t>han- huido , sin teñera quien echar la culpa. Dios guarde á V. E. machos año3. Xerta 2 2 dé junio dé 2 8 09.=Exc rao» Sr,=Joaquín Blake. = Exorno. Sr.D. Antonio&lt; Cornel.” ■■ ■■■ i Con tanta indignación como sentimiento ha visro lá Junta Suprema esta relación verídica y lastimosa. Tenia, fundadas esperanzas de que un exército …</t>
  </si>
  <si>
    <t>683</t>
  </si>
  <si>
    <t>683 Con fecha de i. ® de este mes ha dirigido el Teaiente General D. Francisco Ve liega» al Sr. D. Antonio Cornel el oficio siguiente.. , „ Tengo el honor de trasladar á V. E. el parte quede la acción de Torralba me ha dedo el coronel IX Luis Lacy , que es á la letra cc mo signe.. = Excmo.. Sr. =• ,, El primer ensayo del</t>
  </si>
  <si>
    <t>14 de agosto de 1809</t>
  </si>
  <si>
    <t>Gazeta del Gobierno n.º 5 · 2.ª serie (extraordinaria)</t>
  </si>
  <si>
    <t>rra con el exército. Dios guarde á V. E. muchos años. Quartel general de Camuñas 11 de agosto de iSoq. = Excmo. Sr. = Francisco Venegas. = Excmo. Sr. D. Antonio Cornel. SEVILLA : EN LA IMPRENTA REAL.</t>
  </si>
  <si>
    <t>818</t>
  </si>
  <si>
    <t>e la empresa. Dios., &amp;c. (Se concluirá), * Sevilla 24 de Setiembre.—Con fecha de 13 del corriente se ha comunica­ do á quienes corresponde por el Sr. D. Antonio Cornel, la real orden si­ guiente. r= trHe dado cuenta al rey nuestro señor D. Fernando VII, y ea su real nombre á la Junta central suprema de gobierno del reyno , de…</t>
  </si>
  <si>
    <t>ian reducidos después dé tres meses .y.quatro días de sitio. Sevilla A, de ocluiré.; El general en xefe del exército de Cata­ luña ha dirigido al Sr. D. Antonio Cornel con fecha.de 9 del mes próximo, el siguiente parte quede;ha dado el teniente coronel D. Agustín Arnauda. — “ Excmo. Sr,.— Con fecha dé 4 del cor­ riente me di.…</t>
  </si>
  <si>
    <t>260</t>
  </si>
  <si>
    <t>levarlo k, noticia de S» M. — Dios guarde á V. E* muchos anos.Quartel general de G'lot 9 de setiembre de 1S09.— Excmo* St.-^Joaqum Blake.— Excmo, Sr. D. Antonio Cornel.” S. M. se ha servido conceder desde luego el gradó inmediato ál teniente coronel D. Agustín Arnauda , como también á los ofi­ ciales y capitanes de los somate…</t>
  </si>
  <si>
    <t>ovira, Claros y Llandén.=Dios guarde á V. E. muchos años. Quartel general de Olot 13 de setiembre de 1809. — Excmo. Sr. = Joaquín Blake. — Excmo. Sr. D. Antonio Cornel.” Extracto del parte del coronel O-Donell. "Con mi división compuesta del primero y segundo batallón del segundo regimiento de Saboya á las órdenes de su tenie…</t>
  </si>
  <si>
    <t>á la noticia de S. M. Dios guarde á V.. E. muchos años. Quariel general de Olor 18 de setiembre de 1809. =: Excmo. Sr. —Joaquín Piar. e. — Excmo. Sr. D. Antonio Cornel.” S. M. en premio de las dos referidas acciones ha tenido á bien con­ ferir el ascenso á brigadier al coronel del regimiento de infantería de Ultonia D. Enriqu…</t>
  </si>
  <si>
    <t>uarde á V. E. muchos años. Quartel general ea las alturas de Tamames 18 de octubre de 1809.— Excmo. Sr. ■— El duque del Parque Castrillo.— Excmo. Sr. D. Antonio Cornel. SEVILLA : EN LA IMPRENTA REAL,</t>
  </si>
  <si>
    <t>Gazeta del Gobierno n.º 49 · 2.ª serie (extraordinaria)</t>
  </si>
  <si>
    <t>465</t>
  </si>
  <si>
    <t>rácter. Dios guar­ do á V. E. muchos años. Quartel general de Daimiel 20 de noviem­ bre de 1809. =: Excmo. Sr. Juan Carlos de Areizaga. =: Excmo. Sr. D. Antonio Cornel. SEVILLA: EN LA IMPRENTA REAL.</t>
  </si>
  <si>
    <t>do---Dios guarde á V. E. muchos años. Quartel general del Bodon 17 de diciembre de 1809. — Exchio. Sr. — El duque del Par­ que Castrillo.— Excmo. Sr. D. Antonio Cornel.”</t>
  </si>
  <si>
    <t>Cornide, Antonio</t>
  </si>
  <si>
    <t>Antonio Cornide</t>
  </si>
  <si>
    <t>unal. ,, Jesucristo le dio un grado de santifica­ Por decretos del mismo dia ha venido ción que no tenia, elevándolo á la dignidad S. M. en nombrar á D. Antonio Cornide de sacramento, por cuya virtud los contra­ teniente de Rei de la plaza-de Pamplona; yentes pudieran recibir una gracia particu-</t>
  </si>
  <si>
    <t>CornoL, Antonio</t>
  </si>
  <si>
    <t>Antonio CornoL</t>
  </si>
  <si>
    <t>ción k esa eor. té. ¿.Dios,, guarde á Vr. E. muchos,años., Cuenca 23 de-agosto de 1S09. -jr E;xcmp..¡Sr. — ELmafques de las .Atalayuelas. —Excmp. Sr. D. Antonio CornoL” -juitta'Sjtpreína de Gobierno delreyeo, en conformidad á -l© resuelto- por real decreto de-17 de en erodé; esteran o, se haservido, determinar, en-nombre (leí…</t>
  </si>
  <si>
    <t>Coro, Marqués de Quintanar</t>
  </si>
  <si>
    <t>Marqués de Quintanar Coro</t>
  </si>
  <si>
    <t>igadier D. Antonio Darcourt, llegó i tan buen tiempo , que ocupando tina posición ventajosa, contribuyó al feliz éxito de este dia« Le acompañaban el Brigadier Marqués de Quintanar Coro­ nel del regimiento provincial fie Segovia , y el Coronel Con­ de de Priegue, Comandante de la columna de granaderos; Los oficiales , sargent…</t>
  </si>
  <si>
    <t>Coronal, Josef</t>
  </si>
  <si>
    <t>Josef Coronal</t>
  </si>
  <si>
    <t>Don do el edificio, deteniéndose particularmente Podro Sepúlveda , á D. Josef Arnedo , á en las piezas del monetario, salas de ma­ D. Josef Muñoz, á D. Josef Coronal, á Don nuscritos y antigüedades, en las de autores Rafael Piañiol, á D. Remigio Vega , á Don clasicos y en las de tipografía , en todas las Pedro León Echevarría…</t>
  </si>
  <si>
    <t>Coronas, Joaquín</t>
  </si>
  <si>
    <t>Joaquín Coronas</t>
  </si>
  <si>
    <t>. Bernardo García , lo rls. para un par de medias. D. Francisco Rodríguez , 12 rls. para un sombrero. D. Juan Josef Vera , 12 rls. para un, sombrero. D. Joaquín Coronas , 10 rls. para un par de media?. D. Josef de Troya , 20 rls. para dos pares de medias. D. Antonio Martin , 20 rls. para dos pares de medias. D. Francisco Garc…</t>
  </si>
  <si>
    <t>Coronas, Juan</t>
  </si>
  <si>
    <t>Juan Coronas</t>
  </si>
  <si>
    <t>el sví3o de que los enemigos se dirigían i esta Villa el día f*° del coirícnte por el camino de Martorell en dos columnas, esta Junta pasó la órdea á D. Juan Coronas , Ca£iun ds la segunda compañía del tercio de Cctdaíu, salbsa á</t>
  </si>
  <si>
    <t>Coroviqui, Bernardo</t>
  </si>
  <si>
    <t>Bernardo Coroviqui</t>
  </si>
  <si>
    <t>el Alegre , 10 rls. para un par de medias. D. Josef García , 70 rls. para 4 mochilas y unas medias» D. Joan Josef Benitea , 60 rls. para .4 mochilas» D. Bernardo Coroviqui , 12 ris. para un sombrero. . D. Pedro de Castilla , 10 rls. para un par de medias» D. J a^uin Sánchez, 40 rls. para dos mochilas y un par de medias» D. Jo…</t>
  </si>
  <si>
    <t>Corral, Luis</t>
  </si>
  <si>
    <t>Luis Corral</t>
  </si>
  <si>
    <t>de Ingenieros , el teniente de voluntarios de la Co­ rona D. Juan Doz, segundo ayudante general de dicha división, ai teniente del mismo real cuerpo D. Luis Corral, ayudante de</t>
  </si>
  <si>
    <t>Corta, Antonio Ignacio</t>
  </si>
  <si>
    <t>Antonio Ignacio Corta</t>
  </si>
  <si>
    <t>n Colon, Deca­ no”, D. Manuel de Lardizabal y Uribe, el Conde del Pi­ llar , D. Francisco Requena , D. Josef Pablo Valiente ¿D. Sebastián de Torres , D. Antonio Ignacio Corta varría y D. Ignacio Martínez de Villela, D. Antonio López .Quinta*na , D. Miguel Alfonso Villagomez , D. Temas Mayan*, T&gt;. Fasq nal Quiles Talón , D. Lu…</t>
  </si>
  <si>
    <t>Corta, Modesto</t>
  </si>
  <si>
    <t>Modesto Corta</t>
  </si>
  <si>
    <t>ño y Oporto, y puede disponer , para ade­ dríguez de Valdtosora , 'corregidor de la lantar sus conquistas, de las fuerzas consi­ viüa de Atienza ,y i D. Modesto Corta— derables que han estado ocupadas en el zan para dos plazas de alcaldes del crimen bloqueo de estas dos plazas. La inesperada de la real audiencia de Zaragoza; …</t>
  </si>
  <si>
    <t>Cortavarría, Manuel</t>
  </si>
  <si>
    <t>Manuel Cortavarría</t>
  </si>
  <si>
    <t>mi mando, en el puente del Arzobispo llenaba las obligaciones de mayor de. órdenes, mis ayudantes de campo el teniente coronel D. Joaquín de Eguía y D. Manuel Cortavarría., te­ niente del .regimiento segundo voluntarios de Madrid, el ayudante. del mayor de. órdenes. D. Pedro Reyes, capitán del provincial de Guadix, y el secre…</t>
  </si>
  <si>
    <t>Cortazar, Francisco</t>
  </si>
  <si>
    <t>Francisco Cortazar</t>
  </si>
  <si>
    <t>des, diócesis de Segovia, para El 30 de agosto S. M. el Emperador una canongía de la catedral de Astorga : á Napoleón salió de Viena, antigua capital D. Francisco Cortazar, medio-racionero de la monarquía austríaca, y fue á Hungría, de la de Segovia, para otra canongía de la en donde ha pasado revista al cuerpo de dicha santa…</t>
  </si>
  <si>
    <t>Cortés, Manuel</t>
  </si>
  <si>
    <t>Manuel Cortés</t>
  </si>
  <si>
    <t>212</t>
  </si>
  <si>
    <t>sino le.expresase mi gratitud haciendo -prcsentA á V- E. su distinguido, valor y entusiasmo, en favor de nuestra causa. Tampoco debo olvidar al joven D. Manuel Cortés, subteniente de vo­ luntarios de España, que coa la mayor actividad y presencia de espíritu comunicó todas las órdenes que se- le dieron en medio de los mayores…</t>
  </si>
  <si>
    <t>Cortés, Mateo</t>
  </si>
  <si>
    <t>Mateo Cortés</t>
  </si>
  <si>
    <t>— Doña" Francisca Siró de Gre. --El marques de Mo­ nasterio y de Paredes. — D. Rafael Costa. — D. José Angel Foncillas. -- D. Andrés Nuñez de Haro.-~ D. Mateo Cortés.— D. Cos­ me Laredo. — D. Francisco López Pelegrin. — D. Salvador Cam­ pillo. — D. Eusebio Ximenez. — D. Pedro Calzan Se ha publicado en Lóndres un quaderno con …</t>
  </si>
  <si>
    <t>Cortes, Ráymundo</t>
  </si>
  <si>
    <t>Ráymundo Cortes</t>
  </si>
  <si>
    <t>yor bizarría , particularizando la sin­ gular conducta, de lps cadetes del batallón de Tarragona D. Josef Monguiot, D. Juan Guaze , D. Ignacio Urtet, D. Ráymundo Cortes , D. Juan Ixar , D. Carlos Salas, y D. Diego Rivagorda , que habiendo salido de guerrilla, escar­ mentaron bien al enemigo ; la del subteniente del mis­ mo cu…</t>
  </si>
  <si>
    <t>Cortiella, Juan Bautista</t>
  </si>
  <si>
    <t>Juan Bautista Cortiella</t>
  </si>
  <si>
    <t>por fallecimiento de D. Joaquin Lacambra, á D. Antonio Pastoret, canónigo de Vich : pa­ ra la de Tortosa , vacante por muerte de D. Lozano Colomer, á D. Juan Bautista Cortiella , racionero de la misma: para la.de la metropolitana de Tarragona, vacante por fallecimiento de D. .Josef Urquía , á D. Andrés Segura, cura párroco en…</t>
  </si>
  <si>
    <t>Cortina, Manuel Diez</t>
  </si>
  <si>
    <t>Manuel Diez Cortina</t>
  </si>
  <si>
    <t>ntonio Estanillo. 2.000 D. José Bernabé lzita. 16.000 D. Pedro Marcos Gutiérrez. 8.000 D, Francisco Almirante. 10.000 D. Juan Manuel Bustillos. 2.000 D. Manuel Diez Cortina. 1.000 D. Francisco y D. Joaquín de la Cortina. 30.000 El capitán D. Diego y D. Juan Manuel de Peredo. 30.000 D. Juan Marcos Rada. 25.000 D. Dionisio Cice…</t>
  </si>
  <si>
    <t>Coruel, Antonio</t>
  </si>
  <si>
    <t>Antonio Coruel</t>
  </si>
  <si>
    <t>va elevarlo á S. M. — Dios-guarde -á Y.. E. muchos años. Campo de Bruñólas^ 22 de octubre de 1809.— Excmo. Sr. — Joaquín Blake. —Exce-' lentísima Sf. D. Antonio Coruel (1).” . i% M¡ ha oido eon mucha, complacenciaId ventaja conseguida porestas partidas de guerrillas sobre la fuerza: de los enemigos ; queda' muy-satisfecho dé …</t>
  </si>
  <si>
    <t>Corvoisier</t>
  </si>
  <si>
    <t>7 de abril de 1809</t>
  </si>
  <si>
    <t>Gazeta del Gobierno n.º 15</t>
  </si>
  <si>
    <t>, después ét haber forzado el paso dé Salamondé, y experimentado por dos veces una vigorosa resistencia en que perdió mucha gen­ te ,, entre ellos el General Corvoisier , y habiéndose; reforza-</t>
  </si>
  <si>
    <t>Cos</t>
  </si>
  <si>
    <t>Siró de Gre. --El marques de Mo­ nasterio y de Paredes. — D. Rafael Costa. — D. José Angel Foncillas. -- D. Andrés Nuñez de Haro.-~ D. Mateo Cortés.— D. Cos­ me Laredo. — D. Francisco López Pelegrin. — D. Salvador Cam­ pillo. — D. Eusebio Ximenez. — D. Pedro Calzan Se ha publicado en Lóndres un quaderno con el título de Sugge…</t>
  </si>
  <si>
    <t>Cosío, Diego</t>
  </si>
  <si>
    <t>Diego Cosío</t>
  </si>
  <si>
    <t>e 5 5® rs. de vn., y honores del consejo al expresado Joven de Sa­ las. Para las cinco plazas que resultan vacantes en la sala de Corte nombra­ mos á D. Diego Cosío, fiscal de la chancillería de Valladolid, á D. Fran­ cisco Remon, D. Manuel Saravia, D. Laureano Jado y D. Domingo Ri­ co Villa de Moros, abogados del colegio de …</t>
  </si>
  <si>
    <t>EI de las Españas?y de las Indias:,hemos decretado y decretamos lo siguiente: ^o ? ■ ARTICULO I. ,,Nombro á. los alcaldes de corte D. Mariano Alonso, D. Diego Cosío, D. Franciscó&gt;Remon, D. ¿ Laureano Jado y D. Domingo Rico de. ^illademoros para jueces de la junta criminal extraordinaria.,, que h^ de co­ nocer de los delitos d…</t>
  </si>
  <si>
    <t>Cosío, María</t>
  </si>
  <si>
    <t>María Cosío</t>
  </si>
  <si>
    <t>20 de abril de 1809</t>
  </si>
  <si>
    <t>Gaceta de Madrid n.º 110 (suplemento)</t>
  </si>
  <si>
    <t>D. León de Sasuperficiales, retasada en 40329 rs., perteneciente á la £asta , teniente corregidor de esta vilia, por la escriba­ .memoria fundada por Doña María Cosío en el conven­ nía de su número, que cxerce L&gt;. Juan Raya, dentro to del Espíritu Santo. Otra en la calle de Sta. Isabel, de 30 dias contados desde el de la publ…</t>
  </si>
  <si>
    <t>Costa, Rafael</t>
  </si>
  <si>
    <t>Rafael Costa</t>
  </si>
  <si>
    <t>José Llanos. — Ei-conde de Montes-claros. — D. Bernardo González Alvarez. — Doña" Francisca Siró de Gre. --El marques de Mo­ nasterio y de Paredes. — D. Rafael Costa. — D. José Angel Foncillas. -- D. Andrés Nuñez de Haro.-~ D. Mateo Cortés.— D. Cos­ me Laredo. — D. Francisco López Pelegrin. — D. Salvador Cam­ pillo. — D. Euse…</t>
  </si>
  <si>
    <t>Cottcn</t>
  </si>
  <si>
    <t>adelantar demasiado, viéndose en consecuen­ cia obligada á retroceder baxo los fuegos de segunda línea , compues­ ta de la brigada de caballería; del general Cottcn, y de un batallón de infantería destacado de la altura por el general Wellesley , luego que observó que se adelantaban los guardias. El general Hovvarth, qUe mand…</t>
  </si>
  <si>
    <t>Cotton</t>
  </si>
  <si>
    <t>de terreno llano. Dicho punto le ocupó el general in­ gles Campbell que mandaba una división de infantería sostenida poir. Ja brigada de dragones del general Cotton, y por algunos otros cuer­ pos de nuestra caballería. Colocado el exército canvinado en esta forma se presentó el ene­ migo en una fuerza considerable , manifesta…</t>
  </si>
  <si>
    <t>Coudras</t>
  </si>
  <si>
    <t>de la resistencia mas obstinada fue desalojado el enemigo de sus posiciones, y per­ seguido largo tiempo. Stralsund 15 de julio. El general francés, barón Coudras, co­ mandante de esta plaza, ha autorizado formalmente el estableci­ miento de una comunicación entre la Suecia y el continente por jnedio de este puerto.</t>
  </si>
  <si>
    <t>Coupigny</t>
  </si>
  <si>
    <t>a á favor suyo; pero si así fuese gqué alabanzas no darian? ¿qué manifiestos no publica­ rían , &amp;c. &amp;c \ El Lord Collingwood participó ayer á nuestro general Coupigny que el exército ingles y siciliano había desembarcado en Salerno en número de i82&gt; hombres. Ya el monitor del 23 anuncia que Murat iba á Roma con sus tropas; y …</t>
  </si>
  <si>
    <t>Couroux</t>
  </si>
  <si>
    <t>os del exército francés, y acogían amistosa­ buques portugueses por traer á bardo mer­ mente á nuestros soldados. caderías inglesas.” {The Times.) El general Couroux atravesó por me­ dio de los arrabales, y el general Tharreau REINO DE ITALIA. se encaminó hácia la exptarada que los di­ Milán ig de mayo. vide de la ciudad. Y a…</t>
  </si>
  <si>
    <t>Cradok</t>
  </si>
  <si>
    <t>26 de enero de 1809</t>
  </si>
  <si>
    <t>Gaceta de Madrid n.º 26</t>
  </si>
  <si>
    <t>reprimir con fir­ meza todo exceso y toda disposición contraria i la prosperidad universal. = Santiago Liniers.’* ' Del jo de diciembre* El teniente general Cradok ha sido nombrado comandante en gefe de todas las fuerzas que tenemos en Portugal, y ha sa­ lido ya para Lisboa á bordo de la fragata Lavinia, acompañado del vizcon…</t>
  </si>
  <si>
    <t>Crawfurd</t>
  </si>
  <si>
    <t>te la retirada, y antes del combate de la Coruña, quedaron muertos dos generales ingleses y tres he­ ridos. En el número de los segundos se cuenta el general Crawfurd. Los in­ gleses han perdido todo lo que compone un exército; generales, artillería, caballos , bagages, municiones y almacenes. Desde el dia 17 al amanecer éram…</t>
  </si>
  <si>
    <t>Crea, Juan</t>
  </si>
  <si>
    <t>Juan Crea</t>
  </si>
  <si>
    <t>afcoya y Suizos de Winopííen , seguidas de 600 hombres de1 Álmeria y de Saboya , con 150 usares españoles^ y de: Granada , mandados la infantería por D. Juan Crea gh y Lacy , coronel de Almeria, y la caballería por D: Miguel de Ibarrola y coronel de usares españoles, emprendieron el ataque. Queriendo todos los granaderos á po…</t>
  </si>
  <si>
    <t>Cris</t>
  </si>
  <si>
    <t>icantes , artesanos y manufactureros. largos plazos, empréstitos hechos por el común. Entiende en todo lo concerniente El gefe de la tercera división D. Cris­ á la división territorial, mudanzas de lími­ tóbal Ciadera quanto tiene relación con el tes , construcción y conservación de cami­ fomento y policía del comercio interi…</t>
  </si>
  <si>
    <t>sé Compani. — Marques de la Romana.— Conde de Cimera. —; D. Eusebio Bardaxi y Azara. — D. Evaris­ to Perez de Castro.— D. Tadeo Francisco Calomarde.— D. Cris­ tóbal de Góngora. — D. Jacobo Parga. — D. Mateo de Mora y Lomas. — Conde de Vaide Paraiso. — Marques de Orieco. — Duque de Abrantes. — Conde de Cervellon. — D. Mauricio…</t>
  </si>
  <si>
    <t>Cristia</t>
  </si>
  <si>
    <t>corros para el Reí de Suecia, y varios pliegos de suma importancia. Copenhague 18 de marzo. En Zelandia reina suma tranquilidad. S. M. ha nombrado al príncipe Cristia­ De tiempo en tiempo se ven llegar algunos no de Hesse comandante general y gefe parlamentarios suecos á Elseneur con la co­ del regimiento de dragones ligeros …</t>
  </si>
  <si>
    <t>104</t>
  </si>
  <si>
    <t>12 de julio. como prisioneros de guerra. No teniendo hijos el Rei Carlos xm se de­ 5. a ,,Todos los almacenes austríacos sea que tenga por sucesor al príncipe Cristia­ quedarán á disposición de los polacos.” no de Augustembnrgo, que manda actual­ El dia 18 se publicó aquí esta agrada­ mente las tropas danesas en Norwega. Pare…</t>
  </si>
  <si>
    <t>Cristiano</t>
  </si>
  <si>
    <t>aderías que vienen por Suecia ha baxaba sabido mucho antes que nosotros la re­ do mucho de algunos dias á esta parte. volución acaecida en Suecia: el príncipe Cristiano hizo partir de Norwega un bus­ Extracto de una carta de Eheneur de 2 r que mui velero, que llevó á S. M. esta im­ de marzo. portante noticia. Ayer han llegado…</t>
  </si>
  <si>
    <t>1065</t>
  </si>
  <si>
    <t>rebeldes para tratar de las providencias pas en las provincias meridionales de la qne es necesario tomar en las circunstancias NorwCga, en lugar del príncipe Cristiano actuales: que. algunos han insinuado que de Augusrenburgo, nombrado gobernador seria prudente entablar ciertas negociacio­ general del reino. nes, y someterse …</t>
  </si>
  <si>
    <t>11 de septiembre de 1809</t>
  </si>
  <si>
    <t>Gaceta de Madrid n.º 255</t>
  </si>
  <si>
    <t>112</t>
  </si>
  <si>
    <t>cia enseña á distinguir la realidad de lo que ,,La comisión ha pensado unánimemen­ solo es aparente , y á apartar lejos de sí los te que S. A. S. el príncipe Cristiano de consejos y sugestiones de los aduladores; Sleswick-Holstein-Sonderbourg-Augusten- que ha llegada á los empleos superiores del bourg rcunia en sí, tanto por …</t>
  </si>
  <si>
    <t>En la sesión del i 4 de julio hizo el rey á la Dieta !a proposi­ ción de elegir por sucesor suyo al príncipe Cristiano de líobtcinAugustemburgo, miembro de una rama huera! de 1?. casa reviran­ te de Dinamarca y comandante de las tropas danesas en Noruega. El 18 se puso en deliberación y adoptó esta propuesta por los es­ tados…</t>
  </si>
  <si>
    <t>Gaceta de Madrid n.º 305</t>
  </si>
  <si>
    <t>permanecer fiel se ha publicado lo siguiente : á sus principios, y de no seguir jamas nin­ guna otra regla en sn conducta, debo yo Carta de S. A. el príncipe Cristiano de sentir amargamente que nuestras esperanzas Sddes'wig- Hoistein - Sunderbourg - Au~ tan fundadas de ver restablecida la paa en gustenbonrg al consejero de Es…</t>
  </si>
  <si>
    <t>Cristóbal</t>
  </si>
  <si>
    <t>tonio Melón y D. Andrés Benito Quintana sion determinada. r gefes de división; á JD, Juan Josef de Az— • El oficial primero D. Camilo Arroyo piroz , D. Cristóbal . Fernandez Cuesca, todo lo concerniente á la organización ’y X). Serapio Saviñac, D. Juan Santa María, gobierno de los regimientos que se van for­ D. Josef Antonio …</t>
  </si>
  <si>
    <t>ntonio) , cabo del núm. i.°, reai. brigada irlandesa. Cifuentes ( D. Pedro) , tesorero general. Félix ( D. Hilario), teniente del mismo re­ Cladera ( D. Cristóbal), gefe de división éa gimiento. el ministerio de lo Interior. Fernandez Moratin (D. Leandro), secre­ Clari (D. Mario), coronel y nuestro edecán. tario de la interpr…</t>
  </si>
  <si>
    <t>esa. — Ciaran (D. Manuel) intendente de León. — Cibat , inspector de sanidad de la guardia real. — Cifúentes ( D. Pedro) tesorero general. — Cladera (D. Cristóbal) xefe de división en el minis­ terio del interior. — Clari (D. Mario) coronel y edecán. — Clari (D. Bienvenido) teniente coronel y escudero. — Clairmont ■Tonnerre ,…</t>
  </si>
  <si>
    <t>Croix, Sainte</t>
  </si>
  <si>
    <t>Sainte Croix</t>
  </si>
  <si>
    <t>nte de 8o toe- ban alli. xas de una foja pieza, y cinco barcas £1 conde Oudlnot cercó el castillo de grandes. Sachsengang, que el enemigo habia forEl coronel Sainte Croix, edecán del tilicado; hizo capitular á yoo hombres que duque de RívoÜ, pa¿ó en barcas á la orilla lo defendían, y cogió en él (2 cañones. izquierda con 2 50…</t>
  </si>
  <si>
    <t>Cronstedt</t>
  </si>
  <si>
    <t>cuerpo de tropas reales suecas cí mas i dar este paso , por haber sabido de las órdenes del mayor general conde de oficio que S. M. I. ha enviado un ministro Cronstedt• plenipotenciario al quartel general del exér­ cito para negociar con el gobierno sueco. Los generales arriba nombrados han con­ Umea 22 de marzo de 1809.= Fir…</t>
  </si>
  <si>
    <t>eridas tropas relevará el 26 las guardia* teresante que la segunda capitulación ajus­ rusas de la ciudad y almacenes, y estos se’ tada entre el mayor general Cronstedt y el entregarán en el mismo dia á las persona* teniente general Barclai de Tolli &gt; después nombradas para este efecto. que este recibid la orden de evacuar á U…</t>
  </si>
  <si>
    <t>antiguo reino. Al presante, que estamos con­ general ruso Ericson ha anunciado , por una vencidos que no podemos continuar por mas carta dirigida ai conde Cronstedt, que es­ tiempo desempeñando nuestras funciones taban ya rotas las negociaciones, y que iban reales para conservar el orden y la tranqui­ á comenzar de nuevo las …</t>
  </si>
  <si>
    <t>Cruchaga, Gregorio</t>
  </si>
  <si>
    <t>Gregorio Cruchaga</t>
  </si>
  <si>
    <t>Ale-* ¿andró Amigot, D. Juan Casao, y los cadetes D. Xavier An­ gel Ros , D, Vicente de Soravilla , D. José María Barricat,D. Pedro Antonio Barrena , D. Gregorio Cruchaga , D. Hi­ lario Marco, D. Cipriano Garde , los sargentos José Manuel Jaurcgui y Marco Miguel , y Otros varios oficiales , todos al mando del brigadier D. Mar…</t>
  </si>
  <si>
    <t>Cructer, Francisco</t>
  </si>
  <si>
    <t>Francisco Cructer</t>
  </si>
  <si>
    <t>es D. José Zanon , D. Juan Aloy , D. Es­ teban Oros. De Suizos de Wimpffen, 1 3 muertos , 37 heridos : el capitán D. Car­ las Escolar j y el teniente D. Francisco Cructer salieron heridos , y D. Fé­ lix Grangia , subteniente , falta incorporarse. De voluntarios de Tarragona 7 muertos y 20 heridos , entre estos el capitán D. F…</t>
  </si>
  <si>
    <t>Cruz, Tomas</t>
  </si>
  <si>
    <t>Tomas Cruz</t>
  </si>
  <si>
    <t>Isidro Merino; El día 2 del corriente pasó el REI ¿ por segundo á D. Josef Sepúlveda ; por ter­ visitar la real biblioteca: exXninó S. M. to­ cero á D. Tomas Cruz; por quarto á Don do el edificio, deteniéndose particularmente Podro Sepúlveda , á D. Josef Arnedo , á en las piezas del monetario, salas de ma­ D. Josef Muñoz, á D…</t>
  </si>
  <si>
    <t>Csaiós</t>
  </si>
  <si>
    <t>os mismos .con la gente de su mando se dirigieron-á la Espluga p3ra cortar al enemigo. A las tres y media de la tarde llegaron estos .refuerzos, y el teniente coronel Csaiós con su gente pa¿ó el vado del Llobregat cun el sgua á la cintura, con el ha de amenizar la reiaguirdia del enemigo, y ios otros xef sy oficiales mar­ cha…</t>
  </si>
  <si>
    <t>Csnon</t>
  </si>
  <si>
    <t>de los preliminares de paz entre la miento de infantería de línea nútn. 2.' Francia y el Austria. Almenara (marques ) , consejero de Estala, Alonso ( D. Csnon) , ídem. ' IMPERIO FRANCES. Alonso ( D. Mmnel), oficial i.° del mili!—. terio de Negocios ex*rangeros. JFontaineblean 10 de octubre. Amorós ( D. Francisco) , consejero …</t>
  </si>
  <si>
    <t>Cuca, Josef</t>
  </si>
  <si>
    <t>Josef Cuca</t>
  </si>
  <si>
    <t>55</t>
  </si>
  <si>
    <t>iga , y se habían anticipado á ocupar los pueblos de Castelserás y Torrecilla dos columnas que man­ daban el coronel D. Martin González de Menchaca y D. Josef Cuca’ó , comandante del batallón nombrado de reserva da Aragón. Con el resto del pequeño exército , es á saber, tres columnas de infantería mandadas por los coroneles D…</t>
  </si>
  <si>
    <t>Cucalón</t>
  </si>
  <si>
    <t>133 tro exército ; y el comandante Cucalón, al frente c’e 200 hombres de tropas, los derrotó completamente, causándoles una pérdida considerable de muertos , heridos y prisioneros. La suprema asamblea de la. real y distinguida orden</t>
  </si>
  <si>
    <t>Cuellar, Ramón de Milla</t>
  </si>
  <si>
    <t>Ramón de Milla Cuellar</t>
  </si>
  <si>
    <t>xadores, que vuelve á la de S. Pedro, nú­ te corregidor de esta villa, y escribanía del número de mero 1 , manz. 73, tasado en 35815 rs. Otra casa en D. Ramón de Milla Cuellar, se hallan de venta y sa­ ia propia calle y manzana, núm. 2 , en 54506. Y otra cado á subasta diferentes veces las fincas siguientes; una .contigua y u…</t>
  </si>
  <si>
    <t>Cues</t>
  </si>
  <si>
    <t>donde el enemigo puede pasar pa­ ra Extremadura, punto muy interesante para el, é igual­ mente para Portugal. Días pasados fui á verme, dice, con el General Cues­ ta , y quedé muy satisfecho de ver tan buen exército, particularmente la caballería que es excelente. La deserción de los alemanes empieza á ser conside­ rable, y e…</t>
  </si>
  <si>
    <t>Cuesta</t>
  </si>
  <si>
    <t>cal duque de Bey á todos los hombres ha sido en gran manera llune, que continuaba sus ventajas contra importante conocer las leyes de las naciones el general Cuesta, cuyo cuerpo habia sido cultas , ya porque asi pueden saber cómo han derrotado completamente los dias anterio­ de conducirse en los tratos y negocios que con res …</t>
  </si>
  <si>
    <t>3 de abril de 1809</t>
  </si>
  <si>
    <t>Gaceta de Madrid n.º 93</t>
  </si>
  <si>
    <t>podrían ser susceptibles de reformas; nada por el mariscal Víctor sobre los in­ pero jamas quedarían abandonados, ni su. surgentes , mandados por el general Cuesta, conciencia ni sus principios lo permitirían; la qual, aunque le era doloroso contemplar y que baxo de estos supuestos, tranquili­ por la sangre de sus vasallos ve…</t>
  </si>
  <si>
    <t>Gazeta del Gobierno n.º 21 (extraordinaria)</t>
  </si>
  <si>
    <t>asunto de tanta delicadeza y trascendencia, ha acordado que se publique dicha carta con la -Real órden que en su vista se ha co­ V*, ‘ . municado al General Cuesta para que to­ do venga á conocimiento y noticia del Pueblo Español. Excmo. Señor. La mayor palie • de i las?Proviiicias de Es­</t>
  </si>
  <si>
    <t>ballería, sin con­ Ei señor deHoenlein, ministro de Pru- tar con 50 hombres que nos envía de re­ sia ceraa de S. A. E. el príncipe primado, fuerzo el general Cuesta.” tendrá eta mañana su primera audiencia. Esta necia confianza la habian produci­ Las tropas austríacas que se han pre- do las noticias recibidas de Andalucía , f…</t>
  </si>
  <si>
    <t>M. ha llegado hoi aqui. Los ingleses En este último pueblo» es donde la Ván- habían echado por delante las tropay de füardiá saxona á las Órdenes del coronel Cuesta,'que luego han abandonado, Como</t>
  </si>
  <si>
    <t>31 de julio de 1809</t>
  </si>
  <si>
    <t>Gaceta de Madrid n.º 213</t>
  </si>
  <si>
    <t>'dente algún tiempo antes de las cruzadas, - pues de unirse al de los insurgentes de recibió de ellas por lo menos un cierto ali­ España que manda el general Cuesta, habia mento y actividad , y que el tiempo que ■ marchado contra el primer cuerpo delexér- :duraron las cruzadas fue también la edad cito que cubría á Taiavera, c…</t>
  </si>
  <si>
    <t>Gazeta del Gobierno n.º 49 (extraordinaria)</t>
  </si>
  <si>
    <t>GAZETA extraor.ddtar.ta DEL GOBIERNO DEL LUNES ji DE JULIO DE 1809 S E VI L LA.. El General Cuesta 1 avisa con facha del: 38 , desde el cam­ po de Talavera , que sabiendo, que los enemigos en númerode 40$ hombres se disponían a atacarle ,, repasó el Alber» che para tomar la posición convenida con ei General e</t>
  </si>
  <si>
    <t>Gazeta del Gobierno n.º 3 · 2.ª serie (extraordinaria)</t>
  </si>
  <si>
    <t>­ tras tropas* Los enemigos traian de 14 á 15000 hombres; y duró la acción desde las cinco de la tarde hasta las ocho de la noche. Por otro parte del general Cuesta se sabe que el exército reunido Anglo-Hispano se halla en el J.'jeute del Arzobispo , á derecha é izquierda del j ajo , observando al del mariscal Soult. tj SEVIL…</t>
  </si>
  <si>
    <t>Gaceta de Madrid n.º 225</t>
  </si>
  <si>
    <t>1007</t>
  </si>
  <si>
    <t>clusos f© De allí pasó la reserva con una marcha de portugueses, con otro de 40© hombres, mas de 12 leguas á situarse en Vargas , que mandados por el general Cuesta. Ese mismo dista dos de Toledo. De este modo quedó dia se presentó este exército comhinado al ya reunido el ay rodo el exército sin haber ¿primer cuerpo del exérc…</t>
  </si>
  <si>
    <t>197</t>
  </si>
  <si>
    <t>traído del cuerpo de Sebastiani, llega á unos 350 hombres , y se ha concentrado en las inmediaciones de Talavera y sobre el Alberche. El exército del general Cuesta ocupa las mismas posiciones que había tomado , y de que di parte á V. S. él l.Q del corriente.” “ La vanguardia del exército ingles llegó el 8 , y las tropa* que …</t>
  </si>
  <si>
    <t>la Tleyna 2-1 de ju­ lio de 1809. — Arturo Welleski/." TKitcr.no. “ Talavera de la Rey na 29 de julio. M ilord : el 24 de este mes por la mañana , el general Cuesta siguió c! alcance al enemigo desde el Alberclie hasta Sta. Olalla,y su vanguardia llegó á Tor­ rijas.” “ Por las razones que expliqué á V. S. en mi carta del 24, …</t>
  </si>
  <si>
    <t>res 25 de agosto. La Junta suprema central de España ha conferido á Sir Arturo VVeliesley el grado: de capitán general al servicio de S. M. C. , y al general Cuesta la gran cruzde-Cárlos m. —El mayor general Makenzie , que murió gloriosamen­ te en la batalla de Talavera, era miembro del parlamento por el condado de Sutherland…</t>
  </si>
  <si>
    <t>27 de septiembre de 1809</t>
  </si>
  <si>
    <t>Gaceta de Madrid n.º 271</t>
  </si>
  <si>
    <t>e: , ,Yo «pasaron por la primer vez delante de la. «conducía 3c© ingleses y 5© portugue- « misma posición , se replegó á Santa Ola« ses; me retiñí a! general Cuesta , que man- «Ha y Torríjos?---- Sí.a__ ¿Este primer « daba 40© hombres , y ambos marchába- » cuerpo, que entró en una acción tan re-, »mos á Madrid, mientras que V…</t>
  </si>
  <si>
    <t>á mu­ oficiales superiores prisioneros de guerra. chas leguas del campo de batalla: ¿ son es­ tas por ventura nuestras ventajas ? (Idem.) ESPAÑA. El general Cuesta ha caído en desgra­ cia , y dexa el mando que tenia en el exér- Madrid jo de setiembre. eito español. El lord Wellington escribe que en general se puede contar mui…</t>
  </si>
  <si>
    <t>Gaceta de Madrid n.º 288</t>
  </si>
  <si>
    <t>ra de la Reina 29 de julio. ,, Mide la sección pueda advertirle el dia y ho­ lord: El 2+ de este mes por la mañana el ra en que se tratará el asunto. general Cuesta siguió el alcance al enemi­ art. iv. El asistente desenvolverá las go desde el Alberche hasta Santa Olalla , y éaus.:s que han motivado el proyecto pre­ su vangua…</t>
  </si>
  <si>
    <t>la'casi 25 y 26 el enemigo juntó entre Torrijofcy en los • misinos idénticos términos que la Toledo todas las fuerzas que tenia en ;^esta dada por el general Cuesta con fecha de parte de España, no dexando en Toledo j de agosto, y publicada esi el suplemento mas qne tih cuerpo da 2® hombres'. ■■ á la -gazeta del gobierno de 7…</t>
  </si>
  <si>
    <t>Curet, Santiago</t>
  </si>
  <si>
    <t>Santiago Curet</t>
  </si>
  <si>
    <t>nisterio *, y por ofitrum Imperatorcm tfapoleónem. - • diales segurirlos-á D.-Tm&amp;as Uson, D. Pe­ 11. Se publicará por medio del boletín dro Pichardo, D. Santiago Curet, D. Pe­ de las leyes el decreto imperial de 19 de dro Dubreuil y D. Manuel Vico. febrero de i8©6, concerniente á la fiesta cíe Por 13écfeto“'de! “misrftrT"c[Va…</t>
  </si>
  <si>
    <t>s del mismo ministerio ; á D. Francisco Xavier Cornago archivero del propio ministerio; y por oficiales segundos ¿ I&gt;. Tomós Uson, D. Pedro Pichardo, D. Santiago Curet, D. Pe­ dro Dubrenil y D, Manuel Vico. (1 y En la gazeta de Madrid de 11 de setiembre se inserta el si­ guiente artículo: ílAmsterdam 22 de agosto. — Se ha rec…</t>
  </si>
  <si>
    <t>Curro</t>
  </si>
  <si>
    <t>611</t>
  </si>
  <si>
    <t>dela , pues afirma que hemos tomado aquella ciudad ; lo que esperamos que se con­ firme. Lo cierto es que aquí han traído algunas ropas y alhajas del general Curro-, cuya ca3a han saqueado los nuestros. — Se ha dado orden para que todos los tiradores del país , guardas y los que hayan servido , se reúnan para atacar, según di…</t>
  </si>
  <si>
    <t>Curroys, Guillermo</t>
  </si>
  <si>
    <t>Guillermo Curroys</t>
  </si>
  <si>
    <t>en nombrar interinamente secretario de dicha Real Orden á D. Luis de Onis, oficial mayor mas antiguo déla primera Secretaria 'de Estado; Tesorero, á D. Guillermo Curroys; Fiscal, al Director de Correos D, Juan Facundo Ca­ ballero; y Contador, á D. Cristóbal de Góngora oficial ma­ yor de la Secretaria de Estado y del Despacho …</t>
  </si>
  <si>
    <t>Cyr, Saint</t>
  </si>
  <si>
    <t>Saint Cyr</t>
  </si>
  <si>
    <t>arcelona muy maltratado* r—, Por la costa de Mstaró 00 hay temor. de que pasen los enemigos, pues les esperan los jugleses y el Comandante Claró*. El General Saint Cyr propone cange de prisioneros, y trata de que se efectúe luego,—Les; franceses estáa enlas inmq»</t>
  </si>
  <si>
    <t>Czarthoriski</t>
  </si>
  <si>
    <t>395</t>
  </si>
  <si>
    <t>blecerán sus aniigábles relaciones, con la Gran- Bre­ taña. Dicen que esta noticia se funda en la vuelta k S. Petersburgo de Mr. de Novozilzoff y del príncipe Czarthoriski, que siem­ pre fueron del partida ingles., y en la. salida del almirante Cíú-</t>
  </si>
  <si>
    <t>Czartorínski</t>
  </si>
  <si>
    <t>as núme­ los correos que salen de aquí para París y ros 88, 83) ,j)o 7 9 t. Erfurt,y los que vienen ¿ Varsovia de es­ tas dos ciudades. TITULO XI. El príncipe Czartorínski, que residía Del orden judicial. aquí de algunos meses á esta parte» se ha art. xcvi. Las Españas y las Indias visto precisado á volver á Gallitzia , donde…</t>
  </si>
  <si>
    <t>Czartoritki</t>
  </si>
  <si>
    <t>833</t>
  </si>
  <si>
    <t>a círculo ha de el barón de Einder, consejero de embaza­ levantar un batallón de infantería y un esda , y toda la legación. quadron de caballería. El príncipe Czartoritki levanta nn regimiento á sus expensas, y el príncipe Zamoiski ha ofrecido levan­ DINAMARCA. tar dos. BA VIERA. Copenhague G de junio. El mayor general Ewalh …</t>
  </si>
  <si>
    <t>Czukata</t>
  </si>
  <si>
    <t>16 de octubre de 1809</t>
  </si>
  <si>
    <t>Gaceta de Madrid n.º 290</t>
  </si>
  <si>
    <t>w se con la planta puesta sobre la garganta de su adelanté por esta parte, en cumplimiento enemigo, abatido é intimidado. Dueño de de las órdenes del general Czukata. Un Viena, vencedor del Danubio, victorioso destacamento de cosacos se acercó á la forta­ en Wagram , en posesión de Bruno, de leza con el fin de provocar al ene…</t>
  </si>
  <si>
    <t>D'Agoult</t>
  </si>
  <si>
    <t>leerá con indignación la primera , y hará fervientes votos por ias glorias de quien escribió la segunda , y de sus compañeros de armas. Proclama del'general D'Agoult. Nos el general gobernador del reyno de Navarra. — Vista la órden , á nos dada por S. M. y comunicada á todas las justicias, con­ tra los facinerosos esparcidos …</t>
  </si>
  <si>
    <t>D'aiguebelles, Cirios</t>
  </si>
  <si>
    <t>Cirios D'aiguebelles</t>
  </si>
  <si>
    <t>capital; Fiore, D. Francisco Perracino, D. Alfon­ Hc-mos decretado y decretamos lo si­ so det Rincón, D, Meiiton Rico, D. Cir­ guiente : ios Ermeler, D. Cirios D'aiguebelles , Doa articulo 1. Cedemos al comercio de Francisco Brost y D. Juan Soriie. Madrid para establecer la bolsa el edificio del hospital del Buen-Snceso, y la…</t>
  </si>
  <si>
    <t>D, A</t>
  </si>
  <si>
    <t>A D</t>
  </si>
  <si>
    <t>pas que se han apoderado de ellos. = S. M. se ha dignado conceder á pro­ puesta del mismo General, los grados de Teniente coronel á D. Juan Jalón: de Capitán A D. Ignacio Moragues, D« Miguel La-Chica y D* Josef Manso* El Gobernador interino de Ciudad Rodrigo dá cuenta de otra acción que un destacamento apostado en Ledesma ba …</t>
  </si>
  <si>
    <t>D, Alonso Rámonlsr</t>
  </si>
  <si>
    <t>Alonso Rámonlsr D</t>
  </si>
  <si>
    <t>29 de enero de 1809</t>
  </si>
  <si>
    <t>Gaceta de Madrid n.º 29</t>
  </si>
  <si>
    <t>irman los se­ ñores , de que yo el secretario del ayuntamiento doi -fe. cr Francisco* Trillo de Soto. =—} uan de Espina. = Diego Ponz y A ce ved o. = D. Alonso Rámonlsr D. Mateo.Payo. ezD. Anéonio Gil. s= ¡D. Joaquín de laqTorre.er D.^ntonió Pandek). = Josef Santa María. =: Bernardode GasTro. sr^Josef 'Roig. rrCristó* bal Con…</t>
  </si>
  <si>
    <t>D, Ba</t>
  </si>
  <si>
    <t>Ba D</t>
  </si>
  <si>
    <t>-religioso escolapio, de retórica y cio Palet, ex-religioso de S."Cayetano, poética; D. Francisco Verdejo y Paez y de rudimentos de gramática latina; D. Ba­ D. Eugenio Roldan de aritmética, álgebra, silio Fernandez, ex-religioso escolapio, de geometría y principios de geografía ; D. Jo­ sintaxis y propiedad de la misma lengua…</t>
  </si>
  <si>
    <t>D, Francisco PritnauL</t>
  </si>
  <si>
    <t>Francisco PritnauL D</t>
  </si>
  <si>
    <t>l del Valle. — Duque de Yiilahermosa.— D. Felipe Vallejo. — Marques de las Horma­ zas.— D. Manuel Soria. — D. Ramón Arascot.—D. Antonio Komanilios. — D. Francisco PritnauL — D. Francisco Romano. —► D. Antonio Cano Manuel. — Conae de Bondad Real. — Conde de Sta. Coloma..— Conde de Talara..— D; Ramón Navarro Pingarron.— D. Juan…</t>
  </si>
  <si>
    <t>D, Gregorio Rodríguez</t>
  </si>
  <si>
    <t>Gregorio Rodríguez D</t>
  </si>
  <si>
    <t>332</t>
  </si>
  <si>
    <t>ales de campo los Brigadieres D. Pedro Agustín de Echavar#i;=: D. Luis Alejandro da Bassecourt. “ D. Josef Marín de Aló?. = Marqués de Malespina. =rr D. Gregorio Rodríguez =D, Manuel Zappino. zzD. Tomas O-Doneju. Marqués de Zayas. = D. Vicente Igle­ sias. = D. Rafael Manglano. A Brigadieres los Coroneles D. Josef Escudero.” D…</t>
  </si>
  <si>
    <t>D, Joaquín</t>
  </si>
  <si>
    <t>Joaquín D</t>
  </si>
  <si>
    <t>prestado antes de Josef de Zarraga, del comercio de Bilbao. Se suplica efectuarse la entrega de las sacas. al que sepa su paradero avise en Madrid á D. Joaquín D. Francisco Josef de Eceiza, vecino de la villa de Saenz López, que vive en la calle de Postas , núm. r, Alvistur en, la provincia de Guipúzcoa, remitió con y en Bilb…</t>
  </si>
  <si>
    <t>D, Josef</t>
  </si>
  <si>
    <t>Josef D</t>
  </si>
  <si>
    <t>Hemeterio Tovar, racionero de la de Estado Mariano Luis de Urquijo.” Calahorra, para una canongía de esta sarita iglesia*, para la ración que dexa á D. Josef D. Josef Napoleón por la gracia de Dios Aifaro Ortiz de Zugasri , medio racionero y por la constitución del estado, REI de de la misma catedral; y para la inedia ra­ las…</t>
  </si>
  <si>
    <t>D, Josef Pablo Valiente</t>
  </si>
  <si>
    <t>Josef Pablo Valiente D</t>
  </si>
  <si>
    <t>n y anrtiguedad aquí señalada : de D. Josef Joaquín Colon, Deca­ no”, D. Manuel de Lardizabal y Uribe, el Conde del Pi­ llar , D. Francisco Requena , D. Josef Pablo Valiente ¿D. Sebastián de Torres , D. Antonio Ignacio Corta varría y D. Ignacio Martínez de Villela, D. Antonio López .Quinta*na , D. Miguel Alfonso Villagomez , …</t>
  </si>
  <si>
    <t>D, Juan Bautista Sauvinety</t>
  </si>
  <si>
    <t>Juan Bautista Sauvinety D</t>
  </si>
  <si>
    <t>nisterio secretaría de Es­ ,,Habiéndose mudado ya las circunstan­ tado á D. Josef Fita gefe de división; á cias , y como los pasos que he dado duran­ D. Juan Bautista Sauvinety D. Juan Agus­ te los últimos dias de mi permanencia en tín Ezterripa oficíales primeros; á D. Fran­ Argel inclinaron á la regencia á disposicio­ cisco…</t>
  </si>
  <si>
    <t>D, Lorenzo de Sobrecosas</t>
  </si>
  <si>
    <t>Lorenzo de Sobrecosas D</t>
  </si>
  <si>
    <t>rreta. ~ D. Eulogio Espi­ no.— D. Francisco Barraneche. — D. Cipriano Iturraldé.— D. To­ mas Yoldi.—D. José Sánchez. — D. Luis Manuel de Benavides. — D. Lorenzo de Sobrecosas/ — D. Manuel Cárrica. — D. Venancio</t>
  </si>
  <si>
    <t>D, Luís de Qm</t>
  </si>
  <si>
    <t>Luís de Qm D</t>
  </si>
  <si>
    <t>intana.D. Ig­ nacio Gardoqui. — Marques de Villamonte. — D Bernardo Gon­ zález. -— D. Francisco Santmez. — D. Luis A ntentas.—&lt; D. Fer­ nando.Gninan-—D. Luís de Qm*~- D.-Félix Colon. — D.Ma*-</t>
  </si>
  <si>
    <t>D, Manuel de Alcalí</t>
  </si>
  <si>
    <t>Manuel de Alcalí D</t>
  </si>
  <si>
    <t>Cuesta.=:D Francisco de Hore, en el caso de haber sido hecho prisionero.=D. Josef Villalobos. Grados de Capitán á los Tenientes D. Ildelfonso Nieto.=D. Manuel de Alcalí^=D. Miguii Colliirgli. S. M. se reserva premitr igualmente á Ies xefes y ofi­ ciales que mas se hayan distinguido en esta memorable ac­ ción, así que el Gmera…</t>
  </si>
  <si>
    <t>D, Pedro Revilla</t>
  </si>
  <si>
    <t>Pedro Revilla D</t>
  </si>
  <si>
    <t>egados á junta de municipalidad concurrieron D. Ignacio de Ta­ pia, conde de Valdeláguila; D. Juan Sanz; D. Severo Bernal Moran; Don Segundo Revilla; D. Pedro Revilla* D. Narciso Holgado; D. Juan Solís Martin ; D. Valentín Perrino ; D. Ignacio Burguillo; D. Sebastian Sánchez; D. Juan Manuel Bazan; D. Marcelo Meló. Del estado …</t>
  </si>
  <si>
    <t>da Ala, Ignacio María</t>
  </si>
  <si>
    <t>Ignacio María da Ala</t>
  </si>
  <si>
    <t>$to Martí­ nez de Baños,zzFrancisco Alvar ez- =Joscf de Ansa• Habiéndose pedido de Real órden por el Comandante Ge­ neral de la esquadra del Océano , D. Ignacio María da Ala­ va , un empréstito de 5ood reales vellón á algunos comer­ ciantes de Cádiz para atender al socorro de la marinería gallega, que diariamente se presenta …</t>
  </si>
  <si>
    <t>da Bassecourt, Luis Alejandro</t>
  </si>
  <si>
    <t>Luis Alejandro da Bassecourt</t>
  </si>
  <si>
    <t>tágo. = Duque de Alburquerque.=D.Juan de Heiiestrosa. = D. Francisco de Tria?, A Mariscales de campo los Brigadieres D. Pedro Agustín de Echavar#i;=: D. Luis Alejandro da Bassecourt. “ D. Josef Marín de Aló?. = Marqués de Malespina. =rr D. Gregorio Rodríguez =D, Manuel Zappino. zzD. Tomas O-Doneju. Marqués de Zayas. = D. Vice…</t>
  </si>
  <si>
    <t>da Cuesta, Gregorio de</t>
  </si>
  <si>
    <t>Gregorio de da Cuesta</t>
  </si>
  <si>
    <t>10 de abril de 1809</t>
  </si>
  <si>
    <t>Gazeta del Gobierno n.º 16</t>
  </si>
  <si>
    <t>pasaron elBidasóa. También suele Bonaparte for­ mar un cuerpo dé Sola caballería quahdó así ; ía requiere.; la rapidez de la accione , S E V 1 L L A^ D. Gregorio de da Cuesta Capitán General dé los Rea­ les exércitos y de la* provincia y exército de E\trémadu&gt;ra.zzPór residí as- de la batalla de 28 de marzo ultimó ? en los ca…</t>
  </si>
  <si>
    <t>da Piedra, Benito de</t>
  </si>
  <si>
    <t>Benito de da Piedra</t>
  </si>
  <si>
    <t>e. ...... . Señores C'assou y compañía. Badajoz...................... D. Francisco Fernandez de la Peña y San Miguel. Cádiz.......................... D. Benito de da Piedra. Cartagena. ...... . D. Cándido Montero- de la Concha. Ciudad-Rodrigo. . . . D. Antonio- López. Córdoba. ....... Señores Barcia r padre é hijo. Coruña. ..…</t>
  </si>
  <si>
    <t>da Velez, Agustín Gar</t>
  </si>
  <si>
    <t>Agustín Gar da Velez</t>
  </si>
  <si>
    <t>racionero de la misma : para la ración que este dexa , á D. Domingo Miguel de la Cueva ; y para otra ración vacante en aquella catedral por muerte de D. Agustín Gar­ da Velez, á D. Antonio Porlier, cura párroco de la villa de S. An­ drés : para la ración vacante en la de Granada por fallecimiento de D. Francisco Diaz , á D. J…</t>
  </si>
  <si>
    <t>Dabela, Agustín</t>
  </si>
  <si>
    <t>Agustín Dabela</t>
  </si>
  <si>
    <t>Gaceta de Madrid n.º 131 (suplemento)</t>
  </si>
  <si>
    <t>créditos; prevenidos que de fanega y media. Otra donde llaman Prado Concejo, lin­ no hacerlo les parará el perjuicio que haya lugar. da con tierra de D. Agustín Dabela, presbítero, y Vi­ En la gazeta del año pasado de 1808, fecha 30 de cente Herrera, de cabida una fanega y 9 celemines. agosto, se anunció la vacante de la plaz…</t>
  </si>
  <si>
    <t>Dagouh</t>
  </si>
  <si>
    <t>constancia y resolución, trataron de batirlo á toda costa en los términos que aparece en seguida de las expresadas cartas y contestaciones. Carta ckl general Dagouh, go? ernador de las trepas francesas en Navarra , al brigadier D. Mariano de Reno­ vales. — "ramplona 2 de agosto de 18.09, — Sr. brigadier</t>
  </si>
  <si>
    <t>Dallemagne</t>
  </si>
  <si>
    <t>lach, tie­ nuevo transporte qoe llegó ayer ha toma­ ne so quartel general en Stabroeck; la se­ do la misma dirección. gunda en Eeckeren al tnabdo del general Dallemagne; la tercera en Amberes al man­ WIRTEMBERG. do del general Depeaux; la qnarta en Ca­ ldo á las órdenes del general Charbonnief. Stuttgardt 18 de agosto. El sen…</t>
  </si>
  <si>
    <t>Damaso</t>
  </si>
  <si>
    <t>, teniente general de Lauchder (D. Josef) , fusilero del regi­ artillería. miento Real iixtrangero. Novoa (D. Diego), capitán del regimien­ La-Torre (D. Damaso), corregidor de Ma­ to núm. i.u, iniant ría de linea. drid. Novclla (D. Roque), corregidor de AlLe C..pitaine, coronel de granaderos de la C4 sá* guardia real. Obregon…</t>
  </si>
  <si>
    <t>Dámaso</t>
  </si>
  <si>
    <t>. Tomás) juez de la Junta de negocios contenciosos.— Castillejo (D. Tomás) soldado del regimiento núm. a de infan­ tería de línea. — Castillo Larroi (D. Dámaso). — Cervino (D. Domingo) teniente general de exército. — Cea (D. Francisco An­ tonio) xefe de división del ministerio de lo interior. — Cernebois, sargento de granader…</t>
  </si>
  <si>
    <t>Ignacio) consejero de Estado. — Kindglan (D. Juan) general del exército.” “Laischder (D. José) fusilero del regimiento real extrange­ ro — La-Torre (D. Dámaso) corregidor de Madrid.—Le-Capitaine , coronel de granaderos de la guardia real. — Lebre, xefe de batallón de volteadores de la guardia real. — Lerin Bracamonte (D. Gasp…</t>
  </si>
  <si>
    <t>Dámelo, Joan</t>
  </si>
  <si>
    <t>Joan Dámelo</t>
  </si>
  <si>
    <t>ata el graduado de la misma clase D. Francisco Alvarez de Perea s á Tenientes de navio los de fragata D. Jcsef María Tagle , D. Francisco Antolinez , D. Joan Dámelo,-D. Josef García Santa' María , D. Luisv Na vane te , D. Manuel de Luengas : á Al-* féreces de navio los de fragata D. Josef de Tiscar, D. Sal­ vador Spadafora , …</t>
  </si>
  <si>
    <t>Dannuestra, Julio Dufort</t>
  </si>
  <si>
    <t>Julio Dufort Dannuestra</t>
  </si>
  <si>
    <t>mas bien que el deber, inspira á todos ha­ de la brigada Irlandesa, á los subtenientes cia vuestra sagrada persona. Para colmo :de D. Rafael Sánchez, D. Julio Dufort Dannuestra dicha nos falta ver cumplido uu so­ tist, D. Pedro Felnai, D. Francisco Meor, lo deseo. Aunque tengamos el dulce con­ D.’Pedro Crosal, D. Alexandro Sa…</t>
  </si>
  <si>
    <t>Daroust</t>
  </si>
  <si>
    <t>a, pero entre aquella ciudad y Viena está en movimiento un exército considerable* En Saitzburgo habrá unos 83 soldados austmcofe. -if^áe tnarzoi ' El Mariscal Daroust ha llegado aquí. Se asegura que esta-'‘ciudad* será &lt; él QuárteLGeneral déf; exércítb 'déf finia, SScribefi¿’déL T^rrol que' ud exército francés muy considera­ …</t>
  </si>
  <si>
    <t>Darricao</t>
  </si>
  <si>
    <t>8 de febrero de 1809</t>
  </si>
  <si>
    <t>Gaceta de Madrid n.º 39</t>
  </si>
  <si>
    <t>dad de Zamora, cuyos habitantes se habían exáltado con la pre­ sencia dé ios ingleses, ha cerrado sus puertas al general de caballería Mau— petit. El general Darricao fue allí con 4 batallones. Ha escalado la ciudad',' se ha apoderado de ella, y ha hecho pasar por las armas á los mas culpa­ bles; Dé todas las provincias de Es…</t>
  </si>
  <si>
    <t>Daskelmann, Adolfo</t>
  </si>
  <si>
    <t>Adolfo Daskelmann</t>
  </si>
  <si>
    <t>e Thiotlaz , ayudante genera “y coronel de infantería , su emb x*dor extra­ ordinario y ministro plenipotenciario cerca del Rei de Prusia, y á Mr. el barón Adolfo Daskelmann su enviado en la ciudad libre de Dantzick. Lubeek T2 de enero. " Las ultimas cartas recibidas de Finlandia traen la noticia de que las tro­ pas rusas , a…</t>
  </si>
  <si>
    <t>Daugles, Juan Santiago</t>
  </si>
  <si>
    <t>Juan Santiago Daugles</t>
  </si>
  <si>
    <t>nte de batallón del nipotenciario de S. M. el Rei de Wurtem- regimiento de tiradores de la guardia real; berg, lo* señores conde de Escherni , gen­ á D. Juan Santiago Daugles capiran ; á Doa tilhombre ; conde de Zeppelin", gentilhom­ Juan Frantz teniente; á D. Luis Dussaibre ; Voiz , consejero de legación, y Schott, Ilant sub…</t>
  </si>
  <si>
    <t>Daui</t>
  </si>
  <si>
    <t>do=duque de Dalmacia. drort ,'Hdos capitanes y dos tenientes 6 subte­ Por ampliación = El general de división} nientes y un sargento.: ayudante mayor general Daui.takne. La comisioo nombrará á uno de sus miembros para que haga las funciones de relator , y elegirá también uno que haga AVISO. de escribano. En lis plazas dónde l…</t>
  </si>
  <si>
    <t>Dauubio</t>
  </si>
  <si>
    <t>a hombres de aquel hermoso exército que perecido. Y como dicen las señoritas de había entrado en Italia. La arrogancia , el Viena , las maniobras del general Dauubio insulto, las provocaciones á la rebelión» han salvado al exéreito austríaco. sus acciones todas que manifestaban el ca­ El Tirol y el Voralberg están comple­ rác…</t>
  </si>
  <si>
    <t>DauúVio</t>
  </si>
  <si>
    <t>Gazeta del Gobierno n.º 10</t>
  </si>
  <si>
    <t>nos sugetos de 'qué Mdstafá1 Bairactar y ha­ biendo conseguido salir disfrazado de Cófcsífentinopla, dófanté la 'cbnfdsiotí ,' hábiá refugiadB; haéhr d DauúVio"; dónde1 junta un cuerpo dé Séyméns pará marchar'contra :é!sfá Capital, refor­ zado con tropas de algunos Baxaes. ; Estas voces feo merecen entero crédito , aunque pre…</t>
  </si>
  <si>
    <t>David</t>
  </si>
  <si>
    <t>uan), teniente del regi­ Dalesme ( D. Pedro), capitán del núm. i miento núm. t.°, brigada irlandesa. brigada irlandesa,' Cassano, caballereo. Delais (D. David), fnsilero del Real ExCasa«Palacio ( marques ) , general y nuestro trangero. edecán. Deles, capitán del núm; i.°, brigada irlan­ CasaAValencía (conde), consejero de Est…</t>
  </si>
  <si>
    <t>ada irlandesa.ÍC “Daban (D. Juan) xefe de batallón del regimiento núm. ' i. — Dalesme (D. Pedro) capitán del núm. i , brigada irlan­ desa. — Delais ( D. David ) fusilero del real extrangero. — De­ les , capitán del núm. i , brigada irlandesa. — Deslandes, se­ cretario de gabinete. — Despres , teniente coronel y edecán. ~ Donn…</t>
  </si>
  <si>
    <t>Davila, José</t>
  </si>
  <si>
    <t>José Davila</t>
  </si>
  <si>
    <t>alacio.— D. Manuel López Araujo.— D. José Gar­ cía de León y Pizarro. — Marquesa viuda de Fontanar. — D. Ra­ món Beliran y Sarraiz.— Conde Solomero.— D. José Davila. — D. José Sta. María. — D. Pasqual Quilez. — Marques de Ruena. — Duquesa del Arco y Monteilano. — Condesa de Superunda. — D. José Almendariz. — D. Iginio Antonio…</t>
  </si>
  <si>
    <t>Davoust</t>
  </si>
  <si>
    <t>51 Hoi han salido de aquí todas las tropas francesas, v han entregado las llaves de la ciudad al príncipe Fernando, hermano de réoerico el Grande. Él mariscal Davoust, ducjue.de Averstaedt, ha salido hoi de aquí. El intendente general Mr. Daruyeí administrador general de rentas Mr. Bignón Habiánimarchadó al gurí os dias antes…</t>
  </si>
  <si>
    <t>e Hoya ¿ 80050 francos: el caballerizo mayor Coulincóurt, duque de vicénciav la mayor parte de los bailiages de Halburgo y de Óesén,66012;francos: el mariscal Davoust, duque de Auerstaedt^ una gran parte de los bailiages de Hoya y de Neinburgo, 60021 francos: el mariscal Soult, duque de Dalmacia, una parte de los bailiages de…</t>
  </si>
  <si>
    <t>lli sin em­ imposible dexar de manifestárosla , aunque, bargo de llevar pasaporte mui en debida por otra parte, no sea este el objeto prin­ forma. El mariscal Davoust lo ha reclamado cipal de la presente nota, reducida única­ tres veces al señor conde de Neipperg, co­ mente á un hecho particular. Y ¡ plegue á ronel comandante…</t>
  </si>
  <si>
    <t>Gazeta del Gobierno n.º 39</t>
  </si>
  <si>
    <t>urg. El Archidu­ que Luis se retiró con el Teniente general Hiller hacia el' 5ser para cubrir á. Landsbut, Se han reunido los, dos cuerpos,. El 21 el Mariscal Davoust atacó el 4,. 0 cuerpo adé exército en; las: inmediaciones de Eckqiuhl. Se peleó con Obstinación 12 horas. Él enemiga fué rechazado. El 24 el segundo cuerpo se r…</t>
  </si>
  <si>
    <t>23 de julio de 1809</t>
  </si>
  <si>
    <t>Gaceta de Madrid n.º 204</t>
  </si>
  <si>
    <t>na el cen­ suprimidos, darán aviso de ello en esta cor­ tro con el príncipe Eugenio baxo sus órde­ te al director de bienes del estado , y en nes; el duque Davoust la derecha, y el las provincias á los intendentes ó justicias duque de Rívoli la izquierda. de les pueblos , quienes pasarán nota de di­ chos avisos al ministerio …</t>
  </si>
  <si>
    <t>uy adelantada baxo la dirección del general B i anchi, quando .en; 1,° del comente por la'tarde ufi-érrerpo francés de-lie)'' hombres, mandado por el mariscal Davoust, sé presentó delante1' de Engerau, lugar .situado á corta distancia del rio , en donde habia colocados dos batallones de tropas dé línea austríacas con-’ el ñn …</t>
  </si>
  <si>
    <t>340</t>
  </si>
  <si>
    <t>ratriz de Aus­ wcuentrc cierto eclesiástico, a quien su tria irá mui pronto á Bruo en Moravia. El «dignidad prescribe la obligación de dar cuerpo del mariscal Davoust, príncipe de « mejores exemplos. Este eclesiástico en Eckmiilh , ha salido de aquella plaza y de «vez de dirigir al ciclo fervorosas oraciosus cercanías , y lle…</t>
  </si>
  <si>
    <t>18 de diciembre de 1809</t>
  </si>
  <si>
    <t>Gaceta de Madrid n.º 353</t>
  </si>
  <si>
    <t>i? 40 S. A. el mariscal Davoust, príncipe de de su maído ocupa la Dalmacia, la Croa­ Eckmühl, llegará de un dia á otro con cia y la Carintia. ' su quartel general á S. Polten, en donde se cree que permanecerá cerca de un</t>
  </si>
  <si>
    <t>Dcsnouetts, Lefebvre</t>
  </si>
  <si>
    <t>Lefebvre Dcsnouetts</t>
  </si>
  <si>
    <t>neral Duresnel con 400 cazadores de la guardia acometió á la noche á una coluna inglesa de infantería, y la desordenó matando á mu­ chos enemigos. El general Lefebvre Dcsnouetts, coronel de los cazadores de la guar­ dia , habiendo sido destacado del quartel general con 3 escuadrones de su regimiento , cogió muchos bagages, mu…</t>
  </si>
  <si>
    <t>de A'Ó, Josef María</t>
  </si>
  <si>
    <t>Josef María de A'Ó</t>
  </si>
  <si>
    <t>del Te­ niente Coronel inglés Mr. Benjamín Darbaa , que se distin­ guió en la acción. Los Brigadieres Mayores Generales de in­ fantería y caballería D. Josef María de A'Ó3 , y Marqués de Malespina , con sus Ayudantes los Capitanes D. Mariana Lanzarote, D. Antonio Putg , D. Juan Manuel de Pereyra, y el de la misma dase , gradu…</t>
  </si>
  <si>
    <t>de A, Pablo Cannac</t>
  </si>
  <si>
    <t>Pablo Cannac de A</t>
  </si>
  <si>
    <t>tenido la misma suerte en &amp; PóU El barco&gt; apresado por los laudes de esta vi!lá¿ es de 50 toneladas. Según la* declaración qi\3- se ha1 recioidb del capitán Pablo* Cannac de ^A’gde , es la* tartana nontbrada la Mbdona dé 1 Gran, procedente dé Toen, y ha tocado en Gette y Portvendres- ::eL cargamento es de ga-~ lleta , sal , t…</t>
  </si>
  <si>
    <t>de Abaituá, Viceote Chasco</t>
  </si>
  <si>
    <t>Viceote Chasco de Abaituá</t>
  </si>
  <si>
    <t>. A D. Antonio austríaco enTrento, en la qual le da parte Bre’.nond para contador , coa igual sueldo. de que las tropas austríacas saldrán de aque­ A D. Viceote Chasco de Abaituá por ase­ lla ciudad el i.° de agosto para evacuar el sor general, con el mismo sueldo. A Don Tirol italiano. En consecuencia de este avi­ Manuel Mar…</t>
  </si>
  <si>
    <t>de Abreu, Joaquín</t>
  </si>
  <si>
    <t>Joaquín de Abreu</t>
  </si>
  <si>
    <t>heridas de peligro , está electo Comandante de armas, de. esta plaza*y también lo está de la artillería de ella el Sargenta mayor de Milicias de Tuy D. Joaquín de Abreu , por sus. muchos, conocimientos y ser­ vicios, en dicho rama ^ y el estada actual de defensa de estas fortalezas lo demuestra el papel, num. fv ° El Capitán …</t>
  </si>
  <si>
    <t>de Acesia, Ambrosio</t>
  </si>
  <si>
    <t>Ambrosio de Acesia</t>
  </si>
  <si>
    <t>trans­ porte de aquel articulo. El io salió uno de Aldeaquemada ai Castellar, compuesto del Teniente del segundo regimiento de infantería de Córdoba D. Ambrosio de Acesia coa veLita cazadores de su compañía, y cincuenta caballos de la de con­ trabandistas de Murcia. El jóven Acosta , lleno de un impru­ dente ardor, y sin órde…</t>
  </si>
  <si>
    <t>de Acha, Tomás Domingo</t>
  </si>
  <si>
    <t>Tomás Domingo de Acha</t>
  </si>
  <si>
    <t>? 3Z D. Juan Antonio Cobian. C. 25.00a D. Antonio Velasco de la Torre. C. 4.000 El caballero D. Tomás Domingo de Acha. C. 1 j 0.000 D. Eusebia García. C, 10.000 D. Roque Valiente. C. 25.000 El Sr. administrador principal de la Renta de Correos. xo.ooo El Sr. coronel D. Manuel Josef Rincón Gallar co. 5.000</t>
  </si>
  <si>
    <t>de Achútegui, Nicolás</t>
  </si>
  <si>
    <t>Nicolás de Achútegui</t>
  </si>
  <si>
    <t>a nombrado S. M. al­ lela en la orilla del Ebro , para oponerse á caldes del crimen del propio tribunal á las que los enemigos podrian levantar entre D. Nicolás de Achútegui, y á D. Francis­ el embocadero del Gallego y el arrabal. co Xavier de Arana. Ataque del centro. Se ha ensanchado la S. M. ha nombrado asimismo al Dr. Don…</t>
  </si>
  <si>
    <t>de Acosta, Francisca Ibañez</t>
  </si>
  <si>
    <t>Francisca Ibañez de Acosta</t>
  </si>
  <si>
    <t>lmente 5 fanegas y 3 quartas de trigo, que valen al contado 4158 rs., y al fiado 6237 , perte­ necientes con dichas 2 casas á la obra pia fundada por Doña Francisca Ibañez de Acosta: otra casa en la quarta vecindad de la calle de la Zapatería, que produce de renta anual 330 rs., valuada al contado en 7260, y al fiado 10890: o…</t>
  </si>
  <si>
    <t>de Agreda, Pedro de Rayo</t>
  </si>
  <si>
    <t>Pedro de Rayo de Agreda</t>
  </si>
  <si>
    <t>misario Ordenador D. Josef de Posadillo y Peñaredonda...................................................................................... '. 20,000 D. Pedro de Rayo de Agreda, Corredor de número de esta ciudad................................................................................. 10,000 Los Señores Galindez y Ezen…</t>
  </si>
  <si>
    <t>de Agudeío, Julián</t>
  </si>
  <si>
    <t>Julián de Agudeío</t>
  </si>
  <si>
    <t>272 comercio por mayor, 48. z:D. Julián de Agudeío, 96. i). Pedro Vidal, 2C.rD. Juan González, 20.«znVarios vecinos de la parroquia de S. Julián, 120. — D. Antonio de León, 12o.— Las justicias del lugar de Miragenil por siT vecindario, 1808</t>
  </si>
  <si>
    <t>de Agüete, Fermín</t>
  </si>
  <si>
    <t>Fermín de Agüete</t>
  </si>
  <si>
    <t>a de navio D. Miguel de Soto, y el de fragata D. Francisco Flores, hasta ei ultimo , inciu* yendo asimismo á los dél- ministerio D. Josef de Aíoé , y‘D. Fermín de Agüete , todos los quales, sin perdonar fatiga, se han prestado á quanto ha podido contribuir al brillante resultado de la acción, unos por el ramo militar y otros …</t>
  </si>
  <si>
    <t>de Aiidoin, Miguel García</t>
  </si>
  <si>
    <t>Miguel García de Aiidoin</t>
  </si>
  <si>
    <t>o lugar de Arroyaba, pertene­ cientes á su cabildo, reguladas al contado en 934 , y al fiado 1403 ? en el de Mendivil posee la capellanía que obtiene D. Miguel García de Aiidoin dos casas, con sus pertenecidos de era? borde y huerta contiguas, con una octava parte en el molino harinero y diferentes heredades, reguladas al con…</t>
  </si>
  <si>
    <t>de Aíoé, Josef</t>
  </si>
  <si>
    <t>Josef de Aíoé</t>
  </si>
  <si>
    <t>r Tablada , el alferea de navio D. Miguel de Soto, y el de fragata D. Francisco Flores, hasta ei ultimo , inciu* yendo asimismo á los dél- ministerio D. Josef de Aíoé , y‘D. Fermín de Agüete , todos los quales, sin perdonar fatiga, se han prestado á quanto ha podido contribuir al brillante resultado de la acción, unos por el …</t>
  </si>
  <si>
    <t>de Alanco, Sebastian García</t>
  </si>
  <si>
    <t>Sebastian García de Alanco</t>
  </si>
  <si>
    <t>perteneciente á las memorias que en, la ces, nútrí. 16, manz* 29, propia de la memoria que parroquial de S. Sebastian fundó D. Francisco López fundó. D. Sebastian García de Alanco», tiene 1877 pies Traña, cuya casa tiene de sitio 3442 y medio pies, y de sitio, valuada en 27115 rs. Asimismo varias casas si­ está tasada en 1079…</t>
  </si>
  <si>
    <t>de Alburquerque, Duque</t>
  </si>
  <si>
    <t>Duque de Alburquerque</t>
  </si>
  <si>
    <t>DEL G OBI E B. NO DEL MIERCOLES IP El General en Xeíe, satisfecho del valor y disciplina que ha i manifestado la división del General Duque de Alburquerque en los dias 18 y 22 del presente mies, se anticipa á comunicar á los cuerpos del exército los detalles que ha recibido sobre lo ocurrido en los di as expresados, reservánd…</t>
  </si>
  <si>
    <t>de Alcaráz, Conde</t>
  </si>
  <si>
    <t>Conde de Alcaráz</t>
  </si>
  <si>
    <t>Roque Valiente. C. 25.000 El Sr. administrador principal de la Renta de Correos. xo.ooo El Sr. coronel D. Manuel Josef Rincón Gallar co. 5.000 El Sr. brigadier Conde de Alcaráz. 30.000 D. Juan Josef Robledo Noriega. 3.000 El Capitán D. Manuel de Urquiaga. C. 2.000 D. Miguel Rafael d: Medina. C. 2C.OOO B. Domingo ligarte. C. 4…</t>
  </si>
  <si>
    <t>de Aldama, Juan Manuel</t>
  </si>
  <si>
    <t>Juan Manuel de Aldama</t>
  </si>
  <si>
    <t>uín de Gue­ da cuidarán del cumplimiento de este de­ vara , presbítero de la dicha villa de la Guar­ creto, cada uno en la parte que le toca. dia : á D. Juan Manuel de Aldama, pres­ Dado en nuestro palacio de Madrid á 11 bítero de Miranda de Ebro, para una ra­ de marzo de 18-09. = Firmado = YO EL ción de la misma catedral de …</t>
  </si>
  <si>
    <t>de Aldamar, Joaquín</t>
  </si>
  <si>
    <t>Joaquín de Aldamar</t>
  </si>
  <si>
    <t>elo, marques de Casa calvo, D. Juan Melendez Valdés, D. Benito de la Mata Lina­ res , y D. Luis Marcelino Pereira. La del 7 trae el nombramien­ to de D. Joaquín de Aldamar para intendente de la provincia de Santander; y la del 8 el de D. Diego Cosío y D. Laurea­ no Jado para jueces de las juntas de negocios contencicsos, pend…</t>
  </si>
  <si>
    <t>de Aló, Josef Marín</t>
  </si>
  <si>
    <t>Josef Marín de Aló</t>
  </si>
  <si>
    <t>an de Heiiestrosa. = D. Francisco de Tria?, A Mariscales de campo los Brigadieres D. Pedro Agustín de Echavar#i;=: D. Luis Alejandro da Bassecourt. “ D. Josef Marín de Aló?. = Marqués de Malespina. =rr D. Gregorio Rodríguez =D, Manuel Zappino. zzD. Tomas O-Doneju. Marqués de Zayas. = D. Vicente Igle­ sias. = D. Rafael Manglan…</t>
  </si>
  <si>
    <t>de Alós, Josef María</t>
  </si>
  <si>
    <t>Josef María de Alós</t>
  </si>
  <si>
    <t>merecido la recomendación de ccte dignísimo general. Los mariscales de campo D. Ramón Vffialva ; marques de Malaspina , mayor general de caballería ; D. Josef María de Alós , mayor general de infantería; D. Manuel Zapino, comandante general de in­ genieros ; D. Gregorio Rodríguez , comandante general de artillería, y D. Tomás…</t>
  </si>
  <si>
    <t>de Alva, Diego</t>
  </si>
  <si>
    <t>Diego de Alva</t>
  </si>
  <si>
    <t>ras los desórdenes , que no hacen sino prolongar lina guerra destructora del pueblo : manda que estos particulares, »tue son D. José González Icedo , D. Diego de Alva, D. Juan Bello , D. José Barcena , D. Florentin Carranza , el vizconde de Rascón , D. Juan Peñalosa ,y D. N. Arteaga , todos conocidos con el nombre de ganadero…</t>
  </si>
  <si>
    <t>de Alzazna, Bartolomé</t>
  </si>
  <si>
    <t>Bartolomé de Alzazna</t>
  </si>
  <si>
    <t>n interes las casas de D. Juan Miguel de Carlos, y Mícheo padre é hi­ jo , de Veamurguia y Lissur , D. Fermia de EJizalde , D. Antonio de Arriaga , y D. Bartolomé de Alzazna: se ha ser­ vido S. M. de mandar se haga pública esta acción benéfica y patriótica de estos sugetos , de qu? resulta ún 'interesante servicio á la Nación…</t>
  </si>
  <si>
    <t>de Amanda, Agustín</t>
  </si>
  <si>
    <t>Agustín de Amanda</t>
  </si>
  <si>
    <t>Gazeta del Gobierno n.º 32 · 2.ª serie (suplemento 2.º)</t>
  </si>
  <si>
    <t>iente coronel D¿ José de Olzinellas ha comunicado á la junta superior de este principado el parte que le ha da­ do , -con fecha del 27 de setiembre , D Agustín dé Amanda , segundo' comandante de su división en el Llobregat. Ea él participa que el día</t>
  </si>
  <si>
    <t>de Amechepatria, Juan Manuel</t>
  </si>
  <si>
    <t>Juan Manuel de Amechepatria</t>
  </si>
  <si>
    <t>x-benedicconocimiento de todos los jóvenes del rei­ tino: para dos canongías de esta catedral de no que dan esperanzas de ser útiles á la Santander á D. Juan Manuel de Amechepatria , interesarse en sus 'adelantamientos, zura , presbítero, y á D. Juan Antonio de y atraerlos al servicio público. Llarena , presbítero ex- mercena…</t>
  </si>
  <si>
    <t>de Anaya, Julián</t>
  </si>
  <si>
    <t>Julián de Anaya</t>
  </si>
  <si>
    <t>de la Cruz. = D. Josef de Zayas. Grados de Coronel á los Tenientes Coroneles Mr. Benjamín D*Uiban , Teniente Coronel al servicio de la Inglaterra. = D. Julián de Anaya* z:D. Jc«í Pare des. Josef Prieto, zz D- Luis BalaDzat. D. Juan de la Cuesta.as D. Josef Garrido. Grades de Teniente Coronel - á los Capitanes i D. Mariano Lmz…</t>
  </si>
  <si>
    <t>de Andoin, Manuel García</t>
  </si>
  <si>
    <t>Manuel García de Andoin</t>
  </si>
  <si>
    <t>ellanía ,de Manuel Gómez Ce­ drón otra casa y varias heredades, al contado 7480 , y 11220 al fiado: en dicho; lugar varias fincas de 1% capellanía de D. Manuel García de Andoin, al;contado 6732 , y 10098 al fiado : dos casas y diferentes heredades perte­ necientes á la de D.:Hermenegildo Ballesteros, al contado 15708, y 23562…</t>
  </si>
  <si>
    <t>de Andraca, Pedro Jacinto</t>
  </si>
  <si>
    <t>Pedro Jacinto de Andraca</t>
  </si>
  <si>
    <t>canongía de la misma que esta última se establezca por leí, como santa iglesia ; y para la ración que dexa á se previene después tít. 13 , art. 14?. D. Pedro Jacinto de Andraca , presbítero El senado exercerá estas facultades del y beneficiado de la ciudad de Vitoria : á modo que se prescribirá en los artículos D. Andrés Mart…</t>
  </si>
  <si>
    <t>de Andrade, Bernardino Freyre</t>
  </si>
  <si>
    <t>Bernardino Freyre de Andrade</t>
  </si>
  <si>
    <t>24 de febrero de 1809</t>
  </si>
  <si>
    <t>Gazeta del Gobierno n.º 9</t>
  </si>
  <si>
    <t>o­ bre las fronteras de aquel Reyno : á cuyo efecto se habiat acordado que en qualquiera frontera donde se hallare, con­ ferenciase con los Generales D. Bernardino Freyre de Andrade , que estaba en el Miño , ó con D. Francisco de la Silveyra , que mandaba en Tras-io«-Montes, para que le auxiliasen con la mayor fuerza armada q…</t>
  </si>
  <si>
    <t>de Andrade, Francisco Tayiel</t>
  </si>
  <si>
    <t>Francisco Tayiel de Andrade</t>
  </si>
  <si>
    <t>, y ha­ biéndose extraviado en la fecha de su remisión , que fué en 20 de noviembre de 1808 , se previene para que se entregue en es­ ta de Sevilla á D. Francisco Tayiel de Andrade. P. S. Acabamos de recibir papeles de Inglaterra hasta 22 de no­ viembre (1). — Contienen extractos de la nueva constitución de Sue­ cia. — El alm…</t>
  </si>
  <si>
    <t>de Andrade, Freyre</t>
  </si>
  <si>
    <t>Freyre de Andrade</t>
  </si>
  <si>
    <t>Gazeta del Gobierno n.º 14 (edición complementaria)</t>
  </si>
  <si>
    <t>nica irá contra la Guayana. PORTUGAL. Lisboa 18 de marzo. El Gobernador de Villanueva de Cervera* con fecha de io del corriente, da parte ai Teniente General Freyre de Andrade de que en virtud de las órdenes que le había dado de sorprehender al gobernador del castillo de Gayón , lo había executado , habiendo pasado el rio cer…</t>
  </si>
  <si>
    <t>de Ánduaga, Joaquín</t>
  </si>
  <si>
    <t>Joaquín de Ánduaga</t>
  </si>
  <si>
    <t>extraor­ dinario que M. Stua.rd despacha á aquella isla. Aprovechan­ do esta ocasión D. Joaquín de Campuzano , que ha vuelto de Viena con pliegos de D. Joaquín de Ánduaga , para enviar á V. E. un extraordinario, me valgo yo tamJfien de ella para informar á Y. E. de todo lo que ha pasada en estos dias en la parte de Italia, ab…</t>
  </si>
  <si>
    <t>de Antilion, Isidoro</t>
  </si>
  <si>
    <t>Isidoro de Antilion</t>
  </si>
  <si>
    <t>202</t>
  </si>
  <si>
    <t>os que han llegado , y que se dará á quantos los sigan. ________ * Elementos de la geografía astronómica natural y política de España y Portugal. Por D. Isidoro de Antilion. Un tomo en S.9 con un. mapa de ia península. Se hallará en pasta á 26 rs., y en rústica á 22. en la librería de Berard , calle de Génora. Principios de g…</t>
  </si>
  <si>
    <t>de Antona, Antonio Saez</t>
  </si>
  <si>
    <t>Antonio Saez de Antona</t>
  </si>
  <si>
    <t>misario Ordenador D. Juan Antonio Rodríguez de Tordesillas. ................................................................................. 4,000 ' D. Antonio Saez de Antona, del comercio de esta ciudad. 4,000 D. Nicolás del Portillo y Portillo, Oficial mayor de la Real factoría de Utensilios de la tropa de Madrid. ...... 1…</t>
  </si>
  <si>
    <t>de Ar, Pablo</t>
  </si>
  <si>
    <t>Pablo de Ar</t>
  </si>
  <si>
    <t>o, de D. Fran­ cisco Xavier de Nígrete, dé los Marqueses de Casa-calvo, de Vendaya , de Casa Palacios , y de Monte hermoso , de D¿ Manuel Romero , de D. Pablo de Ar ribas , de' D. Josef Marquina y Galindo , del Marqués de San Adrián, de D. Tomás de Moría , de D. Manuel Sixt o Espinosa, de D.Luis Marcelino Péreyra, de D* Juan …</t>
  </si>
  <si>
    <t>de Aras, Matías</t>
  </si>
  <si>
    <t>Matías de Aras</t>
  </si>
  <si>
    <t>rra y Fago, mandados to­ dos por los oficiales D. José Fermín Gonget, D. Pedro Fran-. cisco de Cambra , D. Sebastian de Gambra , D. Genaro Mar­ tin , D. Matías de Aras , D. Tomás de Renovales , D. Ale-* ¿andró Amigot, D. Juan Casao, y los cadetes D. Xavier An­ gel Ros , D, Vicente de Soravilla , D. José María Barricat,D. Pedr…</t>
  </si>
  <si>
    <t>de Arce, Antonio</t>
  </si>
  <si>
    <t>Antonio de Arce</t>
  </si>
  <si>
    <t>Gazeta del Gobierno n.º 21 (suplemento)</t>
  </si>
  <si>
    <t>401</t>
  </si>
  <si>
    <t>an desde las orillas dél frío Matachel á Castilla la nueya con pasaporte francésv Asímismó incluye las copias qne le' ha dirigido elTenienfe General: D. Antonio dé Arce del papel que le pasó el xefe dél esíádo mayor' dél ejército francés- en Mérida , y dé1 Su- cóntexfacíon sobre lá éiítrégá dél oficial prisionero que fué cond…</t>
  </si>
  <si>
    <t>de Arco, Antonio</t>
  </si>
  <si>
    <t>Antonio de Arco</t>
  </si>
  <si>
    <t>calle de la Cuchillería de dicha ciudad, en que habifa lasco vecinos de él, por i* fanegas de trigo y cebada y D. Antonio de Arco, correspondiente á fundación pia­ 2 gallinas: el mismo de40 ¿megas en variai tierras, pra­ dosa , instituida en la insigne iglesia colegial de Santa dos y solares en S. Adrián, por las que</t>
  </si>
  <si>
    <t>de Arias, Manuel</t>
  </si>
  <si>
    <t>Manuel de Arias</t>
  </si>
  <si>
    <t>n reai , quarenta y nueve ponchos de xerga , y dos pares de medias, que importa mil trescientos quarenta y dos reales y tres quartilíos. E N PRENDAS» D. Manuel de Arias , un par de medias.r=D. Josef Carmona, un par de medias. =:D. Pedro Herrera , un par de medias.es D. Félix Díaz , una camisa.—Doña Rosa de Castro, unos zapato…</t>
  </si>
  <si>
    <t>de Arnauda, Agustin</t>
  </si>
  <si>
    <t>Agustin de Arnauda</t>
  </si>
  <si>
    <t>siguiente parte quede;ha dado el teniente coronel D. Agustín Arnauda. — “ Excmo. Sr,.— Con fecha dé 4 del cor­ riente me di.ee&gt; el teniente coronei. D. Agustin de Arnauda lo si­ guiente. — Excmq. Sr. — En ios ataques que sufrí, por todas las fuerzas de Barcelona desde, el día; 1© al 21 del pasado, me</t>
  </si>
  <si>
    <t>de Arraya, Julián</t>
  </si>
  <si>
    <t>Julián de Arraya</t>
  </si>
  <si>
    <t>sus Ayudantes los Capitanes D. Mariana Lanzarote, D. Antonio Putg , D. Juan Manuel de Pereyra, y el de la misma dase , graduado de Teniente Corone), D. Julián de Arraya estuvieron siempre á mi lado , y trabr?ja­ ro a extraordinariamente para contener los tres cuerpos de ca^ baiiería. El Brigadier D. Gregorio Rodríguez , Coman…</t>
  </si>
  <si>
    <t>de Arriaga, Antonio</t>
  </si>
  <si>
    <t>Antonio de Arriaga</t>
  </si>
  <si>
    <t>rosidad de facilitarlos sin interes las casas de D. Juan Miguel de Carlos, y Mícheo padre é hi­ jo , de Veamurguia y Lissur , D. Fermia de EJizalde , D. Antonio de Arriaga , y D. Bartolomé de Alzazna: se ha ser­ vido S. M. de mandar se haga pública esta acción benéfica y patriótica de estos sugetos , de qu? resulta ún 'intere…</t>
  </si>
  <si>
    <t>de Arribas, Francisco</t>
  </si>
  <si>
    <t>Francisco de Arribas</t>
  </si>
  <si>
    <t>D. Manuel Iñigo de; Angulo y Don j ,,Nos reputamos dichpsos, Señor, de Miguel de Corres. 'I .haber merecido el honor de ser elegidos en­ El arcediano D. Francisco de Arribas di­ tre nuestros conciudadanos pata ofrecer # rigió á S. M. el.discurso siguiente : V. M el tributo de nuestro respeto y amor, „SeSoa : El cabildo de vue…</t>
  </si>
  <si>
    <t>de Arrieta, Leonor</t>
  </si>
  <si>
    <t>Leonor de Arrieta</t>
  </si>
  <si>
    <t>pintados situada al lado del convento la iglesia parroquial de S. Ildefonso de esta ciudad por de las señoras comendadoras de Santiago de esta corte, Doña Leonor de Arrieta, de que es actual poseedor hace presente al público que sin embargo de las cir­ D- Ignacio de Revuelta, al contado vale 11¿) rs., y al cunstancias del tie…</t>
  </si>
  <si>
    <t>de Artacoz, Carlos Miguel</t>
  </si>
  <si>
    <t>Carlos Miguel de Artacoz</t>
  </si>
  <si>
    <t>fosa con fecha de f.0 del corriente : Que habiendo salido en aquel misino dia de dicha plaza, movido de su ardor mi?* litar, el , Comisario de guerra D. Carlos Miguel de Artacoz mandando 30 voluntarios á perseguir algunas partidas de ca­ ballería enemiga que se ¿cercaban ¿ las alquerías de aquel término , descubrid una partid…</t>
  </si>
  <si>
    <t>de Aseaso, Lorenzo</t>
  </si>
  <si>
    <t>Lorenzo de Aseaso</t>
  </si>
  <si>
    <t>en los ; españoles. Merecen particular recomendación el ayudante general D. José Escu­ dero, ylos oficiales adictos á mi estado mayor, Jos capitanes D. Lorenzo de Aseaso , D. ■ Ramón Sentmaaat, quien tuvo.un caballo herido, y el ca, pitan, del real cuerpo de .Ingenieros D¡. Blas Manuel Teruel, Estos tres .oficiales han asisti…</t>
  </si>
  <si>
    <t>de Auerstadt, JDuque</t>
  </si>
  <si>
    <t>JDuque de Auerstadt</t>
  </si>
  <si>
    <t>aguncia con dirección á Metz, y por la inver­ sa están transitando tropas- francesas para elterritorio de Hanau. En Munich se tiene por cierto que el Mariscal JDuque de Auerstadt d^bé retroceder ár París en .el discurjo del mes próximo. GRANBRET A N A. Londres 24 de marzo. En la sesión de la cámara de los comunes, del 24 de f…</t>
  </si>
  <si>
    <t>de Augsbnrgo, Oudinot Escriben</t>
  </si>
  <si>
    <t>Oudinot Escriben de Augsbnrgo</t>
  </si>
  <si>
    <t>a dado después de Alemania se juntarán en Munich para cele­ su regreso a funciones mui brillantes, á brar una conferencia. las qualeS han asistido el general Oudinot Escriben de Augsbnrgo que la comu­ y muchos oficiales franceses de superior nicación por correos entre Paris y Viena es graduación. S. A. ha honrado con su pre­ …</t>
  </si>
  <si>
    <t>de Augustembut, Cristiano</t>
  </si>
  <si>
    <t>Cristiano de Augustembut</t>
  </si>
  <si>
    <t>racovia para seguir el alcan­ DINAMARCA. ce al enemigo qtiando se recibió la noticia del armisticio. Copenhague 25 de julio. Cracovia iG de julio. El príncipe Cristiano de Augustembut- El dia 13 del corriente supimos que el go acaba de ser nombrado por S. M. danesa exército ruso-polaco se aproximaba á nues­ gobernador general…</t>
  </si>
  <si>
    <t>de Augusten, Cristiano</t>
  </si>
  <si>
    <t>Cristiano de Augusten</t>
  </si>
  <si>
    <t>a, relativo á la forme mui circunstanciado sobre los nego­ elección de su sucesor. El Rei considera cios políticos del reino desde la dieta de que el príncipe Cristiano de Augusten— 1800 hasta la época presente. Acompañan bourg desciende de una casa ilustre, que á dicho informe los documentos justificati­ ha dada ya varios Re…</t>
  </si>
  <si>
    <t>de Augustenbourg, Cristiano</t>
  </si>
  <si>
    <t>Cristiano de Augustenbourg</t>
  </si>
  <si>
    <t>jo de setiembre. sobre esta propuesta lo mas pronto que sea Extracto de las minutas de la secretaría posible. = Firmada — Carlos xiti.” de Estado. El príncipe Cristiano de Augustenbourg, En nuestro palacio de Madrid á 5 de elegido príncipe real de Suecia, nació en 9 setiembre de 1809. de julio de 1768. Está aun soltero, y tie…</t>
  </si>
  <si>
    <t>de AVribas, Francisco</t>
  </si>
  <si>
    <t>Francisco de AVribas</t>
  </si>
  <si>
    <t>,y de:lfl[ $jp¡Ud de ria de la n^ciop.española.” r^; &lt;-7 Burgos. Los diputados por la iglesia fueron El diputado de b ciudad D. Luis To­ los señores D. Francisco de 'AVribas, arce­ mé dirigió en seguida á S.M.el discurso diano titul arde Bú rgos; D. Manuel Frayle- que sigue : _-yPrior, canónigo penitenciario; D. Rampa „Se»or …</t>
  </si>
  <si>
    <t>de Azan, Joséf Miguel</t>
  </si>
  <si>
    <t>Joséf Miguel de Azan</t>
  </si>
  <si>
    <t>dos todos baxo el cetro de , nos siguientes *. -V. M., con olvida de la funesta discordia que los ha dividido , sean tan felices , co­ El Exorno. Sr. D. Joséf Miguel de Azan- mo pueden serlo, si saben aprovecharse de za por los demás señores ministros. . las ventajas que Ies promete su nueva cons,,Se$ok: Los Ministros de V. M…</t>
  </si>
  <si>
    <t>de Azanza, Miguel Josef</t>
  </si>
  <si>
    <t>Miguel Josef de Azanza</t>
  </si>
  <si>
    <t>l quiera estado , cali­ dad ó condición que fueren , que hayan seguido, y sigan el paiddo francés, y señaladamente los dé D. Gonzalo de Ofarrííl , de D. Miguel Josef de Azanza , del Marqués Caba­ ñero , del Conde de Campo de*Atange , del Duque de Frías, del Conde dé Cabarrits , de D. Josef Maz arredo ^ de D. Ma­ riano Luis dé…</t>
  </si>
  <si>
    <t>de Balmis, Franciíco Xavier</t>
  </si>
  <si>
    <t>Franciíco Xavier de Balmis</t>
  </si>
  <si>
    <t>ilantrópica viruelas eran ciertamente una enfermedad se confió al cirujano honorario de la real cá­ exótica y desconocida en estas regiones has­ mara D. Franciíco Xavier de Balmis, y á ta la conquista de los españoles; pero por D. Francisco Salvani en calidad de subdi­ desgracia el texido de la cutis y los humo­ rector. Estos…</t>
  </si>
  <si>
    <t>de Balmis, Francisco Xavier</t>
  </si>
  <si>
    <t>Francisco Xavier de Balmis</t>
  </si>
  <si>
    <t>nio Valdés. — D. JoséRaniirez. — Marques de Revilla. — D. Luis Gonzalo. —- D Manuel de la Pe­ ña.— Dt Ignacio Antonio de Cortabarria.— D. Ramón Ger.— D. Francisco Xavier de Balmis. — D. Juan Polo. — Marques de. Béigída. — Marques- de Casteiar. — D. Manuel Vélaseos—D Jo­ sé Olatte. — D. Francisco y D. Manuel del Valle. — Duque…</t>
  </si>
  <si>
    <t>de Barrio, Joaquín</t>
  </si>
  <si>
    <t>Joaquín de Barrio</t>
  </si>
  <si>
    <t>del lugar de Menes, cargaron sobre él dichas tropas , la partida de tiradores del, regimiento de Navarra de línea al mando del subteniente del mismo D. Joaquín de Barrio, y la com­ pañía de granaderos de Castropól al de .su capitán D. Manuel Queipo , y lo hicieron con-tanto arrojo y valentía, que arrollado y ven­ cido repasó …</t>
  </si>
  <si>
    <t>75</t>
  </si>
  <si>
    <t>o , el sargento mayor del de Grado D. Juan.de Cándano,.el teniente de Salas D.Bartolomé Fer­ nandez , que s^ilió. herido, y él subteniente dé Navarra D. Joaquín de Barrio se han distinguido particularmente en este dia, por lo que los recomiendo á V. E., como también al sargento segundo de Navarra Juan Bertaimer , y al primero…</t>
  </si>
  <si>
    <t>de Baviera, Amalia</t>
  </si>
  <si>
    <t>Amalia de Baviera</t>
  </si>
  <si>
    <t>ara alojar en él á $. E. el duque de Averstaedt ^comandante en gefe de dicho exército. Bamberg j de diciembre. Ayer á la una de la mañana S. A. R. ía duquesa Amalia de Baviera dtó felizmente á luz un príncipe, que ha sido bautizado después de medio día en palacio en presencia de la princesa de Neufchatel y de toda la cor­ te,…</t>
  </si>
  <si>
    <t>de Baviera, Guillerma</t>
  </si>
  <si>
    <t>Guillerma de Baviera</t>
  </si>
  <si>
    <t>ancfort i 8 de junio. por macho tiempo en Dantzick, ha tomado Ayer han llegado aquí SS. AA. el prín­ ahora el mando de la fortaleza de Wurtzcipe y la princesa Guillerma de Baviera» que vknen á visitar á SS. MM. el Re» y ESPAÑA. Reina de Saxonia } Ja familia de S. A. I. el gran duque de Wurtzburgo; S. E. el conde Santa Cruz de…</t>
  </si>
  <si>
    <t>de Baviera, Guillermo</t>
  </si>
  <si>
    <t>Guillermo de Baviera</t>
  </si>
  <si>
    <t>Gazeta del Gobierno n.º 2 · 2.ª serie</t>
  </si>
  <si>
    <t>co (*), Francfort 24 de junio. Se hallan actualmente en esta ciudad el rey de Saxonia , el gran duque de Wurtzburgo , el duque de Anhalt-Koethen , el duque Guillermo de Baviera con su es­ posa, el príncipe de Loevenstein-VVerthein , y el gran duque de He3se-Darmstadt. El mariscal Kellerman ha venido á hacer una vi­ sita á tod…</t>
  </si>
  <si>
    <t>de Belíegarde, Conde</t>
  </si>
  <si>
    <t>Conde de Belíegarde</t>
  </si>
  <si>
    <t>posible moderar el ardor de cuestras tropo?. Lsudshut es la ¿laye del :Iser ; mucha parte de la Ba« .viera se bal ja ya en nuestro poder. Si Teniente general Conde de Belíegarde salió de B^heir ía el jo por Tirschenreinth al frente del primer cuerpo de .exército., y el 12 se reunió en Wernberg con el segundo cuerpo, que Libia…</t>
  </si>
  <si>
    <t>de Benavides, Luis Manuel</t>
  </si>
  <si>
    <t>Luis Manuel de Benavides</t>
  </si>
  <si>
    <t>osé Unceta. — D. Fermín de Lusarreta. ~ D. Eulogio Espi­ no.— D. Francisco Barraneche. — D. Cipriano Iturraldé.— D. To­ mas Yoldi.—D. José Sánchez. — D. Luis Manuel de Benavides. — D. Lorenzo de Sobrecosas/ — D. Manuel Cárrica. — D. Venancio</t>
  </si>
  <si>
    <t>de Bertrán, Felipe</t>
  </si>
  <si>
    <t>Felipe de Bertrán</t>
  </si>
  <si>
    <t>s lós xefes, oficiales y tropa marcharon al enemigo con la mayor va­ lentía, y deseos de destruirle, tanto* que el ayudante del regimien­ to de Grado D. Felipe de Bertrán con solo 9 hombres del mismo; cuerpo * y algunos Catalanes que pudieron seguirle , se metieron en dicho puente, sobre los enemigos* destrozándolos á bayonet…</t>
  </si>
  <si>
    <t>de Brunn, Rewbeli</t>
  </si>
  <si>
    <t>Rewbeli de Brunn</t>
  </si>
  <si>
    <t>Silesia; pero como el armisticio de Znaim 4joo hombres el ofimero de tropas que ha puesto en poder de los franceses la plaza componen la división del general Rewbeli» de Brunn , y de consiguiente la mayor par­ que se aguarda en estas cercanías. S. E. lle­ te de la Moravia, este príncipe se ha visto gó en persona el dia 2 a. E…</t>
  </si>
  <si>
    <t>de Buque, Rafael</t>
  </si>
  <si>
    <t>Rafael de Buque</t>
  </si>
  <si>
    <t>D. Manuel Navarro , 30 rls. para dos mochilas» D. Antonio González , 20 rls. para dos pares de medias» D. Manuel Díaz, to rls. para un par de medias. D. Rafael de Buque , 20 rls. para dos pares de medias» D. Antonio Ahumada, 10 rls. para un par de medias» D. Tomas de Rueda , 30 rls* para dos mochilas. D. Antonio Sánchez , 10 …</t>
  </si>
  <si>
    <t>de Buruaga, Manuel Saenz</t>
  </si>
  <si>
    <t>Manuel Saenz de Buruaga</t>
  </si>
  <si>
    <t>bles párrocos y eclesiásticos. Hizo noche S. E. en Arévaio, villa de 730 vecinos, y concurrieron á su posada los sugetos si­ guientes : El corregidor D. Manuel Saenz de Buruaga; los individuos del ayunta­ miento D. Antonio Luengo Vázquez, regidor decano ; D. Juan de Dios Dáviia, regidor; D. Antonio Ovejero, regidor habilitado…</t>
  </si>
  <si>
    <t>de Burunda, Calixto García</t>
  </si>
  <si>
    <t>Calixto García de Burunda</t>
  </si>
  <si>
    <t>cuerpo de Ingenieros. A los ayudan­ tes generales D. Estanislao Sánchez Salvador , teniente coronel del regi­ miento de infantería del Principe, y á D. Calixto García de Burunda, espitan del mismo : al ayudante de campo del mayor general de infante­ ría D. Juan Saaties, capitán del de la Union ; al del mariscal de campo</t>
  </si>
  <si>
    <t>de Butlher, Juan</t>
  </si>
  <si>
    <t>Juan de Butlher</t>
  </si>
  <si>
    <t>s mas preciosos intereses ? ; • La junta de Zaragoza, compuesta de los, individuos cuyos nombres sie­ guen , á saber, D. Pedro María Ric, presidente, D. Juan de Butlher, el duque de¥:íllahermosa, el marques deiFuerite^ Olivar, él barón de Purroi, Mariano Domínguez, D. Joaquín Ignacio Escala, Miguel^Doíz, secretario, D. Marian…</t>
  </si>
  <si>
    <t>de Ca, Martin</t>
  </si>
  <si>
    <t>Martin de Ca</t>
  </si>
  <si>
    <t>407</t>
  </si>
  <si>
    <t>407 Sevilla 8 de noviembre. S.M. se lia servido expedir los des rea­ les decretos siguientes. I.° “ Habiendo insistido D. Martin de Ca­ ray en la dimisión del encargo de la primera secretaría de Esta­ do v del despacho , que interinamente desempeñaba, ha tenido á bien la Junta suprema gubernativa del reyno el admitírsela , y …</t>
  </si>
  <si>
    <t>de Cabria, D Antonio Ruiz</t>
  </si>
  <si>
    <t>D Antonio Ruiz de Cabria</t>
  </si>
  <si>
    <t>on 114 hombres del regimiento de Candas v Luanco, por él mismo punto, y por el camino de S. Pedro se dirigió á situarse frente dei puesto enemigo. El coronel D* Antonio Ruiz de Cabria le pasó por Vilde con 4 compa­ ñías de granaderos, y dos de tiradores. El teniente coro­ nel D. Mario Valdina comandante de columna de alter­ n…</t>
  </si>
  <si>
    <t>de Cambra, Pedro Francisco</t>
  </si>
  <si>
    <t>Pedro Francisco de Cambra</t>
  </si>
  <si>
    <t>o real ó Bochuela, y la iz­ quierda por las alturas de Odieta, cuyos puntos ocupaban nuestros dignos defensores, el de Odieta mandado por el capitán. D. Pedro Francisco de Cambra, el centro por el</t>
  </si>
  <si>
    <t>de Camino, Manuel Peres</t>
  </si>
  <si>
    <t>Manuel Peres de Camino</t>
  </si>
  <si>
    <t>extraordinaria.,, que h^ de co­ nocer de los delitos de que eo .decreto i de este dia queda hecha mención; . y porfiscaldeclla al ¡Uterino de la sala D. Manuel Peres de Camino, i 7. articulo 11. Nuestro ministro de la Justicia y de la Policía general quedan encarga­ dos, cada uno en la parte que le toca, de la execucion del p…</t>
  </si>
  <si>
    <t>de Campuzano, Joaquín</t>
  </si>
  <si>
    <t>Joaquín de Campuzano</t>
  </si>
  <si>
    <t>al no se ha ve­ ri Scado hasta hoy porque no ha llegado antes el extraor­ dinario que M. Stua.rd despacha á aquella isla. Aprovechan­ do esta ocasión D. Joaquín de Campuzano , que ha vuelto de Viena con pliegos de D. Joaquín de Ánduaga , para enviar á V. E. un extraordinario, me valgo yo tamJfien de ella para informar á Y. E.…</t>
  </si>
  <si>
    <t>de Caray, Martin</t>
  </si>
  <si>
    <t>Martin de Caray</t>
  </si>
  <si>
    <t>Gazeta del Gobierno n.º 25 (suplemento)</t>
  </si>
  <si>
    <t>aes­ tre. Dios guarde á V. E. .muchosaños. Qua rtel general de Monasterio 6 de mayo de j8op.j== Excmo. Sr. ¡— 'Gregorio de la Cues­ ta. == Excmo. Sr. D. Martin de Caray.” NOTA. 'Ni en la dignidad ,ni ¡en ¡los principios de la Junta Su prema cábia dar áíiotelo otra con­ textacion ¡¡que la respuesta .franca y decisiva que le ha…</t>
  </si>
  <si>
    <t>Gazeta del Gobierno n.º 32 (extraordinaria)</t>
  </si>
  <si>
    <t>orreo .á Badajoz; ,, Dios guarde á V. E. muchos años.-Lisboa 24 de mayo de 18¿p e=:Excmo Sr.=B. L. M. de V. E.=Et&gt;aristo Perez ,de Castro.~Rxcmo. Sr. D. Martin de -Caray. Naciones-de la Europa , 'tal es el estado en que se hallan en Portugal esas legiones inven­ cibles, y tal es el modo desvergonzado con que se quiere abusar …</t>
  </si>
  <si>
    <t>251</t>
  </si>
  <si>
    <t>opio quartel gene­ ral un prisionero con 7 caballos , procedentes de otra acción que tuvo el día 2.2 , en la que mató á 6 enemigos. Por el Excmo. Sr. D. Martin de Caray se ha comunicado con fecha del 17 último la real orden siguiente. — Deseando la Jun­ ta suprema gubernativa del reyno evitar á las gentes fugadas de* Madrid y…</t>
  </si>
  <si>
    <t>de Carbajal, Joaquin</t>
  </si>
  <si>
    <t>Joaquin de Carbajal</t>
  </si>
  <si>
    <t>ntería D. Manuel de Peñas, y los oficiales de Plana ma­ yor, el Coronel D. Gervasio Gasea, el Teniente Coronel D. Agustín Hore, los Sargentos mayores D. Joaquin de Carbajal, y D. Miguel de Velasco, aquel de mi división, y este de caballería, el Ayudante de Campo de V. E. D. Fernando Ferrer, el mío D. Sebastian Mantilla, los d…</t>
  </si>
  <si>
    <t>de Carlos, Juan Miguel</t>
  </si>
  <si>
    <t>Juan Miguel de Carlos</t>
  </si>
  <si>
    <t>rnando Vil , en cuyo R^al nombre rige la Suprema Junta Central ; y señalándose en la prontitud y generosidad de facilitarlos sin interes las casas de D. Juan Miguel de Carlos, y Mícheo padre é hi­ jo , de Veamurguia y Lissur , D. Fermia de EJizalde , D. Antonio de Arriaga , y D. Bartolomé de Alzazna: se ha ser­ vido S. M. de …</t>
  </si>
  <si>
    <t>de Cas, Miguel</t>
  </si>
  <si>
    <t>Miguel de Cas</t>
  </si>
  <si>
    <t>uno en 1800; D. Ceferino Rodríguez 3 en 130; la viuda dé Retortillo 4 en 170; la condesa de Sarria 16.100; el conde de las Cinco-Torres 4 en 15.200 ; D. Miguel de Cas­ tro 3 en 6900 ; D. Antonio Lavalle 2 en 5700. — De San Lucar de Barameda , D. Francisco de Paula Rodríguez 4 en 12.600. — Para conducciones y mantenidas por su…</t>
  </si>
  <si>
    <t>de Casanova, Ramón</t>
  </si>
  <si>
    <t>Ramón de Casanova</t>
  </si>
  <si>
    <t>Duhesme. &lt;&gt;:íl ) Carta escrita, por el general Vives, general en gefe del exército españal delante de Barcelona, al comisario general de Policía. Si D. Ramón de Casanova quiere volver á la gracia de su patria coopc-</t>
  </si>
  <si>
    <t>de Casaseca, Antonio</t>
  </si>
  <si>
    <t>Antonio de Casaseca</t>
  </si>
  <si>
    <t>. nombrar vación , puede tal vez provenir de provi­ por decreto del mismo dia corregidor de dencias administrativas, y que el infrascrito Salamanca á D. Antonio de Casaseca. no titubea en declarar que son generales para todos los países confinantes ¿e ia pro­ nota. En la gazeta de ayer, pág. 6r6, vincia, en la qual se hayan o…</t>
  </si>
  <si>
    <t>de Castilla, Angel Teófilo</t>
  </si>
  <si>
    <t>Angel Teófilo de Castilla</t>
  </si>
  <si>
    <t>ho hospital del suerte de sus pueblos , hará sin duda re­ Rei, para una ración de la catedral de Oren­ formas saludables, que son los monumen­ se : á D. Angel Teófilo de Castilla , chantre tos mas duraderos de la gloria de los Reyes. de la colegiata de Logroño, diócesis de Cala­ horra , para el deanato de la misma iglesia: D.…</t>
  </si>
  <si>
    <t>de Castilla, Pedro</t>
  </si>
  <si>
    <t>Pedro de Castilla</t>
  </si>
  <si>
    <t>García , 70 rls. para 4 mochilas y unas medias» D. Joan Josef Benitea , 60 rls. para .4 mochilas» D. Bernardo Coroviqui , 12 ris. para un sombrero. . D. Pedro de Castilla , 10 rls. para un par de medias» D. J a^uin Sánchez, 40 rls. para dos mochilas y un par de medias» D. Jo$ef Romero, 20 rls. para dos pares de medias. D. Man…</t>
  </si>
  <si>
    <t>de Castillo, Pedro</t>
  </si>
  <si>
    <t>Pedro de Castillo</t>
  </si>
  <si>
    <t>J&gt;. Antonio Olavarría, 40 rs. == D. Miguel Baeza , 24 rs. =D. Peregrino Mallen , por una vez, 40 rs. cu El P. Prepósito de S. Felipe Nefi , 200 r«.*= D. Pedro de Castillo , 60 r?. — D. Josef Chamorro, ¿oo rs. mD. Pasqual Ignacio Altolaguirre, too rs. = D. Alonso del Pino, por una vez, 144 rs. = D. Joaef Urquiaga , 60 rs. -zz …</t>
  </si>
  <si>
    <t>de Castjro, Joaquín González</t>
  </si>
  <si>
    <t>Joaquín González de Castjro</t>
  </si>
  <si>
    <t>s siguientes: una casa sita en esta corte, te corregidor de esta villa, y escribanía dei númeio dt* calle déi Escorial, núm. 15, manz. 462, tasada en D. Joaquín González de Castjro, se venden tas tinca» 3319.3 rs-, su sitio 1743 pies y 3 quartos quadrados ¡siguientes: una casa sita en esta corte, propia det co­ superficiales …</t>
  </si>
  <si>
    <t>de Castro, Evaristo Peres</t>
  </si>
  <si>
    <t>Evaristo Peres de Castro</t>
  </si>
  <si>
    <t>lenipotenciario y Enviado Extraordinario cerca del Príncipe Regente de Portugal con residencia en Rio-Janeiro, debiendo residir en la Corte de Lisboa D. Evaristo Peres de Castro, con el carácter de Encargado de Negocios. Asi mismo ha nombrado S. M. Secretario de dicho Ministerio en el Brasil á D. Luis Noeli, y Secretario Inte…</t>
  </si>
  <si>
    <t>de Castro, Joaquín González</t>
  </si>
  <si>
    <t>Joaquín González de Castro</t>
  </si>
  <si>
    <t>por el juzgado del Sr. D. León 33 *45 de Sagasta, teniente corregidor de esta villa, y escri­ De la misma órden está mandado sacar á pública banía de D. Joaquín González de Castro, se vendían, subasta, para la mañana del dia 14 de mayo próximo en virtud de reales decretos y cono pertenecientes á en la casa consistorial de est…</t>
  </si>
  <si>
    <t>de Castro, José</t>
  </si>
  <si>
    <t>José de Castro</t>
  </si>
  <si>
    <t>con bondad, el hómenage mas respetuoso 'de amor y gratitud qüe ofrecen á los' pies-de. V.'Mi Tárifá 29 dé julio de 1809. =±Senor. — Manuel ‘ Daban: = D. José dé Castro. í= Sebas­ tian de Prado. = Antonio González Saimón. = Tomás de Abreu y Orta. = Miguel José Dergui.zz Sr. presidente y vocales de la suprema Jun­ ta central de…</t>
  </si>
  <si>
    <t>de Castro, Juan Aivarez</t>
  </si>
  <si>
    <t>Juan Aivarez de Castro</t>
  </si>
  <si>
    <t>249</t>
  </si>
  <si>
    <t>Véanselas circunstancias del .he-, choen el parte siguiente; “Illmo. Sr.: en el dia 29 del- que acaba falleció en el lugar de los Hoyos el Illmo, Sí. D. Juan Aivarez de Castro, mi señor, dig­ nísimo obispo dé la santa iglesia catedral de Coria, á los 85 años siete meses y dos dias de edad : su muerte executada con la ma­ yor …</t>
  </si>
  <si>
    <t>de Castro, Manuel</t>
  </si>
  <si>
    <t>Manuel de Castro</t>
  </si>
  <si>
    <t>7 de diciembre de 1809</t>
  </si>
  <si>
    <t>Gaceta de Madrid n.º 342</t>
  </si>
  <si>
    <t>deanx; y al subteniente que En la noche del 29 al 30 de octubre fue del regimiento de caballería de Monteun cuerpo de las tropas francesas que bal sa D. Manuel de Castro ha nombrado igual­ en Aragón pasó el Segre cerca de la villa mente S. M. por subteniente del regimiento de Torres del Segre, donde estaban refu­ núm. 1.“ de …</t>
  </si>
  <si>
    <t>de Castro, Ramón</t>
  </si>
  <si>
    <t>Ramón de Castro</t>
  </si>
  <si>
    <t>es el siguiente. ~ ,, Cuba 24 de Noviembre. — Seis­ cientos: ó setecientos hombres , emigrados y puerto-riqueños, al mando , según lo mas seguro , de D. Ramón de Castro, desembarcaron por Yumba ( rio de Higuey ) , ó algo mas abaxo, y luego se les reunieron los vecinos de aquellos pueblos del ÉSTE, los mas de ellos montados y …</t>
  </si>
  <si>
    <t>de Castro, Rosa</t>
  </si>
  <si>
    <t>Rosa de Castro</t>
  </si>
  <si>
    <t>DAS» D. Manuel de Arias , un par de medias.r=D. Josef Carmona, un par de medias. =:D. Pedro Herrera , un par de medias.es D. Félix Díaz , una camisa.—Doña Rosa de Castro, unos zapatos.-=L“. Leandro Riso , dos pares de botines.es:Doña Anto­ nia üomtogüez , un par de medias.mD. Pedro Ortiz, un poncho.= ). Silvestre Corzo , una …</t>
  </si>
  <si>
    <t>de Ce, Miguel Gutiérrez</t>
  </si>
  <si>
    <t>Miguel Gutiérrez de Ce</t>
  </si>
  <si>
    <t>Gaceta de Madrid n.º 6</t>
  </si>
  <si>
    <t>se halla hecha postura en los términos especificados. Quien quisiere mejorarla, acuda ante su juzga­ do dentro del término prefinido por el oficio de D. Miguel Gutiérrez de Ce-</t>
  </si>
  <si>
    <t>de Cea, Juan</t>
  </si>
  <si>
    <t>Juan de Cea</t>
  </si>
  <si>
    <t>525</t>
  </si>
  <si>
    <t>e., á D.. Ramón Parraguesr. para una plaza de oidor que varó en la audiencia de Buenos Ayres., por promoción de D. Juan Bazo y Berri á la de Lirha, a D. Juan de Cea ■: para la de Sta. Fe, vacante por falleeimiento de D. José Bazo y Berri, á D. Juan Ju­ rado, auditor que ftié cíela capitanía-general de Caracas-: para la plaza …</t>
  </si>
  <si>
    <t>de Celada, Miguel Ruiz</t>
  </si>
  <si>
    <t>Miguel Ruiz de Celada</t>
  </si>
  <si>
    <t>enares , D. Cayetano en el ducado de Vartovia por las dificulta­ de Torres , alcalde mayor de Villalon, y des mayores que sufririan diferentes expor­ D. Miguel Ruiz de Celada, ex-catedrát¡taciones de la monarquía austríaca, si es co del seminario de Nobles. que con efecto experimentan alli alguna pri­ Asimismo se ha servido S…</t>
  </si>
  <si>
    <t>de Celis, Miguel Gutiérrez</t>
  </si>
  <si>
    <t>Miguel Gutiérrez de Celis</t>
  </si>
  <si>
    <t>a parte de presente, y lo demas en 19 plazos iguales, á 148500. Quien quisiere hacer postura al todo ó parte, acuda .ante su juzgado por el oficio de D. Miguel Gutiérrez de Celis , real escriba­ no del número de esta ciudad y de la comisión, que se admitirán las que hi­ cieren siendo arregladas: en suposición que verificada l…</t>
  </si>
  <si>
    <t>ima parte de presente, y lo de» mas en 19 plazos iguales, á 405629 rs. 7 mrs. Quien quisiere h&lt;*cer postu­ ra acuda ante su juzgado, por el oficio de D. Miguel Gutiérrez de Celis, real escribano del numero de esta ciudad y de la comisión, que se admiti­ rán lasque hicieren siendo arregladas; en suposición que, verificada la a…</t>
  </si>
  <si>
    <t>plazos iguales á 2.186755 rs. 23 mrs. vn. Quien quisiere hacer postura al todo ó parte acuda ante su juzgado en el término prefinido por el oficio de D. Miguel Gutiérrez de Celis, real escribano de! ndmero de esta ciudad y de la co­ misión , que se admitirán las que hicieren siendo arregladas; en suposi­ ción que verificada l…</t>
  </si>
  <si>
    <t>ésima parte de presente, y lo démas en 19 plazos iguales, ¿ 882228 rs. y 27 mrs. Quien quisiere hacer postura, acuda ante su juzgado por el oficio de D. Miguel Gutiérrez de Celis, real escribano del numero de esta ciudad y de la comisión , que se ad­ mitirán las que hicieren siendo arregladas; en suposición que, verificada la…</t>
  </si>
  <si>
    <t>de Celis, Ramón Rubin</t>
  </si>
  <si>
    <t>Ramón Rubin de Celis</t>
  </si>
  <si>
    <t>509</t>
  </si>
  <si>
    <t>ciencias éclesiástiCas y de la educación pública , han llorado a fines del mes próxi­ mo la muerte del erudito y virtuoso prebendado de esta catedral D. Ramón Rubin de Celis, á cuyo celo, tesón y buen gusto de? bió el colegio de S. Fulgencio los dias brillantes de su. prosperi­ dad y gloria miéntras lo tuvo por rector, proteg…</t>
  </si>
  <si>
    <t>de Cenerizos, Pedro</t>
  </si>
  <si>
    <t>Pedro de Cenerizos</t>
  </si>
  <si>
    <t>de cencía. Este exámen no tranquiliza aun al Níxera , diócesis de Calahorra, vacante por REI. No le basta que el principal liquida­ fallecimiento de D. Pedro de Cenerizos. dor sea un consejero de Estado, persona exenta de toda sospecha de prevaricación: no le basta que la comisión sea independien­ Concluye el discurso anterio…</t>
  </si>
  <si>
    <t>de Cervera, Josef</t>
  </si>
  <si>
    <t>Josef de Cervera</t>
  </si>
  <si>
    <t>esta ciudad y su partido; á Don del camino de Alagon, una batería para dos Diego Gallardo corregidor interino de To­ morteros y dos obuses. ledo, y á D. Josef de Cervera intendente El enemigo ha hecho un fuego continuo interino de su provincia, habiendo otorga­ contra estas obras, y nos ha herido tres do su jubilación al actu…</t>
  </si>
  <si>
    <t>de Cevailos, Pedro</t>
  </si>
  <si>
    <t>Pedro de Cevailos</t>
  </si>
  <si>
    <t>ones de florines: y la suma total de toda especie de manufacturas , en 389 millones de flori­ nes anuales. G R A N-B R E T A Ñ A. Londres 3 de marzo. D. Pedro de Cevailos , embaxador extraordinario de U Suprema Junta Central de España á nombre de S. M. Ca­ tólica Peinando VII , fuá presentado antes de ayer á S. ¡VT. Británica…</t>
  </si>
  <si>
    <t>de Chavarri, Francisco</t>
  </si>
  <si>
    <t>Francisco de Chavarri</t>
  </si>
  <si>
    <t>SUPLEMENTO A*'LA GAZETA DE MADRID ¡DEL DOMINGO 28 DE MAYO DE 1809. AVISOS. a su favor por D. Francisco de Chavarri; y no hablcnQiialquier sugeto que tenga derecho £ 1167 sacas -d.: llegado á su destino , se suplica á la persona en ctide algodón de las marcas AD, FD, TON y BF, per­ y’j poder se hallasen</t>
  </si>
  <si>
    <t>de Cifuentes, Pedro</t>
  </si>
  <si>
    <t>Pedro de Cifuentes</t>
  </si>
  <si>
    <t>la gracia de Dios y por la constitución del es­ tado , REI de las Españas y de las Indias : ,,Hemos decretado y decretamos lo siguiente: Nombramos ¿ D. Pedro de Cifuentes, oficial mayor de nuestro minis­ terio de Hacienda, por tesorero general, con el sueldo de 80® rs. anuales. Nuestro ministro de Hacienda queda encargado de …</t>
  </si>
  <si>
    <t>de Cisnerps, Baltasar Hidalgo</t>
  </si>
  <si>
    <t>Baltasar Hidalgo de Cisnerps</t>
  </si>
  <si>
    <t>va de Es­ paña e Indias, se ha servido nombrar Virey y capitán general de las provincias del Rio de la Plata al tenien­ te general de la; Real Armada D. Baltasar Hidalgo de Cisnerps: para la .capitanía general de las Provincias de Ve­ nezuela ,al brigadier D. Vicente de Emparan: para el go­ bierno y capitanía general de la Is…</t>
  </si>
  <si>
    <t>de Cobentzel, Luis</t>
  </si>
  <si>
    <t>Luis de Cobentzel</t>
  </si>
  <si>
    <t>28 de marzo de 1809</t>
  </si>
  <si>
    <t>Gaceta de Madrid n.º 87</t>
  </si>
  <si>
    <t>433</t>
  </si>
  <si>
    <t>rero. tre tanto una galera, ó inmediatamente que En la gazeta de la corte se ha anuncia­ se firmó el tratado de paz cqnda Inglaterra do la muerte del conde Luis de Cobentzel, se alzó la prohibición de los géneros colo­ ministro de Estado y de Conferencias, va­ niales ingleses tr y la esquadr^ turca, que es­ rón célebre por lo…</t>
  </si>
  <si>
    <t>de Cobenzel, Luis</t>
  </si>
  <si>
    <t>Luis de Cobenzel</t>
  </si>
  <si>
    <t>la Reina para perseguir al enemigo , alcanzó Thugut, el príncipe de Ligne , el anciano al rayar el dia la retaguardia de la coluna conde Wallis , el conde Luis de Cobenzel, que se replegaba hacia Gimona , y al ins­ principal autor de la guerra de 1805 , el tante fue acometida y arrollada. Ochocien­ príncipe de Zínzendorf, tod…</t>
  </si>
  <si>
    <t>716</t>
  </si>
  <si>
    <t>de Alexandro ; este tendrá la inis- secuentes ! Ahí teneis los lazos que os pone » ma suerte que aquel.” la Inglaterra 1 ¡¡ años ha, y sin embargo El conde Luis de Cobenzel , principal siempre caéis en elí &gt;s ; pero en fin , ya es­ autor de la guerra de 180; , estando en el tá cumplida ia catástrofe que vosotros mis­ lecho de…</t>
  </si>
  <si>
    <t>de Colloredo, Conde Josef</t>
  </si>
  <si>
    <t>Conde Josef de Colloredo</t>
  </si>
  <si>
    <t>las fatigas. La artillería se ha distinguido con particularidad, y ha conservado su antigua reputación. boletín 7.® Scharding m de abril. Mi querido Mariscal Conde Josef de Colloredo; los continuos movimientos del exército, y los muchos negocios que han ocurrido, no han dado lugar para la impresión de los boletines; y no quer…</t>
  </si>
  <si>
    <t>de Contreras, Juan Sener</t>
  </si>
  <si>
    <t>Juan Sener de Contreras</t>
  </si>
  <si>
    <t>24 5 El brigadier1 D. Juan Sener de Contreras, corónel de Siguénza, B, Fran­ cisco Copons del de Murcia, el coronel D. Domingo Lasala, teniente coro­ nel comandante del de Africa, el coronel D. Pedro Cortés, teniente coronel del de la</t>
  </si>
  <si>
    <t>de Cosgaya, Vicente Rodríguez</t>
  </si>
  <si>
    <t>Vicente Rodríguez de Cosgaya</t>
  </si>
  <si>
    <t>talidad de dichas fincas valen al contado 145825 rs., y al fiado 218737 y medio rs. Como apode­ rado de la provincia de Alava , Marcial Nazar. aviso. D. Vicente Rodríguez de Cosgaya, profesor de letras humanas, y ca­ tedrático de gramática castellana y latina en el real seminario de Nobles de esta corte, con real permiso tend…</t>
  </si>
  <si>
    <t>de Coupigní, Marqués</t>
  </si>
  <si>
    <t>Marqués de Coupigní</t>
  </si>
  <si>
    <t>Satir» tiago »3 de mayo de 1809. = Martin de la Carrera, — Sr. D« Jorge Mac-Kiniey, Comandante de lis faenas británicas en Vigo.” 1 _ . «El Teniente General Marqués de Coupigní remite con fecha de 29 del mes último el parte que le han dado ei sargento mayor D. Agustín de Arnauda y el teniente co­ ronel D. JVndrés de Villareal…</t>
  </si>
  <si>
    <t>de Coupigni, Marqués</t>
  </si>
  <si>
    <t>Marqués de Coupigni</t>
  </si>
  <si>
    <t>SUPLEMENTO Á LA GAZETA DEL GOBIERNO DEL VIÉRNES 7 DE JULIO DE 1809. SEVILLA. El Teniente General Marqués de Coupigni, en carta de 16 del pasa­ do , ha participado al Excmo. Señor I&gt;. Antonio Coruel lo siguiente: «Excrno. Sr. =:E1 Coronel D. Antonio Porta, destacado déla división del Mariscal de Campo ,D.</t>
  </si>
  <si>
    <t>de Cutoli, María</t>
  </si>
  <si>
    <t>María de Cutoli</t>
  </si>
  <si>
    <t>. Fran­ siguiente avanzó hasta llegar ai frente del cisco Cabrol capitán efectivo de infanteria santuario de nuestra señora del Tremedal, de línea; á D. María de Cutoli capitán del detras de Orihuela, en cuya posición sa regimiento de infantería española núm. i.°, hallaba el gafe de insurgentes Villacampa y á D. Alexandro La …</t>
  </si>
  <si>
    <t>de D, Materosa y</t>
  </si>
  <si>
    <t>Materosa y de D</t>
  </si>
  <si>
    <t>nombrado comandante en gefe de todas las fuerzas que tenemos en Portugal, y ha sa­ lido ya para Lisboa á bordo de la fragata Lavinia, acompañado del vizconde Materosa y de D. Diego de la Vega- . Mr. Merri , ministro de Inglaterra cerca de la corte de Suecia, se ha em­ barcado en Yarniout á bordo de la fragata Alexandría para …</t>
  </si>
  <si>
    <t>de Daimacia, Duque</t>
  </si>
  <si>
    <t>Duque de Daimacia</t>
  </si>
  <si>
    <t>18 de febrero de 1809</t>
  </si>
  <si>
    <t>Gazeta del Gobierno n.º 8 (extraordinaria)</t>
  </si>
  <si>
    <t>rol el '2l5 de enero de iSog. ^Firmado. = Francisco Melgarejo. s® Jo aquí n Fidalgo. rz Mariscal Duque de Daimacia. :zz Es copia .traducida del original. z= Melgaleja. La Junta Suprema Gubernativa ha leído con tanta indignación como sorpresa estas vergonzosas capitu­ laciones , en las quaies, no solo se</t>
  </si>
  <si>
    <t>de Dalmacia, Duque</t>
  </si>
  <si>
    <t>Duque de Dalmacia</t>
  </si>
  <si>
    <t>ecuró, 'y el dia 27 hizo la entrega de las puertas á la ho­ ra señalada. La capitulación de una y otra Plaza es la siguiente. Convenio entre S. E, el Mariscal Duque de Dalmacia3 Comandante en Xefe de las tropas de S. M, el Empe-* rador Rey en Galicia , y el Señor General D. An­ tonia Alcedo , Gobernador militar y política de …</t>
  </si>
  <si>
    <t>ón , compuesta de 170, hombres., se. entregó á discreción,. FRANCTA. París 1 4 de mayo. Escriben de nuestro exército de Portugal, que el de marzo, el Mariscal Duque de Dalmacia habia tenido una acción en Piñeiro-Viélho, á dos leguas de Braga, con portugueses, y que se habían retirado sobre Lisboa.. El 27 llegó, á Oporto,y muc…</t>
  </si>
  <si>
    <t>de Dalmacia, Marmont</t>
  </si>
  <si>
    <t>Marmont de Dalmacia</t>
  </si>
  <si>
    <t>ova. Toda la fuerza marítima que los franceses é italianos tenían des-r de las islas Jónicas hasta Venecia consistía en 6 fragatas Luego que salió el general Marmont de Dalmacia , hubo un gran albo­ roto en Ragusa, y fueron asesinados varios soldados franceses. Venían-i Tolon desde Rochefortmas de 43 soldados de marina, de lo…</t>
  </si>
  <si>
    <t>de Dantzic, Duque</t>
  </si>
  <si>
    <t>Duque de Dantzic</t>
  </si>
  <si>
    <t>27</t>
  </si>
  <si>
    <t>i exército mandado por este Mariscal debe aumentarse hasta el* número de iqo3 hombres* Munich 30 de marzo. Ha llegado á esta capital de la Baviera el Mariscal Duque de Dantzic despees de haber revistado las tropas fran­ cesas que se hallan á orillas del Yiler: y se cree que muy/ en breve pasaráá revistar las tropas bávaras ac…</t>
  </si>
  <si>
    <t>de Dinamarca, Cristiano</t>
  </si>
  <si>
    <t>Cristiano de Dinamarca</t>
  </si>
  <si>
    <t>pas que están en las islas danesas se uni­ Auer y Metz.rr. En consecuencia se previe­ rán con este cuerpo. ne á todos los empleados del estado que El príncipe Cristiano de Dinamarca exícuten y hagan executar las órdenes y de­ reemp'aza al general Ewald en el mando cretos de esta comisión; y desde este dia de las tropas que ha…</t>
  </si>
  <si>
    <t>de DiosRahé, Juan</t>
  </si>
  <si>
    <t>Juan de DiosRahé</t>
  </si>
  <si>
    <t>D* Francisco Rebolledo de Palafox y Melci. Exc. Señor Conde de Tilly. Exc. Señor D. Tomas de Veri* Exc. Señor D. Josef García de la Torre. Exc. Señor D. Juan de DiosRahé, SECCION DE MARINA. Exc. Señor Barón de Sabasona. Exc* Señor Conde de Ayamans* Exc. Señor Conde de Gimonde. Exc. Señor Marques de la Puebla. Exc. Señor D. Lo…</t>
  </si>
  <si>
    <t>de Eceiza, Francisco Josef</t>
  </si>
  <si>
    <t>Francisco Josef de Eceiza</t>
  </si>
  <si>
    <t>e: su dotación es cos, núm..i2, frente á las tapias de los Capuchinos, de 600 ducados pagados por la villa. Los pretendientes y en Alvistur al citado D. Francisco Josef de Eceiza. dirigirán sus memoriales al escribano de ayuntamiento Por D. Andrés Alvarez Guerra, vecino de la villa de ella , que se proveerá en el mas beneméri…</t>
  </si>
  <si>
    <t>de Echarte, Joaquín</t>
  </si>
  <si>
    <t>Joaquín de Echarte</t>
  </si>
  <si>
    <t>Dionisio Cicero Lombrana. 2.000 D. Cecilio Armiño Martínez. 7.000 D. Diego Movellan. 16.000 D. José Bernardo Baz 10.000 D. Juan Antonio Aristi. 2.000 D. Joaquín de Echarte. 15.000 D. José María Landa. 4.000 D. Domingo Llano Torre. 2.000 D. Ignacio Suarez. 9.000 El subteniente D. Gabriel Manuel Iturbe. io ooq D. Manuel Tirso S…</t>
  </si>
  <si>
    <t>de Echavar, Pedro Agustín</t>
  </si>
  <si>
    <t>Pedro Agustín de Echavar</t>
  </si>
  <si>
    <t>ariscales de campo Marqués de Portágo. = Duque de Alburquerque.=D.Juan de Heiiestrosa. = D. Francisco de Tria?, A Mariscales de campo los Brigadieres D. Pedro Agustín de Echavar#i;=: D. Luis Alejandro da Bassecourt. “ D. Josef Marín de Aló?. = Marqués de Malespina. =rr D. Gregorio Rodríguez =D, Manuel Zappino. zzD. Tomas O-Do…</t>
  </si>
  <si>
    <t>de Echaverria, Manuel</t>
  </si>
  <si>
    <t>Manuel de Echaverria</t>
  </si>
  <si>
    <t>uebla del Maestre.— Marquesa de Pontejos.—D. Bernardo Mozo Rosales.—D. Juan Antonio Quin­ tana.--D. Juan Orni.—Í); Jacinto Velandia.—D. Juan Noriega.—D. Manuel de Echaverria.—D. Ramón Sierra.—D.Antonio Guillelmi.— Duque de Rivas.— Conde de Sástago.—D. José Obispo.—D. Ig­ nacio Lopez.-=-'D. Vicente Lisa.—D. Narciso Meneses.— D…</t>
  </si>
  <si>
    <t>de Eche, Cipriaao</t>
  </si>
  <si>
    <t>Cipriaao de Eche</t>
  </si>
  <si>
    <t>de las Indias. de Jas Españas y de las Indias. Hemos decretado y decretamos lo si­ ,, Hemos nombrado y nombramos «1 in­ guiente : tendente deexercíto D. Cipriaao de Eche­ articulo 1. ,,Con arregló al artículo 5 6 verría , á D. Pedro Santi María y á D. Jo­ de la constitución, que prescribe que ha de sef de Cía y Azanza asisten…</t>
  </si>
  <si>
    <t>de Echevarría, Manuel María</t>
  </si>
  <si>
    <t>Manuel María de Echevarría</t>
  </si>
  <si>
    <t>cía á D. José Mamerto Gome* Hermosiila xefe de división ; á D. José Montero , D. Simón del Castiiio, D. Cándido Revenga, D. Simón Fernandez Gallardo, D. Manuel María de Echevarría, D. Nicolás García de los Reyes y D. Julián de Mena oficiales segundos ; y por archivero á D. José Mauri­ cio Hermosilla. Por decreto de 6 de setie…</t>
  </si>
  <si>
    <t>de Echeverría, Pedro Ramón</t>
  </si>
  <si>
    <t>Pedro Ramón de Echeverría</t>
  </si>
  <si>
    <t>exércitos, y las venganzas, inundaría la España de san­ presidente de la real chancillería de Vallagre , como ha sucedido ya durante tantos dolid , y D. Pedro Ramón de Echeverría, años; y que st Napoleón el Grande qui­ diputado general de la provincia de Alava, siere destruirla, no tendría que hacer mas nombrados por decreto …</t>
  </si>
  <si>
    <t>de Edillo, Bernabé Antonio de</t>
  </si>
  <si>
    <t>Bernabé Antonio de de Edillo</t>
  </si>
  <si>
    <t>compañeros Josef dad ; se han hecho respetables, y se ha Martín Cabello y Joaquín Zafra, alias castigado como corresponde á la del lugar Carmona, por D. Bernabé Antonio de de Edillo por su debilidad, y por no haber Salcedo , vice- comisario de policía en la procurada contener los excesos de Eche­ provincia de Santander. El ci…</t>
  </si>
  <si>
    <t>de Eguia, ÍJTlFrancisco</t>
  </si>
  <si>
    <t>ÍJTlFrancisco de Eguia</t>
  </si>
  <si>
    <t>s guardias. El general Hovvarth, qUe mandó la artillería inglesa, se coaduxo coala mayor bizarría, é' hizo los mas importantes servicios. Al teniente general ÍJTlFrancisco de Eguia r mi segundo en el mando del exército , puse sobre mi izquierda con las divisiones terce­ ra., quarta y quinta del mando de los generales marques …</t>
  </si>
  <si>
    <t>de EJizalde, Fermia</t>
  </si>
  <si>
    <t>Fermia de EJizalde</t>
  </si>
  <si>
    <t>e en la prontitud y generosidad de facilitarlos sin interes las casas de D. Juan Miguel de Carlos, y Mícheo padre é hi­ jo , de Veamurguia y Lissur , D. Fermia de EJizalde , D. Antonio de Arriaga , y D. Bartolomé de Alzazna: se ha ser­ vido S. M. de mandar se haga pública esta acción benéfica y patriótica de estos sugetos , d…</t>
  </si>
  <si>
    <t>de Elorriaga, Josef Gabriel Velez</t>
  </si>
  <si>
    <t>Josef Gabriel Velez de Elorriaga</t>
  </si>
  <si>
    <t>, su ministro secretario de Estado Mariano Luis dé Urquijo.” S. M. se ha servido nombrar para una canongía de la iglesia metropolita' na de Burgos1 á D. Josef Gabriel Velez de Elorriaga, cura de! lug sr de Elorriaga. en la provincia de Alava: para la abadía de la colegiata de Ze* narruzá, en el señorío de Vizcayá, á D. Miguel…</t>
  </si>
  <si>
    <t>de Emi, Valentín</t>
  </si>
  <si>
    <t>Valentín de Emi</t>
  </si>
  <si>
    <t>rito dentro de Zafra, se endosaron con fecha 2 de diciembre del del término de 30 dias contados desde el 1 2 del pre­ a fio próximo pasado i favor de D. Valentín de Emi­ sente. lia, vecino de esta corte , y se le dirigieron por el cor­ .VENTAS. reo ordinario 8 vales reales de i5o'pesos» números En virtud de providencia del Sr…</t>
  </si>
  <si>
    <t>de Escalante, Esteban Velez</t>
  </si>
  <si>
    <t>Esteban Velez de Escalante</t>
  </si>
  <si>
    <t>ega. 3.000 El Capitán D. Manuel de Urquiaga. C. 2.000 D. Miguel Rafael d: Medina. C. 2C.OOO B. Domingo ligarte. C. 4-000 D. Vicente Eguia. C. 50.000. D. Esteban Velez de Escalante. C. 50.000 D. Pedro Muguerza. C. 10.000 D. Joaquín Aldana. C. 10.000 D. Domingo Ignacio Lardizabal. 50.000 D. Mateo Palacios. C. — 50.000 D. Antoni…</t>
  </si>
  <si>
    <t>de Escaño, Antonio</t>
  </si>
  <si>
    <t>Antonio de Escaño</t>
  </si>
  <si>
    <t>de su afligida patria. ¡ Terrible lec­ ción ! tenible exemplo l amarga y tristísima memoria l El Secretario de Estado y del Despacho de Marina el Sr. D. Antonio de Escaño dirige al Sr. D. Míriin de Garay, encargado del Despacho de la primera Secretaría de Estado, el oficio siguiente. r=r? ,, Exento Señor. = El comandante di í…</t>
  </si>
  <si>
    <t>432</t>
  </si>
  <si>
    <t>de noviembre. El capitán de navio D. Rosendo Porlier , comandante de la fragata de S. M. nombrada Ntra. Sra. de Atocha , ha dado parte al Excmo. Sr. D. Antonio de Escaño des­ de Tarragona con fecha de 5 del actual, de haberle manifestado el comandante del bergantín de guerra ingles el Alacrity , que habiendo salido del puerto…</t>
  </si>
  <si>
    <t>de Escoriaza, Marina López</t>
  </si>
  <si>
    <t>Marina López de Escoriaza</t>
  </si>
  <si>
    <t>casa en qüe habita D. Froilan Armen- / tía , sita la primera vecindad de la calle de la Gorrería dé dicha ciudad’ ,¿per­ teneciente á la obra pia de Doña Marina López de Escoriaza, como igual­ mente una heredad de 4 fanegas y media de cabida , situada en el término titulado Zubiandi ó Lepazarra de esta jurisdicción: otra en e…</t>
  </si>
  <si>
    <t>de Espinosa, Francisco García</t>
  </si>
  <si>
    <t>Francisco García de Espinosa</t>
  </si>
  <si>
    <t>a 1 ; y el tercero, á mas de los 150j reles vellón que pocos dias hace entregó .en efectivo en la tesore­ ría general, las 13 únicas muías que tenia. D. Francisco García de 'Espinosa , intendente de mariua en Cádiz, ha ofrecido también 2 muías de coche. — S. M.., después de acordar se den espresivas gracias á estos generosos …</t>
  </si>
  <si>
    <t>de Espinosa, Josef</t>
  </si>
  <si>
    <t>Josef de Espinosa</t>
  </si>
  <si>
    <t>udias. sidente de la sociedad de agricultura. El úni­ „ Atendidas las repetidas instancias que co objeto de m¡ viage ha sido recoger va­ nos ha hecho D. Josef de Espinosa por su rias noticias sobre el estado de la agricul­ quebranto de salud para que le eximamos tura eu el continente, que pueden s.r úti­ del cargo de director…</t>
  </si>
  <si>
    <t>de Estopar, Santiago</t>
  </si>
  <si>
    <t>Santiago de Estopar</t>
  </si>
  <si>
    <t>nz. 418, con 1387 pies, perteneciente á la capellanía citada escribanía. laical, fundada cuja parroquial de S. Salvador por Luis Por la escribanía de D. Santiago de Estopar se ven­ Alvarez, que cumple IX Bernabé Antonio Yara, pres­ den Jas casas siguientes; una en la calle do la Puebla, bítero, apreciada en 2 2 de marzo de Se…</t>
  </si>
  <si>
    <t>de Fiballer, Gaspar</t>
  </si>
  <si>
    <t>Gaspar de Fiballer</t>
  </si>
  <si>
    <t>que me reforzase y sostuviese, ca­ so de una forzosa retirada, dispuse se quedase con Huesca en observación de mis movimientos, y el coronel de día, D. Gaspar de Fiballer, que desde este instante me acompañó durante la acción, y que el distinguido batallón tercero de Reales Guardias Españolas, que llegó de refuerzo al mando d…</t>
  </si>
  <si>
    <t>de Fleires, Felipe</t>
  </si>
  <si>
    <t>Felipe de Fleires</t>
  </si>
  <si>
    <t>te años y con tan corta fuerza impidió al enemigo que gaz­ nase el Puente al principio de la acción, y no menos al Alfé­ rez de Rls. Guardias Walonas D. Felipe de Fleires por la pron­ titud con que desde Esterri acudió á socorrerle con treinta y im hombres del mencionado Cuerpo y trescienros Miqueletes* a varios Sugetos disti…</t>
  </si>
  <si>
    <t>de Flguía, Francisco</t>
  </si>
  <si>
    <t>Francisco de Flguía</t>
  </si>
  <si>
    <t>25 de marzo de 1809</t>
  </si>
  <si>
    <t>Gazeta del Gobierno n.º 13 (extraordinaria)</t>
  </si>
  <si>
    <t>el general al campo y puerto de Miravete, para ocurrir según lo pidiere la necesidad. Anadió que habían llegado al exér­ cito los Tenientes generales D. Francisco de Flguía, el Duque del Parque, y D. Pedro Ro­ dríguez de la Búria. Con fecha del 17 continuó el mismo Xefe manifestando, que consiguiente á las sospechas que indic…</t>
  </si>
  <si>
    <t>de Flores, Cipriano</t>
  </si>
  <si>
    <t>Cipriano de Flores</t>
  </si>
  <si>
    <t>las , y un par de medias. D. Josef de los Santos , So rls. para quatro mochilas y do* p^res de medias. D. Josef de Silva , 30 rls. para dos mochilas. D. Cipriano de Flores , 10 rls. para un par de medías. D. Manuel Gonzahz, 10 rls. para un par de medias. Doña María del Carmen Alvares , 17 rls. para unos zapatos* D. Pedro Ruiz…</t>
  </si>
  <si>
    <t>de Fonte, Pedro José</t>
  </si>
  <si>
    <t>Pedro José de Fonte</t>
  </si>
  <si>
    <t>36</t>
  </si>
  <si>
    <t>ables de sus fieles ha­ bitantes % merece distinguirse una proclama para socorro de los defensores de Zaragoza , extendida por el benemérito aragonés D. Pedro José de Fonte ,. vicario general de aquel arzobispado, y canónigo, doctoral de su iglesia metropolitana^ Los, papeles públicos de Filadelfia del 12: de agosto nos infor…</t>
  </si>
  <si>
    <t>de Foronda, Valentín</t>
  </si>
  <si>
    <t>Valentín de Foronda</t>
  </si>
  <si>
    <t>CA. de Mr. de Beaujour , cónsul general de Francia en los E stados-Ünidos de la América septentrional , dirigida di en~ cargado de Negocios de España D. Valentín de Foronda. wMr. de Beaujour está encargado por el Ministro Ple­ nipotenciario de Francia de enviar al caballero Foronda la Constitución de España, y. se aprovecha d…</t>
  </si>
  <si>
    <t>de Foufiias, Blas</t>
  </si>
  <si>
    <t>Blas de Foufiias</t>
  </si>
  <si>
    <t>repitieron con un furor frenético $ pero todo su empeño no tuvo otro efecto que el de engrandecer las glorias de Gerona. Nadie mejor que el referido D. Blas de Foufiias, coronel gradua­ do y comandante de la quarta división de migueletes , explicará una defensa que tanto honor hace á la España. Su parte al comandante general …</t>
  </si>
  <si>
    <t>de Fournas, Blas</t>
  </si>
  <si>
    <t>Blas de Fournas</t>
  </si>
  <si>
    <t>mente llegó úna esforzada par­ tida de Borbon, y posteriormente los refuerzos que nuestro general enviaba , los que guiados por el acreditado militar D. Blas de Fournas , encargado de aquel puesto , no solo lo sostuvieron con valcí in­ creíble, sino que rechazaron á los irresistibles , ó por mejor decir, arrebataron su existe…</t>
  </si>
  <si>
    <t>de Foxa, Joaquín María</t>
  </si>
  <si>
    <t>Joaquín María de Foxa</t>
  </si>
  <si>
    <t>ndante del ba­ tallón de Canarias D. José Armiagá,á pesar de su avanzada edad de 7o.afic se conduxo con actividad' y bizarría. . .El mayor del detall D. Joaquín María de Foxa,,sargento mayor del r gimientó infantería de Cantabria, estuvo siempre á mi lado y comunicó mis órdenes con serenidad y acierto. La artillería se condux…</t>
  </si>
  <si>
    <t>de Foyxá, Ramón</t>
  </si>
  <si>
    <t>Ramón de Foyxá</t>
  </si>
  <si>
    <t>233 Casabona. Es también recomendable el mérito de los teniente» coroneles D. Ramón de Foyxá, por haber sostenido con bizarría exemplar la arriesgada posición de Tayalá , y el Sr. D. Francis­ co Ferrer y Pons , por la serenidad y táctica que manifestó , ha­ ciendo adelantar las col</t>
  </si>
  <si>
    <t>de Frías, Antonio</t>
  </si>
  <si>
    <t>Antonio de Frías</t>
  </si>
  <si>
    <t>3*4 la Nac'on , desatendiendo las necesidades y penalidades que sufría. Este pensamiento que me fué propuesto por D. Antonio de Frías de este comercio., que desde luego aprobé, apénás fué concebido, quando se vio realizado , y pasado el. tiempo preciso para la labor de las ropas, se verificó la en­ trega el día 4 del corrient…</t>
  </si>
  <si>
    <t>de Gafay, Martin</t>
  </si>
  <si>
    <t>Martin de Gafay</t>
  </si>
  <si>
    <t>404</t>
  </si>
  <si>
    <t>favor de su S.aherutm y 4$ la Patria. Dios guarde á V. £. mu­ chos años. Badtuoz 14 de ab^ de; i8p,9.=Éxcmq. Señór.=z:4{étontQ de Arce»-=s Excmo. Sr. D. Martin de Gafay.’* j¿iMos. ¡nuj?yo$. Manifiesto de la Nación 'Española á la Europa. Canción de Jes- Defensores de Ja Patria pm D. J. B.. A.=? la que también ha puesto en músi…</t>
  </si>
  <si>
    <t>de Gambara, José</t>
  </si>
  <si>
    <t>José de Gambara</t>
  </si>
  <si>
    <t>a­ lazo. La pérdida del enemigo no la puedo asegurar por haber so­ brevenido la noche,’* Con fecha de 26 del pasado setiembre , en Víella , participa D. José de Gambara á la junta superior del principado, que en Ja mañana del 24 comparecieron al puente del Rey 200 hombres enemigos de tropa veterana, habiéndose apoderado de la…</t>
  </si>
  <si>
    <t>de Gambra, Pedro Vicente</t>
  </si>
  <si>
    <t>Pedro Vicente de Gambra</t>
  </si>
  <si>
    <t>?6i' y gravemente herido de tfn balazo á 50 coraandznre Puisalk,! ío llevó en su compañía á la casa de D. Pedro Vicente de Gambra, que es la de so alojamiento , y lo puso en cura cba el mayor cuidado , despachando al día siguiente los 78 res­ tantes prisioneros de guerra al Sr. Blake, custodiados por 4.©voluntarios, a</t>
  </si>
  <si>
    <t>de Gambra, Sebastian</t>
  </si>
  <si>
    <t>Sebastian de Gambra</t>
  </si>
  <si>
    <t>on las que entraban por los puntos de Salvatierra y Fago, mandados to­ dos por los oficiales D. José Fermín Gonget, D. Pedro Fran-. cisco de Cambra , D. Sebastian de Gambra , D. Genaro Mar­ tin , D. Matías de Aras , D. Tomás de Renovales , D. Ale-* ¿andró Amigot, D. Juan Casao, y los cadetes D. Xavier An­ gel Ros , D, Vicente…</t>
  </si>
  <si>
    <t>de Garay, Martin</t>
  </si>
  <si>
    <t>Martin de Garay</t>
  </si>
  <si>
    <t>que despache los asuntos correspondientes • á la primera Secre­ taria de Estado, durante la ausencia de díchoj Sr» D. Pedro Ce valíos, el Excmo. Sr.. D. Martin de Garay, Vocal y Secretario de Estado y dei despicho general de la Junta Suprema Central Gu­ bernativa del Reyno.^ LISTA DE LOS SEÑORES VOCALES DE LA JUNTA Central Su…</t>
  </si>
  <si>
    <t>Gazeta del Gobierno n.º 2 (extraordinaria)</t>
  </si>
  <si>
    <t>•I Sr. D. Martin de Garay, Secretario Vocal de la Suprema Junta Central. S. M. quiere que se dé al público esta noticia para su satisfacción, y que la tenga tal , qual la Junta Suprema ¡a lia recibido. 6«n licencia</t>
  </si>
  <si>
    <t>Gazeta del Gobierno n.º 3 (extraordinaria 2)</t>
  </si>
  <si>
    <t>lo­ ria del E»ey y de la Patria. =s Dios guarde á V. E» mu­ chos años. Sevilla 13 da Eoero de 1809 ss Excmo. Sr. =s El conde de la Cxméra.=Excmo. Sr. D. Martin de Garay. Después que I03 francesas se apoderaron de los pueblos de Tembleque, Madridejos y algunos otros de las carreras de Andalucía y Valencia , hicieron correr la …</t>
  </si>
  <si>
    <t>116</t>
  </si>
  <si>
    <t>116 de febrero de 1809* = Antonio de Escaño. = Sr. D. Martin de Garay. Razón de los donativos hechos por vários individuos del Reyn% de Sevilla en el tnes de enero próximo pasado , para emplearlos en los ejércitos* D. Manuel Rosendo de Paz , y D. Juan de Mata</t>
  </si>
  <si>
    <t>pies para su Real determinación. Dios guarde á V. E. muchos años. Real Palacio del Alcázar ría. Sevilla 9 de febrero de 1809. = Antonio Cornel. ^ Sr* D. Martin de Garay. Eterno. Sr. r He recibido el oficio de V. É. de ayer ed que nie comunica estar nombrado por la junta Central Gu­ bernativa de! .Reyno , en nombre del Rey Nro…</t>
  </si>
  <si>
    <t>dan, y los efectos de ellas.zn:¿ Nro. Sr. guarde la vida dé V. E. muchos años. Cádiz t. 9 : de marzo de i 8o9.niExcmo. Sr.~ Félix Jones.zzExcmo. Sr.f D. Martin de Garay. Oficia • del Sindico Procurador de Cádiz dirigido al dicho Go— • r berñador interino. ; : . • - - ■. - Incluyó sl jV. S. original . la representación que eí …</t>
  </si>
  <si>
    <t>207</t>
  </si>
  <si>
    <t>, y dispondréis lo con­ veniente á su cumplimiento. zz:M. Marqués de Astorga, Vice-Presidente. = En el Real Alcázar de Sevilla 3 de Marzo de 1809.ZZA D. Martin de Garay. Por Real orden de 6 de febrero del año corriente se ha servido S. M. la Junta Central Gubernativa del Reyno,, restablecer el giro de la Real Renta de Lotería…</t>
  </si>
  <si>
    <t>99</t>
  </si>
  <si>
    <t>­ chos años. Carolina ¿9 de marzo de 1809. == Alonso TauVíe, Presidente. =Jdst f de Ortega. ~ Juan Bautista d® Brrp, Vo­ cal Secretario. = Excmo, Sr. D. Martin de Garay.” El Rector del Colegio Militar de Alcántara de Salaman­ ca ha representado á S. M. exponiendo las circustancias quo han mediado en la traslación de dicha com…</t>
  </si>
  <si>
    <t>V.S. 'muchos años, Molina y su Junta superior 7 de abril de 1 809. =2 Joaquín Montesoro.n= Juan López P¿legrin.= Juan Manuel Martinez.==íi3xcina. Sr. D. Martin de Garay. Para suceder en la Presidencia de la Junta Suprema Gubernativa &amp;s ios Reynos de España y de ias Indias, va­ cante por failecimieüto .del Serenísimo Sr. Conde…</t>
  </si>
  <si>
    <t>Gazeta del Gobierno n.º 27</t>
  </si>
  <si>
    <t>tador. Dios guarde ,á V. E. mpehos años, Qu artel general de Monaste­ rio i s de m^yo de ¡1809. = Exorno. Sr. = Gregorio de la Cuesta. £5= Excmo. Sr. D. Martin de Garay.”</t>
  </si>
  <si>
    <t>á V. E. muchos años. Lisboa 16 de mayo de 1809. zz: Excmo. Sr.zzB. L. M. de V. E. su afecto y seguro servidor. ~ Evaristo, Perez de Castro,— ExcmoSr. D. Martin de Garay. P. D. Al ir á cerrar este pliego me traen la gazeta de hoy, suplemento extraordinario, donde se refieren en detalle original esas noticias. Ya partía el corr…</t>
  </si>
  <si>
    <t>ue nunca. Ruego á Dios guarde la vida de V. E. muchos años. Trieste 19 de abril de 1809. zzExcmo. Señor. zz: Eusebié Bardaxi y alzara, zz E xcmo. Sr. D. Martin de Garay. P. D. Después de escrita esta carta, he visto al G07 bernador de esta Plaza, y me ha asegurado ia certeza de la victoria del Archiduque Juan, añadiéndome que…</t>
  </si>
  <si>
    <t>Gazeta del Gobierno n.º 45</t>
  </si>
  <si>
    <t>entendido, y dispondréis lo conveniente á su cum­ plimiento. Real Alcázar de Sevilla 28 de junio de i8o9. = M. El Marqués de Astorga, Presidente. = A D. Martin de Garay. EN LA IMPRENTA REAL.</t>
  </si>
  <si>
    <t>de Garay, Martín</t>
  </si>
  <si>
    <t>Martín de Garay</t>
  </si>
  <si>
    <t>v 34 Por el exorno. Sr. D. Martín de Garay se ha comunicado á todas Jeft autoridades del reyno la real orden siguiente. fePara simplificar los resortes de la autoridad , y facilitar la uni­ dad de acción en todos los ramos de administración pública , la Jun­ ta suprema gubernativa del reyno , por uno de los</t>
  </si>
  <si>
    <t>ey José, ha expedido un decreto, por el que se mandan sequestrar todos los bienes y pertenencias de algunos patriotas aragoneses ; entre ellos el Sr. D. Martin de Garay, D. Valentín Solanot, D. José Obispo, conde de Sastago, D. Ignacio López, D. Vicente Lisa, D. Narciso Meneses, D. Fe­ lipe Perena y D. Ramón Gayan.</t>
  </si>
  <si>
    <t>Gazeta del Gobierno n.º 14 · 2.ª serie</t>
  </si>
  <si>
    <t>do y dispondréis la conveniente para su cumpli­ miento. — El marqués de Astorga, presidente. — En el real alcázar de Sevilla 7 de agosto de 1809. — A D. Martin de Garay. El capitán general del exército de Extremadura ha remitido el oficio , que á la letra dice asi: *£xcmo, br. — Los capitanes D. Isidoro Mir y D. Ventura</t>
  </si>
  <si>
    <t>9 de septiembre de 1809</t>
  </si>
  <si>
    <t>Gazeta del Gobierno n.º 17 · 2.ª serie</t>
  </si>
  <si>
    <t>154</t>
  </si>
  <si>
    <t>de ministro de S, M, B, cerca del supremo Gobierno. El gobernador de Puerto-Rico, con fecha de 13 de julio , di­ ce á S. M. por medio del Excmo. Sr. D. Martin de Garay , que el comandante general y xefe de nuestras armas en la isla de Sto. Domingo D. Juan Sánchez Ramirez , tiene adelantadas las ope­ raciones, después del bomb…</t>
  </si>
  <si>
    <t>Gazeta del Gobierno n.º 20 · 2.ª serie (suplemento 2.º)</t>
  </si>
  <si>
    <t>135</t>
  </si>
  <si>
    <t>día, si logro lo que suplico ahora á S. M. i XJliqs guarde á V. E. muchos años. Habana 11 de junio de 1809,=^. Eí marquesde Sámentelos. — Excmo. Sr. D. Martin de Garay. Contestación dé la Junta suprema. La aflicción que manifiesta V. El por el errado y criminal partido-, que sigue el conde de Montarco ,, y los pundonorosos, s…</t>
  </si>
  <si>
    <t>de Garay, Martln</t>
  </si>
  <si>
    <t>Martln de Garay</t>
  </si>
  <si>
    <t>o están animados por el santo amor de la libertad, que es como ingénito en aquellos naturales. Con fecha de 20 del presente mes se ha expedido al Sr. D. Martln de Garay el real Decreto siguiente : ,fHabiendo tenido á bien elKey' nuestro Señor. D. Fernando VII*</t>
  </si>
  <si>
    <t>de Garay, Míriin</t>
  </si>
  <si>
    <t>Míriin de Garay</t>
  </si>
  <si>
    <t>ec­ ción ! tenible exemplo l amarga y tristísima memoria l El Secretario de Estado y del Despacho de Marina el Sr. D. Antonio de Escaño dirige al Sr. D. Míriin de Garay, encargado del Despacho de la primera Secretaría de Estado, el oficio siguiente. r=r? ,, Exento Señor. = El comandante di í navio San Justo , el Marqués del R…</t>
  </si>
  <si>
    <t>de Garrido, Zacarías Josef</t>
  </si>
  <si>
    <t>Zacarías Josef de Garrido</t>
  </si>
  <si>
    <t>de habernos comprometido, nos han abandonado en »»el momento en que el peligro era el mayor. Estas gentes nos han per99 dido/' ESPAÑA. VENTAS. El Sr. D. Zacarías Josef de Garrido , alcalde y juez ordioario de la ciu­ dad de Vitoria y su jurisdicción, como comisionado regio para la venta de las fincas de obras pias y capellaní…</t>
  </si>
  <si>
    <t>qual será coronada en Praga como Reina de Bo­ hemia con toda la pompa acostumbrada en semejantes casos. ESPAÑA. Madrid 14 de febrero. VENTAS. El Sr. D. Zacarías Josef de Garrido , alcalde y juez ordinario de la ciu­ dad de Vitoria, y comisionado regio para la venta de obras pías, capella­ nías ¿kc. ha mandado sacar á público …</t>
  </si>
  <si>
    <t>de Gelder, Deden</t>
  </si>
  <si>
    <t>Deden de Gelder</t>
  </si>
  <si>
    <t>tá para salir de ¿ aquí, de un memento á otro, con. una. comisión muy im~ i portante , para. Petersbu/go.. ; ALE MANTA. Francfort 26 de marzo*. x ;EI Barón Deden de Gelder, embaxador de Holanda en: CJotistantinopIa ha llegado ayer á esta ciudad. También han "^asidor por aquí dos: correos franceses,, uno que iba. de Cas? aei/ …</t>
  </si>
  <si>
    <t>de Góngora, Cristóbal</t>
  </si>
  <si>
    <t>Cristóbal de Góngora</t>
  </si>
  <si>
    <t>tiguo déla primera Secretaria 'de Estado; Tesorero, á D. Guillermo Curroys; Fiscal, al Director de Correos D, Juan Facundo Ca­ ballero; y Contador, á D. Cristóbal de Góngora oficial ma­ yor de la Secretaria de Estado y del Despacho de Hacienda, á todos sin sueldo por ahora, y sin perjuicio de los pro­ pietarios; pero con. las…</t>
  </si>
  <si>
    <t>de Gue, Joaquín</t>
  </si>
  <si>
    <t>Joaquín de Gue</t>
  </si>
  <si>
    <t>e ART. xii. Nuestros ministros de Nego­ la propia iglesia; y para la media ración cios eclesiásticos, del Interior y de Hacien­ que resulta vacante á D. Joaquín de Gue­ da cuidarán del cumplimiento de este de­ vara , presbítero de la dicha villa de la Guar­ creto, cada uno en la parte que le toca. dia : á D. Juan Manuel de Al…</t>
  </si>
  <si>
    <t>de Guereño, Tomas</t>
  </si>
  <si>
    <t>Tomas de Guereño</t>
  </si>
  <si>
    <t>rentes heredades en sus términos, de la fundación de Julián Ruiz de Arrióla, al contado 673 2, y 10098 al fiado: en el mismo pueblo, de capellanía de D. Tomas de Guereño, al contado 2244,7 3366 al fiado: diferentes fincas que goza el cabildo del lugar de Zuazo Salvatier­ ra , al contado 42347, y 63520 al fiado: otras tierras …</t>
  </si>
  <si>
    <t>de Guevara, Francisco</t>
  </si>
  <si>
    <t>Francisco de Guevara</t>
  </si>
  <si>
    <t>D. Aquilino Palo­ fía; el mismo D. Ignacio Romaza de geo­ mino, D. Josef Ortega, D. Jorge Anto­ metría descriptiva, y D. Alexandro Blan­ nio Madero, D. Francisco de Guevara, co de dibuxo. D. Mariano Vera y D. Nicolás Vieites; art. iii. Quedan nombrada* profeso­ y pasantes de los mismos profesores D. Ma­ res de las escuelas pú…</t>
  </si>
  <si>
    <t>de Guevara, Joaquín Ladrón</t>
  </si>
  <si>
    <t>Joaquín Ladrón de Guevara</t>
  </si>
  <si>
    <t>paz , juntó el Rector la comunidad, compuesta en aquellos dias de los Preyles D. Ignacio Antonio Pizarro , Rector , de D. Josef Fa­ jardo y Váfgss, y D. Joaquín Ladrón de Guevara. Todos acordarón- unánimes trasladar el Colegio á la Villa del Campo, pueblo perteneciente á la encomienda de Santibafíez, pro­ pia de la Orden de A…</t>
  </si>
  <si>
    <t>de Guevara, Pedro Ladrón</t>
  </si>
  <si>
    <t>Pedro Ladrón de Guevara</t>
  </si>
  <si>
    <t>aquella y los enemigos no Se pudo venir á las manos, la artillería de la división de mi cargó al mandó del ca­ pitán D. Diego Entrena, y del teniente D. Pedro Ladrón de Guevara, avan­ zó con la inglesa é hizo considerable daño al enemigo por la mañana, flan­ queando una de sus báterias , cuyo fuego hizo callar muy pronto, y p…</t>
  </si>
  <si>
    <t>de Guinea, Pió</t>
  </si>
  <si>
    <t>Pió de Guinea</t>
  </si>
  <si>
    <t>agosto de 1808; y la otra en la primera vecindad de la calle de la Herrería, en que habita Julián de La­ guna, perteneciente á la capellanía que goza D. Pió de Guinea, residente en la villa deDeva, por la cantidad de 16940 rs. de las veinte y dos rentas al contado , y de 25410 de las, treinta y tres rentas at fiado,por plazo …</t>
  </si>
  <si>
    <t>de Hard, Federico</t>
  </si>
  <si>
    <t>Federico de Hard</t>
  </si>
  <si>
    <t>88</t>
  </si>
  <si>
    <t>rácter que le es propio entre pueblos civili­ restar al príncipe de Coheredo, ?l príncipe zados , pues que este vencedor podía hacer Metternieh , al conde Federico de Hard- mui pesados los males sobre la mitad de la deck y al conde Pergen, y que sean con­ monarquía. ducidos á Francia para que respondan de la Se dice que el Em…</t>
  </si>
  <si>
    <t>de Haro, Andrés Nuñez</t>
  </si>
  <si>
    <t>Andrés Nuñez de Haro</t>
  </si>
  <si>
    <t>Bernardo González Alvarez. — Doña" Francisca Siró de Gre. --El marques de Mo­ nasterio y de Paredes. — D. Rafael Costa. — D. José Angel Foncillas. -- D. Andrés Nuñez de Haro.-~ D. Mateo Cortés.— D. Cos­ me Laredo. — D. Francisco López Pelegrin. — D. Salvador Cam­ pillo. — D. Eusebio Ximenez. — D. Pedro Calzan Se ha publicado …</t>
  </si>
  <si>
    <t>de Hc, Federico</t>
  </si>
  <si>
    <t>Federico de Hc</t>
  </si>
  <si>
    <t>que formarán una division del ques .uecos autorizados con pasaportes de OCtayo cuerpo J mandado por el dU4}uc de la comision de Noruega. Abrantes. El príncipe Federico de Hc:sHI. que Ia- Prosigue con mucha actividad el alistalió de aquiel.8 del c:orriente ~ y que se em.. miento de tropas en Saxonia. Seis mil hombarc6 el t ...…</t>
  </si>
  <si>
    <t>de Hcldenfels, Meyer</t>
  </si>
  <si>
    <t>Meyer de Hcldenfels</t>
  </si>
  <si>
    <t>para el bían podido pagarse antes con motivo de la público. El gobernador ingles de Ceilan ha­ guerra. ce el mayor elogio de la disciplina y buen El general Meyer de Hcldenfels, gefe porte de sus tropas. Entre los ingleses y los del estado mayor austríaco, ha ido á la fronterizos se ha restablecido ya la coníi„nGallitzia orie…</t>
  </si>
  <si>
    <t>de He, José</t>
  </si>
  <si>
    <t>José de He</t>
  </si>
  <si>
    <t>253</t>
  </si>
  <si>
    <t>al juez criminal de la referida ciudad de Cádiz , que no-descuide la indagación de lós verdaderos reos de la lastimosa muerte del comandante-de bahía D. José de He­ rejía , víctima de su zelo y amor al real servicio. Y quiere S. M. que con arreglo á la declaración hecha en la misma sentencia, de quedar sin efecto alguno las c…</t>
  </si>
  <si>
    <t>de Henestrosa, Juan</t>
  </si>
  <si>
    <t>Juan de Henestrosa</t>
  </si>
  <si>
    <t>leta­ mente él •enemigo' por ámboá genérales , á cuya infantería sostenía el regimiento-de caballería del Rey , de la división del teniente gene­ ral D. Juan de Henestrosa. Este cuerpo se llenó de gloria en la car­ ga que hizo sobre la infantería- enemiga , habiendo destrozado la co»</t>
  </si>
  <si>
    <t>de Heras, Sebastian</t>
  </si>
  <si>
    <t>Sebastian de Heras</t>
  </si>
  <si>
    <t>abriel de Yturbe, C, g 100,000 D, Juan Día? González, C, 25.000 El capitán D, Santiago García, C, 85.000 El caballero D, Francisco Chavarri C, 85.00a D. Sebastian de Heras, C, joo.oqq D, Josef María Eghave, por ?l y D, Mariano y D, Aatonio Ycaza, C. - ■ 50,000 (*) Los del Comercio van señalad»} een esta letra C,</t>
  </si>
  <si>
    <t>de Heredia, Narciso</t>
  </si>
  <si>
    <t>Narciso de Heredia</t>
  </si>
  <si>
    <t>dias, en nombrar Ministro Vocal en la clase de Grandes-Cruces de dicha Real Asam­ blea al Marqués de Astorga, y Vocales Pensionados á D. Ramón Ger, y D. Narciso de Heredia. Así mismo ha veni­ do S. M. en nombrar interinamente secretario de dicha Real Orden á D. Luis de Onis, oficial mayor mas antiguo déla primera Secretaria '…</t>
  </si>
  <si>
    <t>de Herir, Benito</t>
  </si>
  <si>
    <t>Benito de Herir</t>
  </si>
  <si>
    <t>do para-.que os conste i,u Contenido , y lo observéis y hagais observar en todos sus puntos. Se­ villa 27 de abril de 1809.El Marqués de Astorga.=? A D. Benito de Herir.ida. o : M - . ■ . v ' :'. ¡: \r h; ’1 di j i\ .Libro nuevov i-” • - ’ , * • ’ " • . i . ' . • ' 7 * Gloria de los militares Españoles desde la mas remota ant…</t>
  </si>
  <si>
    <t>de Hermida, Benito</t>
  </si>
  <si>
    <t>Benito de Hermida</t>
  </si>
  <si>
    <t>en los negocios.” “Nuestro Señor guarde á V. E. muchos años. México 17 de julio de 1809. — Exento. Sr. —‘Francisco, arzobispo de México.— Excmo. Sr. D. Benito de Hermida.” S. M. ha visto con la mayor complacencia este rasgo de ge­ nerosidad , propio de la virtud y acendrado patriotismo de un prelado tan digno, y que tan justa…</t>
  </si>
  <si>
    <t>de Herrasti, Andrés Pérez</t>
  </si>
  <si>
    <t>Andrés Pérez de Herrasti</t>
  </si>
  <si>
    <t>y particularmente á V. E. á los maríscales de campo , mi segundo D. Gabriel de Mendizabal : á D, José María Carbajal, mayor general de infantería : á D. Andrés Pérez dé Herrasti: á D. Martin de la Carrera : á D. Francisco Xavier de Losada : al conde deBslveder, y al príncipe de Anglona: al brigadier D. Samuel Turtach: al mayo…</t>
  </si>
  <si>
    <t>de Herrera, Gonzalo</t>
  </si>
  <si>
    <t>Gonzalo de Herrera</t>
  </si>
  <si>
    <t>arrobas y 24 libras. = D., Josef María Escobar , 60 caxas con 960 arro­ bas y 9 libras blanco , y 40 dichas quebrado con 55Ó arro­ bas y 23 libras. = D. Gonzalo de Herrera , 60 caxss con 993 arrobas blanco 5 y 40 dichas quebrado con 662 arrcbas.;=</t>
  </si>
  <si>
    <t>de Hervás, Vicente Perez</t>
  </si>
  <si>
    <t>Vicente Perez de Hervás</t>
  </si>
  <si>
    <t>xefes de di­ visión; á D. Juan Joséfde Aspiróz, D. Cristóbal Fernandez'Cuesta, D. Serapio Saviñac , D. Juan Santa-María , D. Josef Antonio Ibarrela., D. Vicente Perez de Hervás, D. Manuel Celestino Carirasco., D. Juan Burand y D. Juan Teran oficiales primeros ; á ©. Mateo Bravo y Lomas, D. Antonio Leiral , D. Carlos Reboul, ©…</t>
  </si>
  <si>
    <t>de Hesse, Federico</t>
  </si>
  <si>
    <t>Federico de Hesse</t>
  </si>
  <si>
    <t>MARCA. pondido que debía dirigir su solicitud al comisario bávaro conde de ReisarJ’. Copenhague 29 de julio. Las carras particulares del Voratberg El príncipe Federico de Hesse» gober­ refieren que ha habido una conferencia ex­ nador de Copenhague, acaba de ser nom­ traordinaria entre los principiles Gefes de brado comandante…</t>
  </si>
  <si>
    <t>de Hesse, Pdelector</t>
  </si>
  <si>
    <t>Pdelector de Hesse</t>
  </si>
  <si>
    <t>tio; Se dice que el general austriaco, que Y el señor mayor Dorré, autorizado toma el nombre de Amende, es el antiguo con plenos poderes por el señor coronel Pdelector de Hesse. chi, comandante de la plaza; El príncipe de Oraogeha entrado al ser­ Han sido ajustados los artículos siguien­ vicio del Austria con el empleo de gen…</t>
  </si>
  <si>
    <t>de Hesse-Casse, Guillermo</t>
  </si>
  <si>
    <t>Guillermo de Hesse-Casse</t>
  </si>
  <si>
    <t>lota, hija del difunto príncipe hereditario con un gran acompañamiento de generales Federico, hermano de Cristiano vil, con y ayudantes generales. el príncipe Guillermo de Hesse-Casse!. Con motivo del cumpleaños de S. M. la Escriben de Oporto haberse descubier­ Emperatriz Isabel habrá ho¡ en palacio un to en Lisboa el plan de…</t>
  </si>
  <si>
    <t>de Hesse-Darmstadt, Pa</t>
  </si>
  <si>
    <t>Pa de Hesse-Darmstadt</t>
  </si>
  <si>
    <t>sef En el mismo dia tuvo la honra de ser Martínez, D. Josef Ramón Fernandez y presentado á SS. MM. S. A. S. el principe D. Manuel Abad; gefe de trozo D. Pa­ de Hesse-Darmstadt. blo Unda; seminaristas D. Andrés Gorvea, En el discurso del año próximo pasado D. Félix Gilmau , cadete de reales guardias han nacido en Ñapóles 14719…</t>
  </si>
  <si>
    <t>de Hillicrs, Baraguai</t>
  </si>
  <si>
    <t>Baraguai de Hillicrs</t>
  </si>
  <si>
    <t>do la construcción del her­ el Emperador de Austria debe acelerarse á moso camino de Carlstadt á Fiume. hacer la paz, si nó‘quiere perder el resto El general Baraguai de Hillicrs está en de su monarquía. Lz opinión pública está Laibach, y un cuerpo de tropas ocupa la mui decidida á favor del archiduque Carlos, Carnioia. y no …</t>
  </si>
  <si>
    <t>de Ho, Ignacio</t>
  </si>
  <si>
    <t>Ignacio de Ho</t>
  </si>
  <si>
    <t>nte D. Carlos, el de Navia á las órdenes de su sargento.ma­ yor D. Gaspar Aoevedo y 8o cazadores de Riyadeva y Peñamellera al .mando de sus capitanes D. Ignacio de Ho­ yos y D. Hipólito de Hoyos, pasaron por la barca de Nar* ganes á colocarse sobre Camijanes, con el fin de desalojar al enemigo de este punto, donde tiene su ma…</t>
  </si>
  <si>
    <t>de Holden, Meyer</t>
  </si>
  <si>
    <t>Meyer de Holden</t>
  </si>
  <si>
    <t>29 de octubre de 1809</t>
  </si>
  <si>
    <t>Gaceta de Madrid n.º 303</t>
  </si>
  <si>
    <t>compa­ obligándose á pagarlos en ocho años, á ra­ ñado del feld-mariscal príncipe de Lich- zón de una octava parte al fin de cada año, tenstein y del general Meyer de Holden- executando la entrega de cada plazo en La fols, y entregaron á S. M. el Emperador Na­ depositaría de rentas de esta corte. poleón el consentimiento de s…</t>
  </si>
  <si>
    <t>de Holstein-OIdem, Jorge</t>
  </si>
  <si>
    <t>Jorge de Holstein-OIdem</t>
  </si>
  <si>
    <t>n dé este cargo, y s¿ le Ka admitido. * Está ya resuelto el casamiento de S. A. I, la gran duquesa Catalina , her­ mana de S. M. el Emperador, con el príncipe Jorge de Holstein-OIdem»bonrg, gobernador de Estonia, hijo del duque reinante de OIdembourg , el qual ha sido recibido miembro de la confederación del cn„ U cn?rey*ftJI…</t>
  </si>
  <si>
    <t>de Hore, Francisco</t>
  </si>
  <si>
    <t>Francisco de Hore</t>
  </si>
  <si>
    <t>Garrido. Grades de Teniente Coronel - á los Capitanes i D. Mariano Lmzarote.zzD. Antonio Paig-zrD. Juan Ma­ nuel de Pereyra.=D. Josef de la Cuesta.=:D Francisco de Hore, en el caso de haber sido hecho prisionero.=D. Josef Villalobos. Grados de Capitán á los Tenientes D. Ildelfonso Nieto.=D. Manuel de Alcalí^=D. Miguii Colliir…</t>
  </si>
  <si>
    <t>de Huecas, Angel Josef</t>
  </si>
  <si>
    <t>Angel Josef de Huecas</t>
  </si>
  <si>
    <t>tín Perrino ; D. Ignacio Burguillo; D. Sebastian Sánchez; D. Juan Manuel Bazan; D. Marcelo Meló. Del estado eclesiástico secular y regular asistieron D. Angel Josef de Huecas j cura de S. Martin; D. Pedro Villafañe, id. de Sta. María; Don Pablo Camino, id. de S. Pedro; D. Felipe Fraile Ramino, id. de S. Mi­ guel; D. Gregorio …</t>
  </si>
  <si>
    <t>de Hugo, Luis Josef</t>
  </si>
  <si>
    <t>Luis Josef de Hugo</t>
  </si>
  <si>
    <t>quatro caballos cada- uno para transportar mo Regimiento, coronel de ínfatitefía dé las tropas inas Jejos. El tercer batallón del línea} á, D. Luis Josef de Hugo, ge fe de tercer regimiento suizo, mandad*,- por el batallan del .-regimiento Real Extrangero, teniente coronel el señor. d'Orelliy lia salte mayor .del. mismo cuerp…</t>
  </si>
  <si>
    <t>de Huici, Martin</t>
  </si>
  <si>
    <t>Martin de Huici</t>
  </si>
  <si>
    <t>de c das humanas se requieren. La educación i»-«nunicipatidad.de esta villa á D. Frutos debe ser una, pues debe estrechar las rela­ Alváro Bmito , á D. Martin de Huici, á ciones esenciales del hombre , y las que so­ D. Manuel García de la Prada , á D. Ta- brevienen por el pacto social entre los So­ deo Bravo de Rivero, á L). …</t>
  </si>
  <si>
    <t>de Hüiíers, Baraguei</t>
  </si>
  <si>
    <t>Baraguei de Hüiíers</t>
  </si>
  <si>
    <t>912</t>
  </si>
  <si>
    <t>do coa cera admiración de las qu.ilidades que le su acostumbrada pericia. £1 ala izquierda, adornan, que jamas han sido suficientemen­ mandada por el general Baraguei de Hüiíers, te apreciadas, y que han motivado la esti­ de la qual hacia parte la división italiana, mación franca y sin reserva , sobre la qual se lia distingui…</t>
  </si>
  <si>
    <t>de I, Francisco</t>
  </si>
  <si>
    <t>Francisco de I</t>
  </si>
  <si>
    <t>ix Ovalle. Exc. Señor D. Lorenzo Calvo. Exc. Señor D. Sebastian de Jócano. Exc. Señor D. Luis Funes y Salido* Exc. Señor D. Miguel Balanza Exc. Señor D. Francisco de I *!a Castañedo,</t>
  </si>
  <si>
    <t>de I, Pedro Wassiel</t>
  </si>
  <si>
    <t>Pedro Wassiel de I</t>
  </si>
  <si>
    <t>e mo­ «de Hungría, babia hecho para excitar el tivo el 7 de marzo.de este año al ministro «ardor guerrero de la porción mas nob’-e de. la Justicia el príncipe Pedro Wassiel- „de I*pación húngara, dirigiéndoles unas wick-Lapuchin « contiene varias disposi­ n razonamientos Henos de fuego, habían, ciones, entre las.qtiabes son d…</t>
  </si>
  <si>
    <t>de Ibarra, Josef Antonio</t>
  </si>
  <si>
    <t>Josef Antonio de Ibarra</t>
  </si>
  <si>
    <t>0 rs., y con respecto ¿él su valor al con­ Con fecha 15 de abril próximo pasado remitió 4 tado 380180, y al fiado 583770* Otra en ia misma esta corte D. Josef Antonio de Ibarra, vecino de la vi­ puerta ael Sol, núm. 3, minz. 207, cuyo producto lla de Bilbao, para su renovación 3 vales reales de 150 anual es 2 1643 rs., y con …</t>
  </si>
  <si>
    <t>de Ileldenfeldr, Moyer</t>
  </si>
  <si>
    <t>Moyer de Ileldenfeldr</t>
  </si>
  <si>
    <t>á sus che de diligencia, y el gran duque á caba­ órdenes al príncipe Lichtenstein y al quar­ llo, y se dirigieron á. Ja .front^a,. del go­ telmaestre general Moyer de Ileldenfeldr; bierno de Petersburgo para despedirse allí el tercer exército se confiará á S. A. I. el de nuevo de los Soberanos de Prusia. archiduque Juan, que …</t>
  </si>
  <si>
    <t>de Iranzo, Miguel</t>
  </si>
  <si>
    <t>Miguel de Iranzo</t>
  </si>
  <si>
    <t>Vilarrodona, y la Pobla. Recogió en su marcha las tropas que se habían retirado 'del Coll de Sta. Cristina, y envió órdenes precisas ál Brl?* gadier D. Miguel de Iranzo , quien se hallaba encerrado con 1200 hombres en el monasterio de Stas, Cruces , y había dos dias que se defendía con tesón del enemigó que le ro­ deaba , par…</t>
  </si>
  <si>
    <t>de Iriarte, Bernardo</t>
  </si>
  <si>
    <t>Bernardo de Iriarte</t>
  </si>
  <si>
    <t>D. Pedro Ra­ de su país: hemos querido rodearnos de las món de Echeverría, D. Josef Justo de Sal­ gentes mas ilustradas, escuchar los votos de cedo, D. Bernardo de Iriarte , el marques todas las ciases de la nación para dirigir de Almenara, D. Zenon Alonso, D. Ma­ con el mayor acierto los negocios públicos, nuel María Cambron…</t>
  </si>
  <si>
    <t>de ITALIA, Tharreau REINO</t>
  </si>
  <si>
    <t>Tharreau REINO de ITALIA</t>
  </si>
  <si>
    <t>ses por traer á bardo mer­ mente á nuestros soldados. caderías inglesas.” {The Times.) El general Couroux atravesó por me­ dio de los arrabales, y el general Tharreau REINO DE ITALIA. se encaminó hácia la exptarada que los di­ Milán ig de mayo. vide de la ciudad. Y al momento de llegar allá fue recibido con tiroteo de fusil y…</t>
  </si>
  <si>
    <t>de ITi, Baraguei</t>
  </si>
  <si>
    <t>Baraguei de ITi</t>
  </si>
  <si>
    <t>rrible de artillería ce doblemente inviolable. y fusilería, yá los gritos repetidos de viva ,, Pero en la época actual , tan fecunda el Emperador. AI general Baraguei de ITi — de inquietudes, no nos ha sido un pequeño lliers le mataron dos caballos, y muchos consuelo el ver que nuestro reino gozaba oficiales de su estado mayo…</t>
  </si>
  <si>
    <t>de Iturrigaray, Manuel</t>
  </si>
  <si>
    <t>Manuel de Iturrigaray</t>
  </si>
  <si>
    <t>a batalla ,, hallándose ya encima de la infantería y artillería enemigas , y siendo el primero que penetró en la batería , . acompañado del Coro­ nel D. Manuel de Iturrigaray, Capitán del primer esquadron de Carabineros Reales de Extremadura , y del Te­ niente Coronel inglés Mr. Benjamín Darbaa , que se distin­ guió en la acc…</t>
  </si>
  <si>
    <t>de J, Gaspar Melchor</t>
  </si>
  <si>
    <t>Gaspar Melchor de J</t>
  </si>
  <si>
    <t>GRACIA Y JUSTICIA* Exc. Señor Arzobispo Co-Administrador de Sevilla. Exc. Señor D. Rodrigo Riquelme* Exc, Señor D. Francisco Xavier Caro. Exc. Señor D. Gaspar Melchor de J^veüanos. SECCION DE GUERRA* Exc. Señor Marque* de Campo Sagrado. Exc. Señor D* Francisco Rebolledo de Palafox y Melci. Exc. Señor Conde de Tilly. Exc. Seño…</t>
  </si>
  <si>
    <t>de Jauregui, Juan Tomás</t>
  </si>
  <si>
    <t>Juan Tomás de Jauregui</t>
  </si>
  <si>
    <t>=2 De D* Nicolás Peñalver: “sesenta caxas de azúcar bhnco con 989 arrobas y 16 libras , y quarenta caxas de quebrado con 681 arrobas y 14 libras.=De D. Juan Tomás de Jauregui por sí, y por sus hijos:“sesenta caxas de azúcar blanco con 948 arrobas y 15 libras, y quarenta caxss de quebrado con 677 arrobas y 12 lÍbras.=DáI Marqu…</t>
  </si>
  <si>
    <t>de Jáuregui, Manuel Matías</t>
  </si>
  <si>
    <t>Manuel Matías de Jáuregui</t>
  </si>
  <si>
    <t>Fernandez Solis; D. Guillermo Gpmez Maestro; D. Diego Antonio Esmeras; D. Antonio López Nuñez y D. Miguel Alonso Conejo. Diputación de S*. Ildefonso. D. Manuel Matías de Jáuregui; D. Ventura María Sanz; D. Francisco Paula Guarnerio y D. Luis Guarnerio. Diputación de Villafranca del Vierzo. D. Simón Rentería y Reyes Abad; D. F…</t>
  </si>
  <si>
    <t>de Jócano, Sebastian</t>
  </si>
  <si>
    <t>Sebastian de Jócano</t>
  </si>
  <si>
    <t>Lorenzo Bonifaz y Quintan®. Exc. Señor D. Carlos .Atnatria. SECCION DE HACIENDA* Exc. Señor D. Félix Ovalle. Exc. Señor D. Lorenzo Calvo. Exc. Señor D. Sebastian de Jócano. Exc. Señor D. Luis Funes y Salido* Exc. Señor D. Miguel Balanza Exc. Señor D. Francisco de I *!a Castañedo,</t>
  </si>
  <si>
    <t>de Joveilar, Joaquín</t>
  </si>
  <si>
    <t>Joaquín de Joveilar</t>
  </si>
  <si>
    <t>653</t>
  </si>
  <si>
    <t>a! d¿l CiasuUdo de comercio de la ciudad de Valencia y escribanía de D. Marcos de Cruentes H¡idg&gt;, se cita y emplaza á los acreedores á les bienes de D. Joaquín de Joveilar , y D. J uan B atista Lurieña , asentistas que fjáron de maderas para el Real arsenal de Curtageoa , á fii de que en el perentorio término de dos lauses a…</t>
  </si>
  <si>
    <t>de Jovellanos, Gaspar</t>
  </si>
  <si>
    <t>Gaspar de Jovellanos</t>
  </si>
  <si>
    <t>sobre los obstáculos qúe la naturaleza, la o'pinióríy las leyes opo­ nen á la felicidad pública , escritas por el Excmo. Sr. conde de Cabarrus al Sr. D. Gaspar de Jovellanos en 1792, y precedidas de otra al príncipe de la Paz. Acompaña á estas cartas una memoria presentada al Sr. D. Cárlos m para* lá extinción de la deuda nac…</t>
  </si>
  <si>
    <t>de Landazuri, Nicolás Ortiz</t>
  </si>
  <si>
    <t>Nicolás Ortiz de Landazuri</t>
  </si>
  <si>
    <t>eles D. Santiago Terreros, y D. Josef Lanzarote, al ayudan­ te del General de ella el capitán D. Juan Batres, y á mis ayu­ dantes IX Julián Poveda, y D. Nicolás Ortiz de Landazuri, igualmente que al teniente coronel D. Miguel de Alava, á los capitanes D. Vicente Algarra, y D. N. Sechmager, y el te­ niente dél regimiento dé vo…</t>
  </si>
  <si>
    <t>de Lanz, Josef</t>
  </si>
  <si>
    <t>Josef de Lanz</t>
  </si>
  <si>
    <t>apiones de su destino probado ia verdad de quanro habia dicho, fixo en el ministerio de lo Interior. Bonaparte mandó que se le diesen inme­ ART. til. D. Josef de Lanz, durante is diatamente los pasaportes necesarios para coiuÍmoqu gozará por el depósito hidrográ­ volverse i Inglaterra. fico 183} -reales al año , que se te hau…</t>
  </si>
  <si>
    <t>de Lara, Joaquin Manrique</t>
  </si>
  <si>
    <t>Joaquin Manrique de Lara</t>
  </si>
  <si>
    <t>--------- ó«y de Ito. — D. Pedro Balduque. — D. Francisco Carrica. — D. Faus­ tino Lecha. — D, Ramón Robres. — D. Pedro Benisa. — D. Joaquin Manrique de Lara.-- D. Manuel García del Campo.— D. Vi­ cente Aragón. — D. Antonio Viscasillas. — D. Vicente Martínez.— D. Hilario Ximenez.— Angel Blanque.— Juan Domec.- D. Fran­ cisco G…</t>
  </si>
  <si>
    <t>de Lardizabal, Manuel</t>
  </si>
  <si>
    <t>Manuel de Lardizabal</t>
  </si>
  <si>
    <t>esta clase de negocios , concediendo á todos los honores y sueldo que gozában los Camaristas de Castilla: y ha nombrado S. M. para , esta Comisión á D. Manuel de Lardizabal, al Con­ de del Pinar , á D. Josef Pablo Valiente, y á ,D. Sebastian ,de Torres. Y para la comisión particular que ha £de conocer de to­ dos los asuntos e…</t>
  </si>
  <si>
    <t>o día, concurrieron á la sala alta de Acuerdos de la real Audien­ cia los Señores Ministros de dicho Supremo Tribunal que se hallan; en esta ciudad , D. Manuel de Lardizabal, Conde del Pinar, D. Fran­ cisco Requena , D. Josef Pablo Valiente , D. Sebastian de Torres,D. Ignacio Martínez de Villela , D. Miguel Alfonso Villagomez…</t>
  </si>
  <si>
    <t>te ramo en los términos que lo ha tenido siempre. Y en su consecuencia , ha nombrado el consejo para exercer la judicatura de imprentas al Illmo. Sr. D. Manuel de Lardizabal, La junta superior de Extremadura ha remitido á la Suprema central gubernativa del reyno el oficio que le dirigió el teniente coronel D. Mariano Rdcaforf…</t>
  </si>
  <si>
    <t>de Latique, Juan</t>
  </si>
  <si>
    <t>Juan de Latique</t>
  </si>
  <si>
    <t>ion de la plaza de S.- Sebastiauten la n t .. ,í&gt; ' . . ►x ■&lt; j*- provincia-de Guipúzcoa^ S. ¡M. ha nombra^ . , París j de setiembre. do igualmente á D. Juan de -Latique capi­ Escriben -de Amberes que los inglese* tán del real cuerpo de ingenieros. i.-o,. que amem-zaban-á aquella1 ciudad con un Por decretos de 13 de setiembre…</t>
  </si>
  <si>
    <t>de Lazaotzki, Procopio</t>
  </si>
  <si>
    <t>Procopio de Lazaotzki</t>
  </si>
  <si>
    <t>Gaceta de Madrid n.º 221</t>
  </si>
  <si>
    <t>90</t>
  </si>
  <si>
    <t>qpé partido habrá tomado S. A. en estas numeroso, y cada día recibé nuevos'refuer­ n circunstancias.’* ' zos. El gran Señor ha. expedido un firman Él conde Procopio de Lazaotzki, go­ en qfiií"manda 'ef baííide Traunick que in- bernador de Moravia., dirigió el.día 8 4 los meafetameute junte un ¿uerpo de aoSJ habitantes de Brun…</t>
  </si>
  <si>
    <t>de Lazarraga, Pedro Ruiz</t>
  </si>
  <si>
    <t>Pedro Ruiz de Lazarraga</t>
  </si>
  <si>
    <t>á la obra pia fundada por D. Se­ bastian Oquerruri, al contado 4861, y 7291 y medio al fiado: 22 hereda­ des en la villa de Gauna, de la fundación de D. Pedro Ruiz de Lazarraga, al contado 4113, y 6169 y medio al fiado: 10 heredades en dicho barrio de Eguiieon, una borda , huerta en la madura de dicha villa de Salvatierra, de…</t>
  </si>
  <si>
    <t>de Lazcano, Miguel</t>
  </si>
  <si>
    <t>Miguel de Lazcano</t>
  </si>
  <si>
    <t>ercio de Nantes, .tituladas -de Bilbao al referido D* Josef Antonio de Ibarra, v en DesboulJons y Dulac, fls de la Bross y £* Foucault, .esta corte á D. Miguel de Lazcano , en la calle de^Alque fueron retenidas en el año próximo pasado con mo­ .calá, administración de la real lotería, frente &amp;: la fá­ tivo de ias turbulencias…</t>
  </si>
  <si>
    <t>de Ledesma, Bernardo Gil</t>
  </si>
  <si>
    <t>Bernardo Gil de Ledesma</t>
  </si>
  <si>
    <t>io6 E. el Comandante de artillería D. Antonio Melgarejo , y él? Teniente D. Bernardo Gil de Ledesma, que mandaba la ba­ tería de la derecha , á cuyo valor y serenidad se debió en gran parte que el canon , cuyo armón incendió y voló una granada enemiga, continuase haciendo un fuego constan</t>
  </si>
  <si>
    <t>de Lellis, Carlos Alexandro</t>
  </si>
  <si>
    <t>Carlos Alexandro de Lellis</t>
  </si>
  <si>
    <t>olores ni adornos que la pureza y sencillez, que es el vestido propio de la verdad. Las cartas oficiales que aquí se insertan por su 6r-' den, son de D. Carlos Alexandro de Lellis, Cónsul de Es­ paña en el puerto de Trieste , y del caballero D. Eusebió de Bardaxi y Azara, que pasa con encargo de S. M. á la Corte de Víena.</t>
  </si>
  <si>
    <t>de Leltis, Carlos</t>
  </si>
  <si>
    <t>Carlos de Leltis</t>
  </si>
  <si>
    <t>Carta primera del Cónsul D. Carlos de Leltis. Excmo. Sr. as Tenia preparada mi carta num. 14 lisongeándome de un dia á otro ’ que saldría un buque de guerra para Sicilia ó para Malta , lo qual no se ha ve­ ri Scado hasta hoy porque no</t>
  </si>
  <si>
    <t>de Lema, Roque Antonio</t>
  </si>
  <si>
    <t>Roque Antonio de Lema</t>
  </si>
  <si>
    <t>, presbítero, por el estado eclesiástico: el P. abad de S. Basilio¿ por el estado regular: Sr. D. Juan de Mata Iilana, por vecinos de parroquias: Sr. D. Roque Antonio de Lema, por las dipu­ taciones de barrio; y Sr. D. Pedro Rubio , por los Cinco Gremios mayores. Consejo de Estado. Excmo. Sr. conde de Montarco. Consejo de Ind…</t>
  </si>
  <si>
    <t>de León, Antonio</t>
  </si>
  <si>
    <t>Antonio de León</t>
  </si>
  <si>
    <t>comercio por mayor, 48. z:D. Julián de Agudeío, 96. i). Pedro Vidal, 2C.rD. Juan González, 20.«znVarios vecinos de la parroquia de S. Julián, 120. — D. Antonio de León, 12o.— Las justicias del lugar de Miragenil por siT vecindario, 18083.-0. Antonio Montenegro, y D. Joséf Fernandez por sí, y en nombre del clero de la parroqui…</t>
  </si>
  <si>
    <t>de León, María</t>
  </si>
  <si>
    <t>María de León</t>
  </si>
  <si>
    <t>1 39500 verificándolo al li.idr, negas de cabida, linde tierras de la capellanía que fun­ .por los términos y en la forma que prescribe cHeho de­ dó Doña María de León, y tierra de los herederos de creto. Quien quisiere hacer postura acuda ante dicho se­ Doña Geróniinu Serrano, con el canon de 3 fanegas y ñor el insinuado dia…</t>
  </si>
  <si>
    <t>de León, Pedro Alvarez Escolares</t>
  </si>
  <si>
    <t>Pedro Alvarez Escolares de León</t>
  </si>
  <si>
    <t>octubre de 1809. = José María de Carvajal. Vanguardia. — En el regimiento de Zaragoza, herido el cadete D. An­ tonio Barceia, y extraviado el cadete D. Pedro Alvarez 3 Escolares de León, contuso el comandante D. Fernando. Capacete 3 Vitoria, herido el subte­ niente D. Tomas Sostoa 3 Monforte , heridos el capitán segundo D. Ma…</t>
  </si>
  <si>
    <t>de Lezana, Andres Lorenzo</t>
  </si>
  <si>
    <t>Andres Lorenzo de Lezana</t>
  </si>
  <si>
    <t>30 de enero de 1809</t>
  </si>
  <si>
    <t>Gaceta de Madrid n.º 30</t>
  </si>
  <si>
    <t>176</t>
  </si>
  <si>
    <t>de la ciudad de Vitoria y su jurisdicción, como comisionado regio para la enagenacion de obras pías y capellanías, está mandado por la escribanía de.D. Andres^Lorenzo de Lezana sacar á pública, subasta, en. punto de las 11 horas del dia 13 de febrero y su casa consistorial \ dos casas sitas en la primera vecindad de la calle …</t>
  </si>
  <si>
    <t>de Liarte, Diego</t>
  </si>
  <si>
    <t>Diego de Liarte</t>
  </si>
  <si>
    <t>486</t>
  </si>
  <si>
    <t>cra; !, guardando don; otra fuerte gftéflfdUí-'iel 'Vado aque:hay :sbbre' la derecha de* este puente; Al-teniente, córonel de'voluntarios de Cataluña D. Diego de Liarte», le desfinéá'que &gt;con otros; tantos y 30 caballos, cúbrferídetfcs urervadoaque hay entre las; Herencias y su izqüáátáaí, igyéfriMepsáotjodp aquelía-ioriUa ,.…</t>
  </si>
  <si>
    <t>de Lichteasteia, Juau</t>
  </si>
  <si>
    <t>Juau de Lichteasteia</t>
  </si>
  <si>
    <t>r y premiar aquellos cuyo dis­ tinguido mérito ha sido mas reconocido por todo el éxército • ó que por casualidad he podido observar mas d* cerca. El Príncipe Juau de Lichteasteia, General d# la caba-</t>
  </si>
  <si>
    <t>de Lichtemtein, Joan</t>
  </si>
  <si>
    <t>Joan de Lichtemtein</t>
  </si>
  <si>
    <t>Gaceta de Madrid n.º 227</t>
  </si>
  <si>
    <t>80</t>
  </si>
  <si>
    <t>s, y el señor duque de Friul , apo­ riormente quedan desde ahora revocadas y sentador mayor de palacio; y por parte del declaradas nulas. Austria ,el príncipe Joan de Lichtemtein y ••La administración de los bienes de la el general barón de Vincent. Se asegura Iglesia siendo puramente laical, y estando que las negociaciones e…</t>
  </si>
  <si>
    <t>de Lichtens, Juan</t>
  </si>
  <si>
    <t>Juan de Lichtens</t>
  </si>
  <si>
    <t>r. Nompere de Charapagny , nuestro ministro de relaciones exteriores , en virtud de los pílenos poderes que á este efectorle hemos conferido,y por el príncipe Juan de Lichtens*ein , mariscal de los exércitos de A. M. el'empera­ dor de Austria, igualmente revestido con plenos poderes , cuyo tra­ tado es del tenor siguiente : —…</t>
  </si>
  <si>
    <t>de Lichtenstein, Jnai</t>
  </si>
  <si>
    <t>Jnai de Lichtenstein</t>
  </si>
  <si>
    <t>imas. Los vélites y los granaderos de á pie de la guar­ dia italiana se llevan la ateneion de toda la- gente por su excelen­ te ayre y bizarría. — El príncipe Jnai&gt; de Lichtenstein-, que ha. vuelto de Ruda, ha sido presentado el dia I8á S. M., á quien ha entregado una carta del emperador de Austria “ EL conde de Bubna , gener…</t>
  </si>
  <si>
    <t>de Lichtenstein, Joan</t>
  </si>
  <si>
    <t>Joan de Lichtenstein</t>
  </si>
  <si>
    <t>e ha insertado un artículo conce­ nes, los'insurgentes han evacuado las inme­ bido en estos términos : diaciones de Inspruck, y restablecido las „ El príncipe Joan de Lichtenstein ha comunicaciones con Scharnitz; ofreciendo vuelto al exército. El conde de Bubena ha igualmente dexar libres las comunicaciones vuelto á entrar en…</t>
  </si>
  <si>
    <t>de Lichtenstein, Juan</t>
  </si>
  <si>
    <t>Juan de Lichtenstein</t>
  </si>
  <si>
    <t>hacia la Bohemia. que comenzará en el punto en donde la fron­ El general Bellegarde le escribió que el tera dél 'círculo de Brunn toca con el March; príncipe Juan de Lichtenstein iba á ver al y baxando el March hasta la confluencia del Emperador con una comisión de'su amo pa­ Taya , de aquí á Saint Johann y el camino ra trata…</t>
  </si>
  <si>
    <t>20 de noviembre de 1809</t>
  </si>
  <si>
    <t>Gaceta de Madrid n.º 325</t>
  </si>
  <si>
    <t>423</t>
  </si>
  <si>
    <t>e plenos poderes á S. M. el Reí de España , á S. M. el Rei de que Nos le hemos conferido á este efec­ Holanda, i S. M. el Rei de Ñ ipóles, á to, y el príncipe Juan de Lichtenstein , ma­ S. M.. el Reí .te B.tviera, á S. M. el Rei de riscal de les exércitos de S. M. el Empera­ Wirtemberp. á S M. el Reí de Saxorvia, dor de Austr…</t>
  </si>
  <si>
    <t>de la or­ den de Hesse- Darmstadt, su ministro de relaciones exteriores ; -—. y S. M. el emperador de Austria, rey de Hungría y de Bohemia, á Mr. el príncipe Juan dé Lichtenstein , caballero dé lá ¿rdea del ToysondeOfó, gran-cruz de la 6fden.de María Teresageiitil-hombre , mariscal de los exércitos de S. M. el emperador de Au…</t>
  </si>
  <si>
    <t>de Lira, Diego</t>
  </si>
  <si>
    <t>Diego de Lira</t>
  </si>
  <si>
    <t>Gazeta del Gobierno n.º 55 · 2.ª serie</t>
  </si>
  <si>
    <t>o dos corsarios , hecho prisionera la guarnición del fuerte , enarbolado en él la bandera de. España , y puesto en posesión de todo aquel. distrito á D. Diego de Lira, oficial español de la milicia nacional ; y''que al dia siguiente marchaba á Jamáyca con la fragata , los prisione-</t>
  </si>
  <si>
    <t>de Llordella, Ramón</t>
  </si>
  <si>
    <t>Ramón de Llordella</t>
  </si>
  <si>
    <t>allol. Sevil. . D. José María Gómez. Sar^Ker. . Señores Vidal é hijo.. StajCriiz de Tenerife. D. Antonio García Campero.. Tarragona.................. D. Ramón de Llordella é hijo. falencia...................... D. Francisco Peyrolon y compañía.</t>
  </si>
  <si>
    <t>de Lo, Juan</t>
  </si>
  <si>
    <t>Juan de Lo</t>
  </si>
  <si>
    <t>i.-o,. que amem-zaban-á aquella1 ciudad con un Por decretos de 13 de setiembre S. M.crecido número de buques de guerra y 4ojS) ha venido-en nombrar á D. Juan de Lo-; hombres de tropas de d&amp;sembaico, se han resecha, oidor del tribunal de Navasr*y retirado el 30 de agosto sin saberse el mtnr y D. Josef-Miría Cejudo* y- Aldama v…</t>
  </si>
  <si>
    <t>de Longavila, Francisco Trazante y Juan</t>
  </si>
  <si>
    <t>Francisco Trazante y Juan de Longavila</t>
  </si>
  <si>
    <t>o D. Manuel Fernandez, D. Antonio Gallardo, D. Cárlos Vicente y D. Manuel Abad, al capitán, subteniente y sargento 2.° del de Sta. Fe D. Miguel Vaca, D. Francisco Trazante y Juan de Longavila, como igualmente al cabo l.Q del de Sabaya Ra* mon Beitran. P. D. —-Excrno, Sr. —— Por un olvidó natural lie de­ xado. de recomendar al…</t>
  </si>
  <si>
    <t>de Lora, Sebastian</t>
  </si>
  <si>
    <t>Sebastian de Lora</t>
  </si>
  <si>
    <t>z, 10 rls. para un par de medias. Doña María Manuela Escobar, 1 o rls. para un par de medias* D. Benito Alvarado , 20 rls. para dos pares de inedias* D. Sebastian de Lora, 10 rls. para unas medias* -D. Juan Ruiz , 10 rls. para un par de medias., D. Francisco Domínguez , 10 rls. para un par de medias* D. Juan de Vargas, 14 rls…</t>
  </si>
  <si>
    <t>de Losada, Francisco Xavier</t>
  </si>
  <si>
    <t>Francisco Xavier de Losada</t>
  </si>
  <si>
    <t>gundo D. Gabriel de Mendizabal : á D, José María Carbajal, mayor general de infantería : á D. Andrés Pérez dé Herrasti: á D. Martin de la Carrera : á D. Francisco Xavier de Losada : al conde deBslveder, y al príncipe de Anglona: al brigadier D. Samuel Turtach: al mayor general de caballería D. Antonio Rerana , coroDei del reg…</t>
  </si>
  <si>
    <t>de Loyzaga, Ramón</t>
  </si>
  <si>
    <t>Ramón de Loyzaga</t>
  </si>
  <si>
    <t>man­ da el General Blake; por esta parte de Aragón los france­ ses se marchan hacia Zaragoza. Dios quiera que sea para no volver., Cádiz 28 de marzo* D. Ramón de Loyzaga ha recibido ía siguiente noticia traí­ da por ei bergantín español Continencia que ha entrado ayer en este puerto, zr Ha habido cartas de México, y se dá por…</t>
  </si>
  <si>
    <t>de Lszau, Marqués</t>
  </si>
  <si>
    <t>Marqués de Lszau</t>
  </si>
  <si>
    <t>ido, traté de reucir las tropas que acabo de expresar * reforzándolas con ua corto numero de otras que saqué de la guarnición de Tortosa. El Teniente general Marqués de Lszau se encargó de conducir al punto de reunión las del Algas, y el Mariscal de campo 0. Pedro Roca las que mandaba en Morella. Las fuerzas enemigas consistí…</t>
  </si>
  <si>
    <t>de Luengas, Manuel</t>
  </si>
  <si>
    <t>Manuel de Luengas</t>
  </si>
  <si>
    <t>enientes de navio los de fragata D. Jcsef María Tagle , D. Francisco Antolinez , D. Joan Dámelo,-D. Josef García Santa' María , D. Luisv Na vane te , D. Manuel de Luengas : á Al-* féreces de navio los de fragata D. Josef de Tiscar, D. Sal­ vador Spadafora , D. Manuel Díaz Herrera , D. Juan Du­ ran : á Alférez de fragata fl gu…</t>
  </si>
  <si>
    <t>de Lugo, Estanislao</t>
  </si>
  <si>
    <t>Estanislao de Lugo</t>
  </si>
  <si>
    <t>D. Josef Ignacio Joven de Salas, Don Madrid xS de mayo. Manuel María Cambronera, D. Juan An­ El Reí (que Dios guarde) se trasladó el tonio Llórente y D. Estanislao de Lugo, domingo 14 del corriente á su real sirio de Por presidente de la sección de lo Interior Aranjuez, en donde continúa sin ia menor y Policía general al cond…</t>
  </si>
  <si>
    <t>de Luna, Bartolomé</t>
  </si>
  <si>
    <t>Bartolomé de Luna</t>
  </si>
  <si>
    <t>214</t>
  </si>
  <si>
    <t>s y distinciones del Gobierno $ pero con particularidad á los capitanes D. Pedro Fernandez y D. Victor' Cordero, al subteniente y ayudante in­ terino D. Bartolomé de Luna, y al teniente -de la compañía de Lanzeros D. Cirios García Tejada. Dios, &amp;c. i Numero IEL Parte del teniente general duque de Alburquerque. Excmo. Sr. tez …</t>
  </si>
  <si>
    <t>de Luna, José</t>
  </si>
  <si>
    <t>José de Luna</t>
  </si>
  <si>
    <t>e las balas , y en ser en ñn los primeros.! tocar ios límites que quería ocupar elenemigo para exemplo de sus inferiores. No debo pasar en silencio á D. José de Luna, sargento mayor del regimiento de infantería de Badajoz, y mayor de la división, quien en todo el tiempo del combate comunicaba las disposiciones de Vd E. y las …</t>
  </si>
  <si>
    <t>de Luna, Rafael</t>
  </si>
  <si>
    <t>Rafael de Luna</t>
  </si>
  <si>
    <t>or D. Aniceto Casagna, vélite de nnestra S. M. su ministro secretario de Estado Ma­ real guardia , está nombrado subteniente. riano Luis de Urquijo." D. Rafael de Luna , también vé.ite, es­ tá nombrado subteniente. Don Josef Napoleón por la gracia de D. Manuel Rivas , también vélite, está Dios y por la constitución del estado…</t>
  </si>
  <si>
    <t>de Lusarreta, Fermín</t>
  </si>
  <si>
    <t>Fermín de Lusarreta</t>
  </si>
  <si>
    <t>.-- D. Lo­ renzo Puchol. — D. Vicente Laborda. — D. Antonio Vicente.— D. Vicente Puchol. — D. Julián Navarrete. — D. Pedro Yoldi. — D, José Unceta. — D. Fermín de Lusarreta. ~ D. Eulogio Espi­ no.— D. Francisco Barraneche. — D. Cipriano Iturraldé.— D. To­ mas Yoldi.—D. José Sánchez. — D. Luis Manuel de Benavides. — D. Lorenzo…</t>
  </si>
  <si>
    <t>de Luzuriaga, María Antonia</t>
  </si>
  <si>
    <t>María Antonia de Luzuriaga</t>
  </si>
  <si>
    <t>935</t>
  </si>
  <si>
    <t>e Alangua de dicha villa de Salvatierra con sus huertas, 3 bordas en los arrabales de S. Juan, y 88 heredades en diversos términos-de la fundación de Doña María Antonia de Luzuriaga, al contado 57129, y 85629 y medio al fiado: una casa con su borda, era, huerta, y 2 heredades en dicha villa de Salvatierra, 3 en los términos d…</t>
  </si>
  <si>
    <t>de Luzurisga, Martiu Ruiz</t>
  </si>
  <si>
    <t>Martiu Ruiz de Luzurisga</t>
  </si>
  <si>
    <t>tado 4113, y 6169 y medio al fiado: 10 heredades en dicho barrio de Eguiieon, una borda , huerta en la madura de dicha villa de Salvatierra, de la de D. Martiu Ruiz de Luzurisga, al contado 6171 , y 9256 y medio al fiado: en el de Ilarduyay Alvenir, de la misma fundación, 7 heredades, al contado 1121, y 1681 y medio al fiado:…</t>
  </si>
  <si>
    <t>de M, Vicente María</t>
  </si>
  <si>
    <t>Vicente María de M</t>
  </si>
  <si>
    <t>Sevilla 27 de diciembre. — Por el ministerio de la Guerra se ha comunicado, para que se inserie en la gazeta del Gobierno, el articulo que sigue. — “D. Vicente María de M aturan a, caballero profese de la órden de Calatrava, administrador usufructuario de la en­ comienda de Huelamos en lá de Santiago, consejero nato del su­ p…</t>
  </si>
  <si>
    <t>de Ma, Juan</t>
  </si>
  <si>
    <t>Juan de Ma</t>
  </si>
  <si>
    <t>es ó ampliaciones que exija su cons­ acción, previa la aprobación de S. M. Con titución , y los nuevos recursos que puede^ este motivo el señor vocal D. Juan de Ma­ encontrar en un nuevo orden de cosas. drid , en el snpuesto de que el banco nece­ ,, Lejos pues de aqui toda recrimina­ sitaba una reforma radical en sus objetos,…</t>
  </si>
  <si>
    <t>de Malabear, Francisco García</t>
  </si>
  <si>
    <t>Francisco García de Malabear</t>
  </si>
  <si>
    <t>na que órden, que sucesivamente se irán designan­ sepa de su paradero :c sirva avisarlo en Santan­ do , se juntarán y vivirán reunidos en el de der á D. Francisco García de Malabear, y en S. Lorenzo del Escorial. esta corte á dicho Sr. Baranda. EN LA IMPRENTA REAL.</t>
  </si>
  <si>
    <t>de Manso, Josef</t>
  </si>
  <si>
    <t>Josef de Manso</t>
  </si>
  <si>
    <t>Gazeta del Gobierno n.º 6 (suplemento)</t>
  </si>
  <si>
    <t>95</t>
  </si>
  <si>
    <t>ada casa ua castillo, y cada batería un testimonie del arte » -del talento y del valor. Se hsa Señalado, en esta gloriosa acción el Marisca! da Campo D. Josef de Manso en la soberbia defensa del pan­ to á que se ótbs no haberse perdido la plaza. Este digno Comandante gobernó con el mayor acierto la acción mas viva y biea HeVá…</t>
  </si>
  <si>
    <t>de Marcer, Salvador Negre</t>
  </si>
  <si>
    <t>Salvador Negre de Marcer</t>
  </si>
  <si>
    <t>nuevos de la ciudad de Toledo á D. Juan Antonio Salanova, presbítero ; y para el préstamo de la villa de Cevico de la Torre, obispado de Palencia, á D. Salvador Negre de Marcer, presbítero, natural de la vi­ lla de Castellón de Ampurias, obispado de Gerona. &lt; No siendo bastantes las gazetas que por decreto de S. M. se distrib…</t>
  </si>
  <si>
    <t>de MarciHa, Antonio Garces</t>
  </si>
  <si>
    <t>Antonio Garces de MarciHa</t>
  </si>
  <si>
    <t>campo D, Luis Wimpfen , qoe tenia por. segundo al brigadier conde de Pino Hermoso , v por- comandante general de la vanguardia al coronel de Sta. Fe D. Antonio Garces de MarciHa„ La operación de introducirlo , una de las mas delicadas que pueden ocurrir en el arte de ia guerra , se verificó en la maña­ na del 26. Situado el e…</t>
  </si>
  <si>
    <t>de Mazafredo, Josef</t>
  </si>
  <si>
    <t>Josef de Mazafredo</t>
  </si>
  <si>
    <t>y de noviembre. Sin cálculo político de los medios mili­ Se ha publicado la sigaiente proclama tares del Emperador Napoleón , y no viendel Excmo. Sr. D. Josef de Mazafredo , mi­ do mas que los que la humanidad le había nistro de Marina. . hecho destinar á España para escusarla todo *- ,, EspaRoi.bs , Que mis verdades pene­ ma…</t>
  </si>
  <si>
    <t>de Mazarredo, José</t>
  </si>
  <si>
    <t>José de Mazarredo</t>
  </si>
  <si>
    <t>270 tm-o gobierna D. José de Mazarredo quando se hallaba fuera cié Madrid. En la primera de fecha de 25 de febrero de este año dice He jurado hoy como teniente general; Espinosa y Salazar no sólo que harán, pues han manifestado mucha repugnan­ cia, mas creo se av</t>
  </si>
  <si>
    <t>de Mazirredo, Josef</t>
  </si>
  <si>
    <t>Josef de Mazirredo</t>
  </si>
  <si>
    <t>idos; por estas causas yo Jacobo Madisson, presidente de los Estados- Madrid 15 de Junio. " Unidos, proclamo por las presentes, que las El Excmo. Sr. D. Josef de Mazirredo, órdenes del consejo susodichas serán revo­ ministro de la Marina, escribe de la Coracadas el día 10 de junio próximo, desde ña con fecha de 3 del corrient…</t>
  </si>
  <si>
    <t>de Melle, Francisco José</t>
  </si>
  <si>
    <t>Francisco José de Melle</t>
  </si>
  <si>
    <t>_ . libros. Canción patriótica. Por D. A. P. B. En la librería de Berard, á 5 quartos. — Canción patriótica , con acompañamien­ to de forte-piano. P. D. Francisco José de Melle. Núro. 1.* gra­ bado. Id. k -6 reales. SEVILLA: EN LA IMPRENTA REAL.</t>
  </si>
  <si>
    <t>de Men, Manuel</t>
  </si>
  <si>
    <t>Manuel de Men</t>
  </si>
  <si>
    <t>sd« lle de Francos, nútn. 1 2, frente á las tapias de los Ca­ el 9 del corriente , las Bacas siguientes: una casa en la puchinos, y en Deva al citado D. Manuel de Men- puerta del Sol, núm. i , raanz. 2.07, cuyo producto diola. . ; anual es 17690 rs., y con respecto ¿él su valor al con­ Con fecha 15 de abril próximo pasado rem…</t>
  </si>
  <si>
    <t>de Mena, Julián</t>
  </si>
  <si>
    <t>Julián de Mena</t>
  </si>
  <si>
    <t>z Gallardo , D. Manuel Ma­ de su cargamento, y las reparaciones que ría de Echevarría , D. Nicolás García de los tiene que hacer en su buque. Reyes y D. Julián de Mena oficiales se­ ,, Gstoi informado del ínteres que ha­ gundos ; y por archivero á D. Josef Mauri­ béis tomado por mí en todas ocasiones du­ cio Hermosilla. rante…</t>
  </si>
  <si>
    <t>de Menchaca, Joaquín González</t>
  </si>
  <si>
    <t>Joaquín González de Menchaca</t>
  </si>
  <si>
    <t>aga, y á su teniente coronel el coronel D. Domingo de Sierra, por su actividad y zelo, y Con pafticiiliridád recomiendo á V. E. ál teniente coro­ nel D. Joaquín González dé Menchaca, sargento mayor y .Comandante del regimiento provincial dé Burgos * qué se mantuvo en su puesto con la ma­ yor firmezai igualmente ál coronel-D.-…</t>
  </si>
  <si>
    <t>de Menchaca, Míiitíii</t>
  </si>
  <si>
    <t>Míiitíii de Menchaca</t>
  </si>
  <si>
    <t>; y rntrecaa de justicia mención particular los oficiales y tfop.i -d 2-is* co­ lumnas que lograron entrar en acción, y rus comanda -t;s íes.pectivos D. Míiitíii de Menchaca , !&gt;• Jotef' Cucad, D. Ma­ nuel Carboiz y D. Pedro Texada. No podía mirar ;e »¿i i en­ ternecimiento el espectáculo patético de un pueblo cinn roso, que …</t>
  </si>
  <si>
    <t>de Mendivi, Galo</t>
  </si>
  <si>
    <t>Galo de Mendivi</t>
  </si>
  <si>
    <t>Jostf Barruiso, abandonaron todas sus posiciones; arrojaron y al de Respaldíza, en la diócesi de Cala­ muchos sus armas para huir mas desemba­ horra, D. Galo de Mendivi! y Amírola: pa­ razados ; dexaron en el campo de batalla ra un beneficio servidero de la villa de Cer- crecido número de muertos y heridos , y per­ villcgo de…</t>
  </si>
  <si>
    <t>de Mendivil, Pedro</t>
  </si>
  <si>
    <t>Pedro de Mendivil</t>
  </si>
  <si>
    <t>obra pia fundada en el lugar de Mendijur, al contado 6722 , y 10098 al fiado: 13 heredades pertenecientes á la ermita de Sta. Cruz, del patronato de D. Pedro de Mendivil, ai con­ tado 2244, y al fiado 3366: una casa y 19 heredades sitas en dicho lugar de la capellanía que goza D. Josef Ramón de Uranga, al contado 7480, y 1122…</t>
  </si>
  <si>
    <t>de Mendizabal, Gabriel</t>
  </si>
  <si>
    <t>Gabriel de Mendizabal</t>
  </si>
  <si>
    <t>a y D. Joaquín Domínguez, y al subteniente D. José de Ponte. Finalmente recomiendo muy particularmente á V. E. á los maríscales de campo , mi segundo D. Gabriel de Mendizabal : á D, José María Carbajal, mayor general de infantería : á D. Andrés Pérez dé Herrasti: á D. Martin de la Carrera : á D. Francisco Xavier de Losada : a…</t>
  </si>
  <si>
    <t>caballería , que rechazó por tres veces , sostenida de la segunda división : al fin formó el quadrilongo , quedán­ dose en él los mariscales de campo D. Gabriel de Mendizabal, segundo xefe de aquel exército, y D. Martin de la Carre­ ra, comandante general de la vanguardia, y en esta forma resistió</t>
  </si>
  <si>
    <t>de Mendoza, Francisco Hurtado</t>
  </si>
  <si>
    <t>Francisco Hurtado de Mendoza</t>
  </si>
  <si>
    <t>nstan­ nio Xa reño y D. Eduardo Santiago Palo­ cias tan apuradas. Soi &amp;c. = Firmado — mares oficiales segundos; y por archivero Duboís Thainville.” á D. Francisco Hurtado de Mendoza. ESPAÑA. Por decreto del mismo día 6 del cor­ riente S. M. ha nombrado en el ministolo Madrid 9 de setiembre. de lo Interior á D. Josef María Lan…</t>
  </si>
  <si>
    <t>Joaquín Onjs y D. Manuel de Alonso oficiales pri­ meros ; á D. Antonio Xareno y D. Eduardo Santiago Palomares oficiales segundos ; y por Archivero k D. Francisco Hurtado de Mendoza. Por decreto del mismo dia 6 del corriente ha nombrado en el ministerio délo interior k D. José María Lauz , D. Francisco Antonio Zea y D. Cnstova…</t>
  </si>
  <si>
    <t>de Mendoza, Pasqual</t>
  </si>
  <si>
    <t>Pasqual de Mendoza</t>
  </si>
  <si>
    <t>de vn.ra ; D. Ignacio Navarrete , por los meses de febrero y marzo,, 60.=» j Los vecinos de la Villa de ■Híófila250. = D. Josef de Mier, por mano de D. Pasqual de Mendoza, A leal Je del Barrio del Salvador p .por la contribución; de los veciñoslde tu demafda­ ción , 1D. Pedro Malangron por una vez, 20.= To­ tal Í2M2$* L. ... …</t>
  </si>
  <si>
    <t>de Merse, Lauriston</t>
  </si>
  <si>
    <t>Lauriston de Merse</t>
  </si>
  <si>
    <t>de los quales quedaron 300 prisioneros. el tercer escalón, y la división del general El 12 el exército destiló por el puente Puthod en reserva. El general Lauriston de Merse hácia Papa ; y el virei divisó des­ con su cuerpo de observación, sostenido de una altura á todo el exército enemigo por el general Sahtlc, formaba el ex…</t>
  </si>
  <si>
    <t>de Mícheó, Manuel</t>
  </si>
  <si>
    <t>Manuel de Mícheó</t>
  </si>
  <si>
    <t>dos de la Orden a D. Pasqual Tenorio y Moscoso. • Se han extraviado 2 5 vales reales de á 600 pesos , de la crea­ ción de setiembre, pertenécientés á D. Manuel de Mícheó, vecino y del comercio de Cádiz , cuyos nlimeros son : 5 : 977 ; 165 5 : 239I: 3514: 63í-8 16851:-6909 : 7814 : 8251 : 8818 : 9057: *0412 : 11405 : 10812 : 1…</t>
  </si>
  <si>
    <t>de Mie, Jojé María</t>
  </si>
  <si>
    <t>Jojé María de Mie</t>
  </si>
  <si>
    <t>Jun­ ta central de España é Indias.” 1,'bros. Discurso predicado en la' real capilla dé S. Antonio dé ."Áránjuez el xS dé marzo de 1805 , por el Dr. D. Jojé María de Mie­ ra Pacheco, primer capellán real y cura castrense de la capilla dé Pa­ lacio. En las librerías de Vázquez y Carrera ¿ á 4 rs. SEVILLA: EN LA IMPRENTA REAL.</t>
  </si>
  <si>
    <t>de Mier, Josef</t>
  </si>
  <si>
    <t>Josef de Mier</t>
  </si>
  <si>
    <t>rzos próximo; pasado , ico rs¿ de vn.ra ; D. Ignacio Navarrete , por los meses de febrero y marzo,, 60.=» j Los vecinos de la Villa de ■Híófila250. = D. Josef de Mier, por mano de D. Pasqual de Mendoza, A leal Je del Barrio del Salvador p .por la contribución; de los veciñoslde tu demafda­ ción , 1D. Pedro Malangron por una v…</t>
  </si>
  <si>
    <t>de Milarts, Ramón</t>
  </si>
  <si>
    <t>Ramón de Milarts</t>
  </si>
  <si>
    <t>por la del Norte al Valles , en donde debía efec­ tuarse la leva en masa del pays. Y como éste tenga la ma­ yor confianza en los Tenientes coroneles D. Ramón de Milarts, y D. Juan Clarós j determinó poner á su cuidado parte de la empresa , á que se ofrecieron gustosos , y aun les añadió por acompañado al Coronel D. Francisco …</t>
  </si>
  <si>
    <t>de Mina, Francisco Xavier</t>
  </si>
  <si>
    <t>Francisco Xavier de Mina</t>
  </si>
  <si>
    <t>420</t>
  </si>
  <si>
    <t>por ellas sabemos que el 15 del mismo , en el Monte Carrascal, camino real de Tudela para Pamplona , cerca de Barasoam , el noble.y famoso estudiante D. Francisco Xavier de Mina, esperó con unos 200 de sus voluntarios un carro que se dirigía hacia Pamplona con mucha escolta, la que de nada sirvió, pues fu.é apresado después d…</t>
  </si>
  <si>
    <t>de Mo, Ramón María</t>
  </si>
  <si>
    <t>Ramón María de Mo</t>
  </si>
  <si>
    <t>biernos. Supongo que mi nota de este dia rela­ provincia D. Josef María de Soroa y Soroa, tiva á los buques americanos satisfará los y á su consultor D. Ramón María de Mo­ deseos de S. \1.1. y R. En lo sucesivo pro­ ya, los qua’es .en el corto espacio de 12 curaré comunicarle las resultas de la infor­ dias no solamente han ll…</t>
  </si>
  <si>
    <t>de Molina, Joaquín</t>
  </si>
  <si>
    <t>Joaquín de Molina</t>
  </si>
  <si>
    <t>o-re la Supr\ ma Junta de Galerno del R?yno, ss ha servido nombrar para la Dignidad de tesorero de ia Cuedraf. de Mdaga, vacaete por fallecimiento de D. Joaquín de Molina, i D. Feliciano Molina, canónigo da ia misma Sra. iglesia; para la canongía que este dexa, á D. Manuel E izalde, capellán Real de Granada ^ y para la capell…</t>
  </si>
  <si>
    <t>de Mollinedo, Julián</t>
  </si>
  <si>
    <t>Julián de Mollinedo</t>
  </si>
  <si>
    <t>211</t>
  </si>
  <si>
    <t>cia , que se presento al REI nuestro Señor el do­ mingo 5 del presente meS, se componía de los sugetos siguientes: Por el cabildo de la catedral. Dr. D. Julián de Mollinedo, maestrescuela y canónigo; D. Lorenzo Calvo de la Cantera , canónigo ; y D. Manuel Pascual Luizoain, canónigo* Por el estado noble. -a. D. Lorenzo Sanz de…</t>
  </si>
  <si>
    <t>de Monsalud, Marqués</t>
  </si>
  <si>
    <t>Marqués de Monsalud</t>
  </si>
  <si>
    <t>dan ahora los animosos gritos de una noble venganza , conseguida por vuestros robustos bra­ zos en el campo de batalla., SEVILLA. "Parte del Teniente general Marqués de Monsalud desde su quartel general de Nogales en Extremadura. Señor: ~ En la descubierta que hicieron esta madruga­ da mis avanzadas , se avistaron con un fuer…</t>
  </si>
  <si>
    <t>de Montebello, Duque</t>
  </si>
  <si>
    <t>Duque de Montebello</t>
  </si>
  <si>
    <t>, y faltan los cartuchos. Empieza el desorden á introducirse entre las filas francesas: una bala de canon viene 'felizmente, y le lleva una'pierna al Mariscal Duque de Montebello que . cae sin rséntido entre sus inismos soldados. Arrebátanle estos en una parigüela, y rerirándoj'e hacia el rio hallan á Bonaparte, que conmovido…</t>
  </si>
  <si>
    <t>de Montoya, Manuel</t>
  </si>
  <si>
    <t>Manuel de Montoya</t>
  </si>
  <si>
    <t>la de Avila á D. Martin Josef de Yabar, capvlLan de coro mas antiguo de la real iglesia de S. Isidro de esta corte: para una ración de la ce Zamora á D. Manuel de Montoya, capellán :que ha sido de reales guardias de Cerps: para una capellanía de la real capilla de Reyes nuevos de la ciudad de Toledo á D. Juan Antonio Salanova…</t>
  </si>
  <si>
    <t>de Mor, TOMAS</t>
  </si>
  <si>
    <t>TOMAS de Mor</t>
  </si>
  <si>
    <t>rte cíe Dinarqarca. Se cree sea con el objeto, de terminar la guerra de la Noruega, Sevilla i 4 de Enero de 1809. COPIA DE UNA CARTA INTERCEPTADA QUE D. TOMAS de Mor la t con fecha de rt de Diciembre ultimo y dirigid al Gobernador interino de lp Plaza de Cádiz £&gt;. Josef Vimés* Por el contexto de ella acabará de desengañarse e…</t>
  </si>
  <si>
    <t>de Mora, Juan</t>
  </si>
  <si>
    <t>Juan de Mora</t>
  </si>
  <si>
    <t>María del Carmen Alvares , 17 rls. para unos zapatos* D. Pedro Ruiz , 153 ris. para diez mochilas. D. Antonio Quesada, 60 rls. para quatro mochilas. D. Juan de Mora , 10 rls. para un par de medias. D. Diego Olivera, 12 rs. para un sombrero. D. Josef Quadrado , 10 rls. para un par de medias. D. Juan Rrenes, 30 rls. para dos mo…</t>
  </si>
  <si>
    <t>de Mora, Pedro</t>
  </si>
  <si>
    <t>Pedro de Mora</t>
  </si>
  <si>
    <t>28 de enero de 1809</t>
  </si>
  <si>
    <t>Gaceta de Madrid n.º 28</t>
  </si>
  <si>
    <t>rónimos, capuchinos, franciscanos, de S. Pedro de Alcántara, premostratenses, do­ minicos y de S. Francisco de Paula. INTENDENCIA DE MADRID. BANDO. , D. Pedro de Mora y. launas, del consejo de S. ,M., su secretario con exercicio de decretos, intendente de esta provincia, y corregidor de esta villa de Madrid y su partido &amp;c. H…</t>
  </si>
  <si>
    <t>de Moratilla, Manuel</t>
  </si>
  <si>
    <t>Manuel de Moratilla</t>
  </si>
  <si>
    <t>han ofrecido donativos con pre­ ciso destino para ocurrir &amp; la curación y asistencia de los heridos en. la bataliá de los campos de Talavera^ rs. vn. D. Manuel de Moratilla, Director de les Reales cortijos de Aranjuez..................................... ......................................... 4,000 El Comisario Ordenador D…</t>
  </si>
  <si>
    <t>de Morejon, Sebastian Hernández</t>
  </si>
  <si>
    <t>Sebastian Hernández de Morejon</t>
  </si>
  <si>
    <t>en las opiniones mo­ dernas sobre el gobierno* religión &amp;c., y se manifiéstala verdadera libertad del hombre con el gobierno que mas le acomoda : por D. Sebastian Hernández de Morejon, En 8. 0 Se venden en Sevilla en'la librería de Hidalgo EN ¿A IMPRENTA RE AL DE LA GAZETA. 1 ■' -*r ' -~ -V? ;■ ■■ o ;/ ■ .. . . • IV J 9 í.</t>
  </si>
  <si>
    <t>de Moría, Tomas</t>
  </si>
  <si>
    <t>Tomas de Moría</t>
  </si>
  <si>
    <t>nador dei an­ ra otra parte del mundo, y que todo tes­ tiguo consejo de Castilla; al teniente gene­ tifica nuestro celo en mantener y. hacer res­ ral D. Tomas de Moría ; á D. Juan Pache­ petar vuestra religión. co ; al marques de Branciforre , capiran ge­ Quanto á lo que se llama independen­ neral de Los reales exércitos y ex…</t>
  </si>
  <si>
    <t>istros, de los miembros primer grado de tedas las clases de la so­ del antiguo consejo, marques deBaxamar, ciedad, y cuya elección nos habia indicado D. Tomas de Moría, marques de Branci— la opinión pública;• reuniendo en fin á los forte , marques Caballero y D. Sebastian antiguos consejeros de Estado, destinados á -Piñuela; …</t>
  </si>
  <si>
    <t>de Moría, Tomás</t>
  </si>
  <si>
    <t>Tomás de Moría</t>
  </si>
  <si>
    <t>que erau menester para cortar la can-. tución greña de nuestras profundas y dotorosas úl­ ceras , y ser el restaurador de la bella y - El Excmo. Sr. D. Tomás de Moría por rica España» moribunda y escamada por los individuos del antigao consejo. tantos años. V. M. estaba destioado para, „ Se Sor: El antigao consejo de Esta­ se…</t>
  </si>
  <si>
    <t>Casa Palacios , y de Monte hermoso , de D¿ Manuel Romero , de D. Pablo de Ar ribas , de' D. Josef Marquina y Galindo , del Marqués de San Adrián, de D. Tomás de Moría , de D. Manuel Sixt o Espinosa, de D.Luis Marcelino Péreyra, de D* Juan Llórente, de D, Pidro de Estála , de D. Francisco Gallardo Ferna ndez , del Duque de ; M…</t>
  </si>
  <si>
    <t>de Morua, Joaquín</t>
  </si>
  <si>
    <t>Joaquín de Morua</t>
  </si>
  <si>
    <t>tivo voluntario ; por los Srs. D. José Checa una muía, valuada en 2500 reales; por el conde de Oñate ,2 en 53 ; la du­ quesa de Abrantes, 2 en 53 ; y D. Joaquín de Morua, 2 en 3800. — De la ciudad de Ecija han presentado en donativo , el marques de Alcántara dos muías, valuadas en 900 reales; la mar­ quesa su madre una en 550…</t>
  </si>
  <si>
    <t>de Moya, Josef</t>
  </si>
  <si>
    <t>Josef de Moya</t>
  </si>
  <si>
    <t>r , D. Carlos Salas, y D. Diego Rivagorda , que habiendo salido de guerrilla, escar­ mentaron bien al enemigo ; la del subteniente del mis­ mo cuerpo D. Josef de Moya que la mandaba y fue herido ; y la bizarría del distinguido del propio D. Juan Bartolomé Moya , que con los capitanes de somatenes Francisco Fáloch y Ramón Sole…</t>
  </si>
  <si>
    <t>de Múdela, Santa Cruz</t>
  </si>
  <si>
    <t>Santa Cruz de Múdela</t>
  </si>
  <si>
    <t>Guillerma de Baviera» que vknen á visitar á SS. MM. el Re» y ESPAÑA. Reina de Saxonia } Ja familia de S. A. I. el gran duque de Wurtzburgo; S. E. el conde Santa Cruz de Múdela 1* de julio. de Bose, ministro de Negocios extrange- Se ha interceptado la carta siguiente, ros del Reí de Saxonia} el señor general dirigida á Sevilla…</t>
  </si>
  <si>
    <t>de Nanclares, Jacinto Saenz</t>
  </si>
  <si>
    <t>Jacinto Saenz de Nanclares</t>
  </si>
  <si>
    <t>6 de febrero de 1809</t>
  </si>
  <si>
    <t>Gaceta de Madrid n.º 37</t>
  </si>
  <si>
    <t>204</t>
  </si>
  <si>
    <t>orrespondientes á la ermita de Sto. Tomas, al contado 1621, y 2436 y medio al fiado: una heredad en el dé Elguea correspondiente á la capella­ nía de D. Jacinto Saenz de Nanclares, al contado 373 , y 562 al fiado: un castañal en el prado de Zavala de dicho lugar de Elguea, y una heredad en sus términos, que pertenecen á la ob…</t>
  </si>
  <si>
    <t>de Ncira, Francisco</t>
  </si>
  <si>
    <t>Francisco de Ncira</t>
  </si>
  <si>
    <t>rtos con e! subteniente dé! real cuerpo de arti­ llería G-éróíimó Salamanca ; 80. heridos ,. entre ejlós :¿1 ca­ pitán D. Josef Porras, y el teniente D. Francisco de Ncira y</t>
  </si>
  <si>
    <t>de Negueruela, Lorenzo</t>
  </si>
  <si>
    <t>Lorenzo de Negueruela</t>
  </si>
  <si>
    <t>Son nombrados comisarios de Policía de Madrid í&gt; Josef Hermosilla, D.1 Juan de Matia y Satini, IX.Juan Antonio de Zámacóla , Don Josef de Ibarrbla , D. Lorenzo de Negueruela, D. Jusef Belmar , D. Geferjno Ceyalios , D.An§elmo Rerenga., D..Manuel Antonio Díaz, y jus­ to de la Vega Osorio. , ; art. in. Nuestro ministro de Polic…</t>
  </si>
  <si>
    <t>de Nñeros, Josef</t>
  </si>
  <si>
    <t>Josef de Nñeros</t>
  </si>
  <si>
    <t>para las, Por decreto del expresado día 6 del tropas y hospitales militares. ■ ,&lt;■«... corriente. S. M.u ha.nombrado en el minis­ El oficial primero D. Josef de Nñeros terio de Hacienda á D. Juan Bautista Hes- la custodia de leyes y decretos , lo relativo touet, D. Francisco Laborda y Perez , Don á los establecimientos de edu…</t>
  </si>
  <si>
    <t>de Ofarrííl, Gonzalo</t>
  </si>
  <si>
    <t>Gonzalo de Ofarrííl</t>
  </si>
  <si>
    <t>á todas las personas de qu al quiera estado , cali­ dad ó condición que fueren , que hayan seguido, y sigan el paiddo francés, y señaladamente los dé D. Gonzalo de Ofarrííl , de D. Miguel Josef de Azanza , del Marqués Caba­ ñero , del Conde de Campo de*Atange , del Duque de Frías, del Conde dé Cabarrits , de D. Josef Maz arre…</t>
  </si>
  <si>
    <t>de Olavenri, Manuel</t>
  </si>
  <si>
    <t>Manuel de Olavenri</t>
  </si>
  <si>
    <t>de Rivera, Adalid nistrador general de Alcavalas, 100. = D. Ramón Andrade, Con­ tador general de idem, 100.= D. Gerónimo Gos , Alcs^dé de idem,100.= D. Manuel de Olavenri, Vista de»idem , 25. = D. Félix Castríllo , Oficial 2. 0 de idem , *25. = D. Bartolomé Rigo , Guarda-mayor, 25 = D. Santiago Milla , 16. = Do­ ña Ana Franci…</t>
  </si>
  <si>
    <t>de Oldensu, Jorge</t>
  </si>
  <si>
    <t>Jorge de Oldensu</t>
  </si>
  <si>
    <t>podido mirarlas con indiferencia. Se han empleado El 29 de abril se ha celebrado aquí el todos los medios posihlea para allanarlas en matrimonio del príncipe Jorge de Oldensu origen, y aun se ha llegado á ofrecer la bourg con la gran duquesa Catalina. El garaíma de la Rusia para asegurar la inte­ príncipe ha recibido el títul…</t>
  </si>
  <si>
    <t>de Olzinellas, D José</t>
  </si>
  <si>
    <t>D José de Olzinellas</t>
  </si>
  <si>
    <t>dia tiene el Empecinado á sus órdenes 250 caba­ llos , no-habiendo traído quando se presentó en la provincia mas que So. Tas-rabona 5 de octubre. El teniente coronel D¿ José de Olzinellas ha comunicado á la junta superior de este principado el parte que le ha da­ do , -con fecha del 27 de setiembre , D Agustín dé Amanda , seg…</t>
  </si>
  <si>
    <t>de Onis, Luis</t>
  </si>
  <si>
    <t>Luis de Onis</t>
  </si>
  <si>
    <t>emoria quedará eterna­ mente impresa en los corazones de todos los buenos españoles. - Con fecha de i o de junio último se há servido S. M. expedir á D. Luis de Onis el real decreto siguiente. ' "En atención á los méritos y servidos que tiene contraídos el Duque de Veraguas y sus distinguidas calidades , ha venido el Rey, y e…</t>
  </si>
  <si>
    <t>de Oreñin, Martin López</t>
  </si>
  <si>
    <t>Martin López de Oreñin</t>
  </si>
  <si>
    <t>­ teneciente á su iglesia, al contado 560, y 841 al fiado: 28 dichas en térmi­ nos de los lugares de Oreñin, Azua y Garayo, que goza la capellanía de D. Martin López de Oreñin, al contado 8976 y 13464 al fiado: una casa y diferentes heredades en los términos del lugar de Marieta, que goza su cabildo, al contado 9349, y 14028 …</t>
  </si>
  <si>
    <t>de Oxea, Alexandro</t>
  </si>
  <si>
    <t>Alexandro de Oxea</t>
  </si>
  <si>
    <t>cera división fueron repartidas en los demas puntos»”. ' "Los batallones de órdenes Militares, segundo de Córdova y Baylen mandados por sus coroneles D. Alexandro de Oxea, D. An­ drés Creagh&gt; y el brigadier D. Luis Riquelme defendían el puente de la Reyna con quatro piezas, todo k las órdenes del brigadier ^Riquelme.” “El bat…</t>
  </si>
  <si>
    <t>de P, Nicolás</t>
  </si>
  <si>
    <t>Nicolás de P</t>
  </si>
  <si>
    <t>o con 641 arrobas y 24 libras, m SI Marqués de Montehermoso , 15 caxas blanco con 251 arrobas:; y 20 dichas de quebrado con 315 arrobas y 6 libras- = D. Nicolás de P.ñalver y Cárdenas , para las viudas de Andalucía y se tendrán ú disposición del M. R. Arzobis­ po de Laodicea , vocal de la Suprema Junta Central, 30 ca­ xas de …</t>
  </si>
  <si>
    <t>de P, P-íncipa</t>
  </si>
  <si>
    <t>P-íncipa de P</t>
  </si>
  <si>
    <t>Gazeta del Gobierno n.º 34 (extraordinaria)</t>
  </si>
  <si>
    <t>e de Alemania las noticias mas lisonj^rar. Ki Archiduque Carlos, después de trabar reunido su txírcito en el Palatinado , conociendo la intención del Mariscal P-íncipa de P outecorvo que con un exircito compuesta de Us fuerzas sexmas , y de las tropas francesas que habla en Di-iama re? ,, Piusia , Westfaiia , y ciudades' anse…</t>
  </si>
  <si>
    <t>de Padilla, María</t>
  </si>
  <si>
    <t>María de Padilla</t>
  </si>
  <si>
    <t>e le sirvie- ministración pública, con el designio de ri'O con tercerías en el trato ilícito con su venderlos. Los que no conocen á fondo lo combleza Doña María de Padilla , eleván­ que fue este reinado prodigan fal vez mas dolos desde un estado mediano al a'to ran­ allá de lo justo elogios á los Reyes cató­ go que han transm…</t>
  </si>
  <si>
    <t>de Para, León</t>
  </si>
  <si>
    <t>León de Para</t>
  </si>
  <si>
    <t>Otra frontera, de t fin. y 3 cel., en 275 rs. Quien dentro de 30 dias contados desde el de su publicación. quisiere hacer postura, acuda ante el Sr. D. León de Para pago de acreedores se vende una casa sita en Sagasta, teniente corregidor de esta villa, y escribanía esta corte, calle del HumíJladera, núm. 15, manz. 102, de D.…</t>
  </si>
  <si>
    <t>de Parti, Militar Político</t>
  </si>
  <si>
    <t>Militar Político de Parti</t>
  </si>
  <si>
    <t>Gazeta del Gobierno n.º 6</t>
  </si>
  <si>
    <t>ulos siguientes. XXX. A todo Contrabandista de mar ó tierra, que en el término de ocho dias se presente para servir en alguna QuadrilU ante qualquier Juez Militar 6 Político de Parti­ do, ó Xefe del exércico , se le perdonará él delito cometió do contra las Reales rentas, y si se presenta con caballo y armas, se le pagará uno…</t>
  </si>
  <si>
    <t>de Paz, Manuel Rosendo</t>
  </si>
  <si>
    <t>Manuel Rosendo de Paz</t>
  </si>
  <si>
    <t>aray. Razón de los donativos hechos por vários individuos del Reyn% de Sevilla en el tnes de enero próximo pasado , para emplearlos en los ejércitos* D. Manuel Rosendo de Paz , y D. Juan de Mata Gon­ zález , Tenientes Habilitados dei primer batallón de Volunta* ríos de Sevilla , han entregado, como procedentes de ios do­ nati…</t>
  </si>
  <si>
    <t>de Pela, Manuel</t>
  </si>
  <si>
    <t>Manuel de Pela</t>
  </si>
  <si>
    <t>Nicolás de Firmado = Josef. = Por S. M. , el ministro Herrera. = Tomas la Peña. = Ramón María secretario de Estado = Mariano Luis de de Adurriaga. = D. Manuel de Pela yo. = Urquijo. Manuel María de Upategui. = Fermín Igna­ Los individuos que componen la junta cio Beunza.= Raimundo Etenhard y Sali­ española convocada á esta ci…</t>
  </si>
  <si>
    <t>de Perea, Francisco Alvarez</t>
  </si>
  <si>
    <t>Francisco Alvarez de Perea</t>
  </si>
  <si>
    <t>. Ma­ nuel Posadas : á Capitanes de navio los de fragata D. Jo­ sef Mollineáo , D. Pedro Cabrera : á espitan de fragata el graduado de la misma clase D. Francisco Alvarez de Perea s á Tenientes de navio los de fragata D. Jcsef María Tagle , D. Francisco Antolinez , D. Joan Dámelo,-D. Josef García Santa' María , D. Luisv Na va…</t>
  </si>
  <si>
    <t>de Peredo, Juan Manuel</t>
  </si>
  <si>
    <t>Juan Manuel de Peredo</t>
  </si>
  <si>
    <t>Almirante. 10.000 D. Juan Manuel Bustillos. 2.000 D. Manuel Diez Cortina. 1.000 D. Francisco y D. Joaquín de la Cortina. 30.000 El capitán D. Diego y D. Juan Manuel de Peredo. 30.000 D. Juan Marcos Rada. 25.000 D. Dionisio Cicero Lombrana. 2.000 D. Cecilio Armiño Martínez. 7.000 D. Diego Movellan. 16.000 D. José Bernardo Baz …</t>
  </si>
  <si>
    <t>de Pereyra, Juan Manuel</t>
  </si>
  <si>
    <t>Juan Manuel de Pereyra</t>
  </si>
  <si>
    <t>e in­ fantería y caballería D. Josef María de A'Ó3 , y Marqués de Malespina , con sus Ayudantes los Capitanes D. Mariana Lanzarote, D. Antonio Putg , D. Juan Manuel de Pereyra, y el de la misma dase , graduado de Teniente Corone), D. Julián de Arraya estuvieron siempre á mi lado , y trabr?ja­ ro a extraordinariamente para con…</t>
  </si>
  <si>
    <t>de Pifia, Juan</t>
  </si>
  <si>
    <t>Juan de Pifia</t>
  </si>
  <si>
    <t>e no fuéron comprehendidos en la promoción última general , se ha servido ascender S. M. á Brigadieres á los Capitanes de navio D. Nicolás Viilalba , D. Juan de Pifia, D. Antonio Gómez Barreda , D. JóséfJordán, D. Ma­ nuel Posadas : á Capitanes de navio los de fragata D. Jo­ sef Mollineáo , D. Pedro Cabrera : á espitan de fra…</t>
  </si>
  <si>
    <t>de Ponte, José</t>
  </si>
  <si>
    <t>José de Ponte</t>
  </si>
  <si>
    <t>al estado mayor D. Joaquín Ovalle : á los capitanes D. Francisco Masia, D. José Saravia , D. Antonio Loriga y D. Joaquín Domínguez, y al subteniente D. José de Ponte. Finalmente recomiendo muy particularmente á V. E. á los maríscales de campo , mi segundo D. Gabriel de Mendizabal : á D, José María Carbajal, mayor general de i…</t>
  </si>
  <si>
    <t>de Porras, Pedro</t>
  </si>
  <si>
    <t>Pedro de Porras</t>
  </si>
  <si>
    <t>a de Cala­ en mayores males á los infelices que girnen horra á D. Fernando Gutiérrez, y el de baxo su yugo. Mientras que ellos disponen Ciudad Real á D. Pedro de Porras: la vara en provecho suyo de quantos caudales pue­ de alcalde mayor de la ciudad de Almagro den haber á las manos, y se consideran á D. Manuel Antonio Calvo ;…</t>
  </si>
  <si>
    <t>de Presburgo, Juan de Lichtenstein y el</t>
  </si>
  <si>
    <t>Juan de Lichtenstein y el de Presburgo</t>
  </si>
  <si>
    <t>mu- enterrado en Brunn el dia 8 con todos los olios generales saxones. honores correspondientes á su grado. El bombardeo qué bá sufrido la ciudad El príncipe Juan de Lichtenstein y el dé Presburgo desdé el 26 de junio hasta el general barón de Wimpfen han teaido una 28 del mismo ha hecho un estrago terri­ larga conferencia co…</t>
  </si>
  <si>
    <t>de Priegue, Con de</t>
  </si>
  <si>
    <t>Con de de Priegue</t>
  </si>
  <si>
    <t>ajosa, contribuyó al feliz éxito de este dia« Le acompañaban el Brigadier Marqués de Quintanar Coro­ nel del regimiento provincial fie Segovia , y el Coronel Con­ de de Priegue, Comandante de la columna de granaderos; Los oficiales , sargentos , y soldados que mas se haa dis­ tinguido se manifiestan en. las adjuntas relacione…</t>
  </si>
  <si>
    <t>de Puga, Manuel</t>
  </si>
  <si>
    <t>Manuel de Puga</t>
  </si>
  <si>
    <t>te D. Fernando. Capacete 3 Vitoria, herido el subte­ niente D. Tomas Sostoa 3 Monforte , heridos el capitán segundo D. Ma­ nuel Coton, el subteniente D. Manuel de Puga y el cadete D. Benito Ca­ pas ; Morrazo, coatusos el sargento mayor D. Rafael Cano, y el capitán primero D. Alexandro de Castro 3 Lemos, contuso el subteniente…</t>
  </si>
  <si>
    <t>de Quevedo, Genaro</t>
  </si>
  <si>
    <t>Genaro de Quevedo</t>
  </si>
  <si>
    <t>aravia: á D. Manuel Josef Allenda hai en la orilla izquierda del rio, y han he­ para el corregimiento de la villa de Sahacho que se destruyan. gun: á D. Genaro de Quevedo para la va­ ra de alcalde mayor de la ciudad de Náxera ; y á D. Francisco Antonio Quintana Proclama. para la de la villa de Ledesma. Soldados del exército d…</t>
  </si>
  <si>
    <t>de Quirós, Francisco Bernaldo</t>
  </si>
  <si>
    <t>Francisco Bernaldo de Quirós</t>
  </si>
  <si>
    <t>174 tn por muerte de D. Luis Albarracin, k D, Manuel Venegas : para la de Cartagena, vacante por fallecimiento de D. Luis Antonio Valcarcel, á D. Francisco Bernaldo de Quirós, lectoral en la de Ciu­ dad-Rodrigo: y para otra vacante en dicha iglesia de Cartagena por muerte de D. Juan Lozano, á D. Alfonso Rovira Galvez , racio­…</t>
  </si>
  <si>
    <t>de Rábago, Basilio</t>
  </si>
  <si>
    <t>Basilio de Rábago</t>
  </si>
  <si>
    <t>entes deramos baxo una relación política, vere­ comendadores que han sido del hospital del mos uue el ínteres del estado ha estado com­ Reí cu Burgos D. Basilio de Rábago, Don</t>
  </si>
  <si>
    <t>de Renovales, Mariano</t>
  </si>
  <si>
    <t>Mariano de Renovales</t>
  </si>
  <si>
    <t>Gazeta del Gobierno n.º 52 · 2.ª serie</t>
  </si>
  <si>
    <t>rgento ma­ yor D. Manuel Pometa, é igual, número de los jlel primer tercio de Lérida con su capitán D. Francisco Oliver , á fin de poner el dicho Sr. D. Mariano de Renovales los 250 hombres restantes de dicho tercio al mando de su. comandante el. teniente coronel D. Pablo Lago para atacar por el centro. El enemigo hubiera sid…</t>
  </si>
  <si>
    <t>de Renovales, Tomás</t>
  </si>
  <si>
    <t>Tomás de Renovales</t>
  </si>
  <si>
    <t>to­ dos por los oficiales D. José Fermín Gonget, D. Pedro Fran-. cisco de Cambra , D. Sebastian de Gambra , D. Genaro Mar­ tin , D. Matías de Aras , D. Tomás de Renovales , D. Ale-* ¿andró Amigot, D. Juan Casao, y los cadetes D. Xavier An­ gel Ros , D, Vicente de Soravilla , D. José María Barricat,D. Pedro Antonio Barrena , D…</t>
  </si>
  <si>
    <t>de Represa, Florencio</t>
  </si>
  <si>
    <t>Florencio de Represa</t>
  </si>
  <si>
    <t>yo de 1808, no, porque «o el momento fueron arrolla­ núms. 446075,456121 y 482854 , endo­ dos por el 4.* regimiento de húsares y por sados á favor de D. Florencio de Represa, el primer batallón del xi 6.” de infantería, vecino de la villa de Vega de Rio-Ponce, que habia pasado el rio con el agua hasta la provincia de León. La…</t>
  </si>
  <si>
    <t>de Retz, Juan</t>
  </si>
  <si>
    <t>Juan de Retz</t>
  </si>
  <si>
    <t>l cuerpq de ar­ que han acudido de y&gt; Jas. partes, ha deci­ tillería , coronel del propio real cuerpo: á dido su retirada , p9rquq.se veían expuestos D. Juan de Retz, Sargento mayor de bri­ todos los días á un ataquq. .. gada del .expresado- real cuerpo, teniente No se sabe qual *¿*-1 su proyecto, ulte­ coronel del mismo cuer…</t>
  </si>
  <si>
    <t>de Revenga, Antonio Serviano</t>
  </si>
  <si>
    <t>Antonio Serviano de Revenga</t>
  </si>
  <si>
    <t>iario D. Gerónimo Angel de la Cuesta, Sr. Jectoral D. Bernardino Blanco y Blanco, y licenciado y doctoral i&gt;. Felipe Cal­ vo Rui perez. Por la ciudad D. Antonio Serviano de Revenga, regidor decano y corregidor, D. Pe­ dro López y D. Miguel Hernández, regidores*</t>
  </si>
  <si>
    <t>de Revuelta, Ezequiel María</t>
  </si>
  <si>
    <t>Ezequiel María de Revuelta</t>
  </si>
  <si>
    <t>n encontrado á nadie. . Quartel general de Palaú 24 de noviembre de 1808. El coronel general de ingenieros. = Firmado, Rives. ESPAÑA. Ventas. El Lie. D. Ezequiel María de Revuelta ? comisionado regio en esta M. N. y M. L. provincia de Alava para la venta de obras pias y capella­ nías , tiene mandado sacar á pública subasta po…</t>
  </si>
  <si>
    <t>mpréstito obligatorio, entregando al fiado de presente la vigésima parte, y otorgando por las res­ tantes rentas 19 obligaciones hipotecarias. El Sr. D. Ezequiel María de Revuelta, abogado de los reales consejos, juez regio comisionado por S. M. para la venta de obras pías y capellanías en esta M. N. provincia, ha mandado sac…</t>
  </si>
  <si>
    <t>de Rivas, Manuel López</t>
  </si>
  <si>
    <t>Manuel López de Rivas</t>
  </si>
  <si>
    <t>lahoz: 11 tierras y una re hacer mejora acuda ante dicho señor, por la escriba­ huerta de 10 fanegas y media en Caboredondo: el donía de provincia de D. Manuel López de Rivas, en fn inio directo en varias fincas en Gumiel del Mercado donde existe dicho relox , y se pianifestará. dadas á censo perpetuo á Romualdo Calvo, Ildefo…</t>
  </si>
  <si>
    <t>de Rívero, Pedro</t>
  </si>
  <si>
    <t>Pedro de Rívero</t>
  </si>
  <si>
    <t>áislo entendi­ do , y lo comunicareis á quien corresponda. — El marques de Astorga, presidente. — Real alcázar de Sevilla á 30 de octubre de 1809. —A D. Pedro de Rívero.” II.° “Para evitar el entorpecimiento que sufren algunos ne­ gocios respectivos á las diferentes secretarías del despacho por la errada dirección que les dan…</t>
  </si>
  <si>
    <t>de Rivero, Pedro</t>
  </si>
  <si>
    <t>Pedro de Rivero</t>
  </si>
  <si>
    <t>408</t>
  </si>
  <si>
    <t>cularéis á quien corresponda para su debido cumplimiento. — El arzobispo de Laodicéa, presidente. — Real alcázar de Sevilla 3 de noviembre de 1809.—A D. Pedro de Rivero." Estado sumario de las prendas de -vestuarioy montura que se han entregado á los regimientos de infantería , caballería y exércitos, delalmacén general de Se…</t>
  </si>
  <si>
    <t>553</t>
  </si>
  <si>
    <t>or guarde á V. E. muchos años. Badajoz 9 de diciembre de 1809. — Escmo. Sr. — Fr. Juan Ponce. -— Francisco María Riereo- —José Naranjo. —- Excmo. Sr. D. Pedro de Rivero.” Copia de la carta del lord VCelhngton á la junta de Extramadu**&lt;*• — “Señor. — Tengo el honor de informar á V» E. de que los</t>
  </si>
  <si>
    <t>de Ro, Nicolás</t>
  </si>
  <si>
    <t>Nicolás de Ro</t>
  </si>
  <si>
    <t>ia en ¿os años Ataque del centro. Nuestros minado­ de 1802,180J» / 804 y rSog , publicado res advirtieron después de anochecer que por S. E. el señor conde Nicolás de Ro— los enemigos traian una contramina frente á manrzow, consejeroprivado, senador, miem­ la nuestra. Inmediatamente preparamos un bro del consejo de Estado , m…</t>
  </si>
  <si>
    <t>de Robles, Matías</t>
  </si>
  <si>
    <t>Matías de Robles</t>
  </si>
  <si>
    <t>• Por el cabildo de la santa iglesia de Toledo, primada de las Españas: D. Juan Llórente, dignidad de maestrescuelas y canónigo, consejero de Estado; D. Matías de Robles, arcediano titular de Toledo; D. Pedro Ro­ drigue»Pardo, canónigo; D. Francisco Díaz Cevallos, canónigo; D. Pa­ blo Nicolás de San Pedro, canónigo; IX Vicent…</t>
  </si>
  <si>
    <t>de Romanzoff, Nicolás</t>
  </si>
  <si>
    <t>Nicolás de Romanzoff</t>
  </si>
  <si>
    <t>Gaceta de Madrid n.º 354</t>
  </si>
  <si>
    <t>del pagador , sí no justifica-la violencia, y que por su parte no ha bre del año de la gracia 1809. Firmado — omitido ningún cuidado para precaverlo, conde Nicolás de Romanzoff. = David dk art. ix. Siendo de Ja mayor responsabilidad la Alopeus. = Court Stedingk. = A. J. Skioel- custodia é inversión de los fondos que reciba el…</t>
  </si>
  <si>
    <t>de Rosenberg, Príncipe</t>
  </si>
  <si>
    <t>Príncipe de Rosenberg</t>
  </si>
  <si>
    <t>la mis­ ma; nación pudo en fin encerrarse con bastante trabajo en la^ fortaleza superior. El Comandante del quarto cuerpo de exér­ cito , el Teniente general Príncipe de Rosenberg , intimó que se rindiese la fortaleza, y la respuesta fué negativa. Los habitantes de Passau han manifestado la alegría que le» causaba nuestra pre…</t>
  </si>
  <si>
    <t>de Roxas, Manuel María</t>
  </si>
  <si>
    <t>Manuel María de Roxas</t>
  </si>
  <si>
    <t>Sta. Ana de Triana , 720.—D. Juan Eu­ genio de Calzadilla por los vecinos de su quartel con destino á las obras‘de fortificación del .puente^ioS^y.— D. Manuel María de Roxas', 24. —Total : 248939. rls. Por providencia del Real Tribunal del Consulado de ía ciudad de Cádiz, de 13 de enero ultimo, y escribanía de D. Melchor Nico…</t>
  </si>
  <si>
    <t>de Rueda, Tomas</t>
  </si>
  <si>
    <t>Tomas de Rueda</t>
  </si>
  <si>
    <t>Manuel Díaz, to rls. para un par de medias. D. Rafael de Buque , 20 rls. para dos pares de medias» D. Antonio Ahumada, 10 rls. para un par de medias» D. Tomas de Rueda , 30 rls* para dos mochilas. D. Antonio Sánchez , 10 rls. para un par de medias» D- Francisco Barrios , 30 rls. para dos mochilas» D. Matias García , 20 rls. p…</t>
  </si>
  <si>
    <t>de S, Ale Carta</t>
  </si>
  <si>
    <t>Ale Carta de S</t>
  </si>
  <si>
    <t>18 de setiembre de 1808. Se­ ñor mi hermano: por mi embaxador en Pa­ Numero 13.0 rís he sabido que V. M. I. va á Erfurt, en donde se avistará con el Emperador Ale­ Carta de S. M. el Emperador Napoleón jandro. Me aprovecho solícito de esta oca­ d S. M. el Emperador de Austria. sión , en que viene cerca de mis fronteras, para r…</t>
  </si>
  <si>
    <t>de S, Convento</t>
  </si>
  <si>
    <t>Convento de S</t>
  </si>
  <si>
    <t>y de sus augustos ante* cesares 9 tomaron las armas el dia 10 , atacaron i las tro* |&gt;is bavaras en Stergingefi 9. eia laspruck;, en. Jfall,, y en &gt; d Convento de S. Carlos* ¥ después de haber muerto-ó herido vas de 500 enemigos, les obligaros i rendÍMe y i cipb fular. Ua cuerpo de- 300 hombres!, compásate .de tropos francesa…</t>
  </si>
  <si>
    <t>de S, Mariano Fer</t>
  </si>
  <si>
    <t>Mariano Fer de S</t>
  </si>
  <si>
    <t>da á pasar revista á los demas cuer­ Joan Francisco de Barcena, clérigo del lu­ pos del exército grande francés, acompañado gar de Cuzcurrutilla *. á D. Mariano Fer­ de S. A. I. el príncipe Eugenio. nandez Chicarro, canónigo regular de San Este príncipe ha comprado para el mu­ Isidro de León , para una canongía de la seo de M…</t>
  </si>
  <si>
    <t>de Sa, Josef Víctor García</t>
  </si>
  <si>
    <t>Josef Víctor García de Sa</t>
  </si>
  <si>
    <t>onstitución del es­ tado, REI de las Españas y. de las Indias. ,, Hemos decretado y decretamos lo que sigue : Atendienio á los méritos y servicios de D. Josef Víctor García de Sa­ lamanca y Ulloa, marques de la Granja , hemos venido en nombrarle y le nombramos intendente de ia provincia de Salamanca. Nuestro ministro de lo In…</t>
  </si>
  <si>
    <t>de Sa, León</t>
  </si>
  <si>
    <t>León de Sa</t>
  </si>
  <si>
    <t>a, vecino de esta corte , y se le dirigieron por el cor­ .VENTAS. reo ordinario 8 vales reales de i5o'pesos» números En virtud de providencia del Sr. D. León de Sa339474,339664,303748,306313,314475, 340802, gasta, del consejo de S. M., teniente corregidor de e;^ 5213/0 y 32158^), y uno 300, num. x 2 x oóy \ y ha- ta villa , y…</t>
  </si>
  <si>
    <t>de Saaveára, Francisco</t>
  </si>
  <si>
    <t>Francisco de Saaveára</t>
  </si>
  <si>
    <t>admitírsela , y satisfecha de los señalados servicios que desde el principio de nuestra gloriosa revolución ha hecho á la justa causa de ia na­ ción D. Francisco de Saaveára, secretario de Estado y del des­ pacho de Hacienda, ademas de estar convencida de la experien­ cia , luces y conocimientos políticos' que ha acreditado e…</t>
  </si>
  <si>
    <t>de Saavedra, Francisco</t>
  </si>
  <si>
    <t>Francisco de Saavedra</t>
  </si>
  <si>
    <t>es 11 prisioneros, 6 caballerías mayores , y 5 menores sin mas pérdida de nuestra parte que la de un muerto y dos heridos. Por oficio dirigido al Sr. D. Francisco de Saavedra por el Comandante del resguardo de Plasencia D. Josef Colmena­ res de Igea, consta: que el Cabo de rentas establecido en la villa de Tejada á las inmedi…</t>
  </si>
  <si>
    <t>Gazeta del Gobierno n.º 26 (suplemento)</t>
  </si>
  <si>
    <t>consideración que os pro-feso. Sevilla .24 de abril de 1809, = Gaspar de ^-ovellanoj.e=i 4¿xcmo. Sr. General Horacio Sébastiani.3J o 3 Al Exento♦ Sr* D. Francisco de Saavedra* „ Señor : Os halláis animado por el amor de la patria; querefe su felicidad; estáis Jéxos de desear padezca por mas tiem­ po baxo las trabas que la feu…</t>
  </si>
  <si>
    <t>Gazeta del Gobierno n.º 47 · 2.ª serie</t>
  </si>
  <si>
    <t>448</t>
  </si>
  <si>
    <t>r­ ques de las Hormazas, se ha dignado nombrarle secretario de Es­ tado y de! despacho de Hacienda, cuyo cargo se halla vacante por haber conferido á D. Francisco de Saavedra la primera secretaría de Estado y del Despacho. Tendreislo entendido, y lo comunica­ reis á quien corresponda. Er- arzobispo de L-iodicea, presidente. —…</t>
  </si>
  <si>
    <t>de Sagasta, Leoji</t>
  </si>
  <si>
    <t>Leoji de Sagasta</t>
  </si>
  <si>
    <t>- •• - ■ 4.5181 n -, ■ ' ¡ m . •: ; . .jr-- . A^ISO* : ' ...JoUWj &lt;1 J.&gt; Barrios depDoña Mina Aragón, núm. 2 5 , manz. 554, Por 1$ audiencia del Sr. D. Leoji de Sagasta, del con­ ;t«áad*.TH 97134 r». Otras 2 en iac calles de S. Andrés, sejo de S. M.,. teniente,cqfregi.dor.de-esta yjlia, y es­ núm, v6,manz* 45 5., y calle de A…</t>
  </si>
  <si>
    <t>de Sagasta, León</t>
  </si>
  <si>
    <t>León de Sagasta</t>
  </si>
  <si>
    <t>bli­ tio por lo ' ano del portal 169 pies afectos á Ja serví-. cación. dumOre púdica, y el resto de esta finca 842 , que ro­ Por la audiencia del Sr. D. León de Sagasta, tenien­ do unido compone toit pies, ¡a qual-con-sus perte-'1 te corregidor de esta villa, y escribanía de D. Juan Vi­ necidos en el estado en que se hallaban…</t>
  </si>
  <si>
    <t>de San qnterior, y en: virtud de pfo»idenci#a del señor tenien­ Francisco; ,núm. 5, manz. 1*7, perteneciente1 á la fun­ te corregidor ale esta villa D. León de Sagasta, por la dación pia de Doña María Figueroa en él-‘colegio de escribanía del ¡número de D.-Miguel Gonzalo, se han padres Mercenarios descalzos de Salamanca, que …</t>
  </si>
  <si>
    <t>en la calle de Sta. Isabel, de 30 dias contados desde el de la publicación. núm. 15, manz. 23, compuesta de 3226 pies, tasada Por el juzgado del Sr. D. León de Sagasta , tenien­ en 55Ó90 r»,, y perteneciente á la hermandad de nues­ te corregidor de esta villa, y escribanía del número de tra Señora de la Misericordia de la par…</t>
  </si>
  <si>
    <t>tra posada de la Dehesa, de 5 fan., en 350. Quien quisie­ a Viña Vitoria, de 5 fan., 9 cel. y 22 est., en 435 rs. re hacer postura, acuda ante el Sr. D. León de Sagasta, 1 2 mrs. Otra á la Puentecilla, de 2 fan., en 140 rs. teniente corregidor de esta villa, por la escribanía de Quien quisiere hacer postura acuda ante el Sr. …</t>
  </si>
  <si>
    <t>n el suplemento á la gazeta del jueves 20 del cor­ tal de sus 22 rentas compone 9680 rs., y al fiado por riente se anunció que por el juzgado del Sr. D. León 33 *45 de Sagasta, teniente corregidor de esta villa, y escri­ De la misma órden está mandado sacar á pública banía de D. Joaquín González de Castro, se vendían, subasta…</t>
  </si>
  <si>
    <t>fincas en Gumiel del Mercado donde existe dicho relox , y se pianifestará. dadas á censo perpetuo á Romualdo Calvo, Ildefonso Por providencia del Sr. D. León de Sagasta, tenien­ Alonzon Espinosa, y Florencio Izquierdo, vecinos de te corregidor de esta villa, y escribanía del número de él, quienes pagan anualmente 283 rs. 17 m…</t>
  </si>
  <si>
    <t>de Sagista, León</t>
  </si>
  <si>
    <t>León de Sagista</t>
  </si>
  <si>
    <t>40072 rs., perteneciente á las memo- menos, en 6300 rs., acuda á hacer postura ante el Se­ fias que se hallan fundadas en el convento de Sto. Do- ñor D. León de Sagista, teniente corregidor de esta jifiago el Real. Otra en la calle del Olivar ó Avapies, villa, por la escribanía de su número, que exerce Don púm. ti, manz. 39, …</t>
  </si>
  <si>
    <t>de Sal, Josef Justo</t>
  </si>
  <si>
    <t>Josef Justo de Sal</t>
  </si>
  <si>
    <t>ngulo, y hasta sns mismas afecciones por el bien D. Juan Antonio Llórente, D. Pedro Ra­ de su país: hemos querido rodearnos de las món de Echeverría, D. Josef Justo de Sal­ gentes mas ilustradas, escuchar los votos de cedo, D. Bernardo de Iriarte , el marques todas las ciases de la nación para dirigir de Almenara, D. Zenon Al…</t>
  </si>
  <si>
    <t>de Salas, Josef Ignacio Joven</t>
  </si>
  <si>
    <t>Josef Ignacio Joven de Salas</t>
  </si>
  <si>
    <t>s; D. Andrés Romero Valdés, D. Diego Gil Fernandez, D. Luis Marcelino Pereira, D. Tomas de Casanova y D. Martin Leonés, alcaldes de Casa y Corte; y á D. Josef Ignacio Joven de Salas, abogado del colegio de ella; y por fiscal de dicha junta á D. Juan Melendez valdés, que lo fue de la expresada sala: todos con el suelde de 5 5®…</t>
  </si>
  <si>
    <t>* ESPAÑA. duos de ella á los miembros del mismo con­ sejo D. Josef Ignacio Joven de Salas, Don Madrid xS de mayo. Manuel María Cambronera, D. Juan An­ El Reí (que Dios guarde) se trasladó el tonio Llórente y D. Estanislao de Lugo, domingo 14 del corriente á su real sirio de Por</t>
  </si>
  <si>
    <t>de Salas, Josef Ignadio Joven</t>
  </si>
  <si>
    <t>Josef Ignadio Joven de Salas</t>
  </si>
  <si>
    <t>lla; á riano Luis de XJrquijo.” D. Manuel de las Meras, intendente de cxercito y consejero honorario de Indias; Don Josef Napoleón por la gracia de á D. Josef Ignadio Joven de Salas , minis­ Dios y por la constitución del estado, REI tro de las juntiS que entienden de ¡os asun­ de las Españás y de las Indias. tos contenciosos…</t>
  </si>
  <si>
    <t>de Salazar, Antonio López</t>
  </si>
  <si>
    <t>Antonio López de Salazar</t>
  </si>
  <si>
    <t>pecte á él su valor al contado quisiere hacer postura i ella acuda á la escribanía del 59840, y al fiado 89760. Otra en la calle de Alcali, número de D. Antonio López de Salazar, que se admi­ núm. 4, manz. *90 , cuyo producto anual es 19534 rs., tirá siendo arreglada. y con respecto a él su valor al contado 429714, y al Por p…</t>
  </si>
  <si>
    <t>de Salcedo, Bernabé Antonio</t>
  </si>
  <si>
    <t>Bernabé Antonio de Salcedo</t>
  </si>
  <si>
    <t>Gaceta de Madrid n.º 119</t>
  </si>
  <si>
    <t>ara custodia de los £1 mismo decreto contiene varias dis­ reos, dio inmediatamente parte de esta no­ posiciones relativas á la dotación de la vedad á D. Bernabé Antonio de Salcedo, el lista civil en Toscana, á la liquidación y qual con la corta guardia de ministros que reintegro de la deuda pública, á las pen­ tenia y con los…</t>
  </si>
  <si>
    <t>de Sancha, Tomas</t>
  </si>
  <si>
    <t>Tomas de Sancha</t>
  </si>
  <si>
    <t>o de D. Ca­ Sigasta, teniente corregidor de esta villa, por la escri­ simiro Amonio Gómez, en el término de 30 días, con­ banía del número que exercc D. Tomas de Sancha y tados desde ia fecha de la publicación, que se admitirá Prado. EN LA IMPRENTA REAL.</t>
  </si>
  <si>
    <t>de Saníocilde, Jóse María</t>
  </si>
  <si>
    <t>Jóse María de Saníocilde</t>
  </si>
  <si>
    <t>70 muertosy de 19.0 á 200 heridos: la nñe&amp;tra fué solamente :de 2 muertos yS herídos.; La acción duró 4horas. — El comandante de armas , en Astorga, D. Jóse María de Saníocilde , al participar esta acción al general D. Juan García,, comandante de la quarta división del exército de la izquierda , re­ comienda el mérito y bizar…</t>
  </si>
  <si>
    <t>de Santander, Miguel</t>
  </si>
  <si>
    <t>Miguel de Santander</t>
  </si>
  <si>
    <t>29 de diciembre de 1809</t>
  </si>
  <si>
    <t>Gaceta de Madrid n.º 364</t>
  </si>
  <si>
    <t>e Zaragoza» hemos decre­ aut. m. Los qne no Sé hallasen en nin­ tado y decretamos lo siguiente : guno de estos casos» acompañarán con sus articulo 1. D. Miguel de Santander» solicitudes el juramento firmado. obispa de Amisonen» auxiliar del arzobis art. iv. ,En el caso de los dos artícu- po de Zaragoza» es nombrado obispo de …</t>
  </si>
  <si>
    <t>de Santayana, Santiago Raíz</t>
  </si>
  <si>
    <t>Santiago Raíz de Santayana</t>
  </si>
  <si>
    <t>as y de las Indias. niente. r Hemos decretado y decretamos io que D. Manuel Ocampo, teniente que fue signe: del regimiento de infantería de Extrema­ „D. Santiago Raíz de Santayana, co­ dura , está nombrado teniente. misario de Guerra de nuestros reales exér­ D. Ciríaco Romano, sargento i.“ de citos , está nombrado comisario O…</t>
  </si>
  <si>
    <t>de Santiago, Francisco</t>
  </si>
  <si>
    <t>Francisco de Santiago</t>
  </si>
  <si>
    <t>Tpoiás Ibarrola. C. 20.000 D. Jjian Fernando Meoqui. C. 30.000 D. Manuel del Cerro. 20.000 El Capitán de Artillería D. Manuel Gil de la Torre. 4.000 D. Francisco de Santiago, Q. 12.000 la cofradía del Santo. Crista de Burgos. I 2.00Q D. Manuel Mateo Iglesias. C. 45.000 D. Ang#l Puyade. C. 25.OOO La cofradía de nuestra Señora …</t>
  </si>
  <si>
    <t>de Sarachapultados, Florentino</t>
  </si>
  <si>
    <t>Florentino de Sarachapultados</t>
  </si>
  <si>
    <t>la ¡n. Catalina. La explosión ha hecho un estrago tendencia de exército y provincia de Ex­ terrible: muchos enemigos han quedado se­ tremadura , y á D. Florentino de Sarachapultados debaxo de ias ruinas: inmedia­ ga 6 Izardui para la de Ciudad Real, pro­ tamente hemos penetrado en la casa , de vincia de la Mancha. donde el en…</t>
  </si>
  <si>
    <t>de Saravia, Manuel</t>
  </si>
  <si>
    <t>Manuel de Saravia</t>
  </si>
  <si>
    <t>y 9 celemines de heredad en la v¡En virtud de providencia del señor alcalde de casa 1 la de Sasamon: 13 fanegas de sembradura , con una huer­ y corte D. Manuel de Saravia se ha señalado el día 8 del ta cercada de paredes, en Sta. María de Tajadura: me­ presente, á las 11 de su mañana, para el remate de un dio corral, una viña…</t>
  </si>
  <si>
    <t>de Sasuperficiales, León</t>
  </si>
  <si>
    <t>León de Sasuperficiales</t>
  </si>
  <si>
    <t>. 98, Lachada á la calle de S. Pedro, en 41924. Quien qui­ compuesta de 3096 pies y 7 octavos de 9U0 cuadrados siere hacer postura, acuda ante el br. D. León de Sasuperficiales, retasada en 40329 rs., perteneciente á la £asta , teniente corregidor de esta vilia, por la escriba­ .memoria fundada por Doña María Cosío en el conv…</t>
  </si>
  <si>
    <t>de Satini, Juan Matía</t>
  </si>
  <si>
    <t>Juan Matía de Satini</t>
  </si>
  <si>
    <t>d y tribunales superiores de esta capital. lia lista de todos estos sngetos es como sigue: Per la villa de Madrid. $r. D. Juan Manuel Xaramillo y Sr. D. Juan Matía de Satini, por el ayuntamiento: Sr. D. Manuel Felipe Sagarvinaga, por el cuerpo de ti no­ bleza: Sr. D. Domingo Alvarez, presbítero, por el estado eclesiástico: el…</t>
  </si>
  <si>
    <t>de Saulio, Antonio</t>
  </si>
  <si>
    <t>Antonio de Saulio</t>
  </si>
  <si>
    <t>e de nues­ está nombrado capitán en reemplazo de tra real guaidia, está nombrado subte­ D. Antonio Biedma. niente. D. Pedro Lapeña, subteniente, está D. Antonio de Saulio, también vélite, nombrado teniente en reemplazo de D. Ja­ está nombrado subteniente. se f Diaz. D. Caries Gayano, también vélite, D. Valerio Gómez, sargento…</t>
  </si>
  <si>
    <t>de Saxonia-Teschen, Alberto</t>
  </si>
  <si>
    <t>Alberto de Saxonia-Teschen</t>
  </si>
  <si>
    <t>31 de enero de 1809</t>
  </si>
  <si>
    <t>Gaceta de Madrid n.º 31</t>
  </si>
  <si>
    <t>DE MADRID DEL MARTES 31 DE ENERO DE 1809. AUSTRIA. Viena 2 4 de diciembre de 1808. SS. AA. II. y RR. los archiduques Carlos, Antonio y Ranerio, y el duque Alberto de Saxonia-Teschen, fueron el día $ ai talle* del célebre es­ cultor Josef Pisani á ver el monumento consagrado á la memoria del feld­ mariscal y quartel-maestre ge…</t>
  </si>
  <si>
    <t>de Scbwartzenberg, Carlos</t>
  </si>
  <si>
    <t>Carlos de Scbwartzenberg</t>
  </si>
  <si>
    <t>En consecuencia de esta operación avanzó VUna 6 de noviembre. hasta la fortaleza de Giurgi. Los turcos quehabian salido de ella fueron rechazados. El príncipe Carlos de Scbwartzenberg, ' Un batallón del regimiento de Ladoga ha­ embarcador de Austria cerca de la corte de bía sido cercado por el enemigo, pero pudo Francia, ha s…</t>
  </si>
  <si>
    <t>de Sebastiani, José Rafael</t>
  </si>
  <si>
    <t>José Rafael de Sebastiani</t>
  </si>
  <si>
    <t>e Granada por fallecimiento de D. Juan Ada­ me, de D. Genaro López del Rincón, y de D. Fernando Fer­ nandez de Padilla, á D. José Garzón Berruezo , á D. José Rafael de Sebastiani, y á D. José Morales Zurita ; y para la ración de la catedral de Murcia, que resulta vacante por ascenso de D. Alfon­ so Revira en canongía de la mi…</t>
  </si>
  <si>
    <t>de Segura, Dosningó Gómez</t>
  </si>
  <si>
    <t>Dosningó Gómez de Segura</t>
  </si>
  <si>
    <t>lgado , 100. zz D. Josef Isasi , i®*=D. Josef Munilla , 500. zz D. Sebastian Melón , 500. = D. Loren­ zo Moreno, 4®. = D. Juan Josef B^rberena, 5* zz D. Dosningó Gómez de Segura , 200, = D. Manuel Garda Muro, íaoo. = D. Miguel Rebato , 25. zz D. Gregorio Castriciones, vecino de S. Salvador , 4®. = D. Víctor Zavala , 200. zz D…</t>
  </si>
  <si>
    <t>de Sessé, Martin</t>
  </si>
  <si>
    <t>Martin de Sessé</t>
  </si>
  <si>
    <t>392</t>
  </si>
  <si>
    <t>y de las Indias. zará del mismo sueldo que estaba señalado ,,A consecuencia de haber fallecido en á este, es á saber, 20© rs. de vn. anuales. Madrid D. Martin de Sessé , director que , ART. vi. Nuestros ministros de Indias y fue de la expedición botánica del reino de Hacienda quedan encargados de la éxecuNueva-España , Goatem…</t>
  </si>
  <si>
    <t>de Sicilia, Gregorio Saenz</t>
  </si>
  <si>
    <t>Gregorio Saenz de Sicilia</t>
  </si>
  <si>
    <t>ro Muguerza. C. 10.000 D. Joaquín Aldana. C. 10.000 D. Domingo Ignacio Lardizabal. 50.000 D. Mateo Palacios. C. — 50.000 D. Antonio Ugaldéa. C. 2.000 D. Gregorio Saenz de Sicilia. C. 15.000 D. Fernando Hermosa. C. 12.000 D. Josef Marrugat y Boldú. C. 6.00a El P. Fr. Jayme Codina., por el convento de Santo Do­ mingo. 24.00a R1…</t>
  </si>
  <si>
    <t>de Sierra, Nicolás</t>
  </si>
  <si>
    <t>Nicolás de Sierra</t>
  </si>
  <si>
    <t>52</t>
  </si>
  <si>
    <t>armiento de los per­ turbadores del público sosiego.” “ Por tanto , al examinar la Junta suprema -con la mayor im­ parcialidad el proceso formado por D. Nicolás de Sierra , fiscal del supremo consejo de España é Indias , con motivo de la con­ moción popular , acaecida en la ciudad de Cádiz en los dias 22, 23 y 24 de lebrero ,…</t>
  </si>
  <si>
    <t>de Silv-a, Francisco</t>
  </si>
  <si>
    <t>Francisco de Silv-a</t>
  </si>
  <si>
    <t>rtidas de guerrilla.= EX Comandante de ellas recomien­ da particuiaríueote á codos los Comandantes p¿rtieu:ares que las mandaban, que son el Teniente D. Francisco de Silv-a‘, la de Borbon ídem TX' Josef Castro , la d;e Farnesio : D. Bartolomé Quintaniüa , la. de Sevilla t ídem IX Alexsniro bó­ veda. la de Pavía : el Alférez D…</t>
  </si>
  <si>
    <t>de Silva, Josef</t>
  </si>
  <si>
    <t>Josef de Silva</t>
  </si>
  <si>
    <t>ilasD. Felipe Fernandez, 40 rls. para dos mochilas , y un par de medias. D. Josef de los Santos , So rls. para quatro mochilas y do* p^res de medias. D. Josef de Silva , 30 rls. para dos mochilas. D. Cipriano de Flores , 10 rls. para un par de medías. D. Manuel Gonzahz, 10 rls. para un par de medias. Doña María del Carmen Alv…</t>
  </si>
  <si>
    <t>de Silveyra, Francisco</t>
  </si>
  <si>
    <t>Francisco de Silveyra</t>
  </si>
  <si>
    <t>ás noticias Jar recibimos la noche pa­ sada por tía soldado de caballería nuestro 4 que fué testigo de la acción. m , Noticias dé Ttas-los—Montes* El Brigadier Francisco de Silveyra llegó á Villa-Real el 4 d.el corriente, y escribe que al día siguiente iria á sentar su Quartel-General en Amarhante. lias noticias de Galicia to…</t>
  </si>
  <si>
    <t>de So, Josef Antonio</t>
  </si>
  <si>
    <t>Josef Antonio de So</t>
  </si>
  <si>
    <t>habita Doña 449911, que habiéndose extraviado dichos dos vales, Ana de Rico, pertenecientes á obras pías, instituidas se suplica que los entreguen á D. Josef Antonio de So­ en la insigne iglesia colegiata de Sta. María de esta di­ to en Búrgos, ó á D. Lucas Urrea en esta corte. cha ciudad, por la renta anual de 440 rs., que e…</t>
  </si>
  <si>
    <t>de Soto, Antonio</t>
  </si>
  <si>
    <t>Antonio de Soto</t>
  </si>
  <si>
    <t>canongía de la ca­ sión de la dieta, en donde se ha discutido tedral de esta ciudad de Salamanca ; y á este punto, pero sin resolver nada, el envia­ D. Antonio de Soto, ex-abad del monas­ do del cantón de Soleure se tomó la licen­ terio de S. Norberfo , de canónigos precia de desaprobar el favor concedido á es­ mostratenses d…</t>
  </si>
  <si>
    <t>de Soto, Miguel</t>
  </si>
  <si>
    <t>Miguel de Soto</t>
  </si>
  <si>
    <t>sdo el capitán de fragata D. Miguel Peguera, su ayu­ dante de órdenes el teniente de la misma, ciase D. Jacinto Agúilar Tablada , el alferea de navio D. Miguel de Soto, y el de fragata D. Francisco Flores, hasta ei ultimo , inciu* yendo asimismo á los dél- ministerio D. Josef de Aíoé , y‘D. Fermín de Agüete , todos los quales…</t>
  </si>
  <si>
    <t>de Stavedr, Francisco</t>
  </si>
  <si>
    <t>Francisco de Stavedr</t>
  </si>
  <si>
    <t>a ;qcre leo .ningún iiéfhpo haya ítfgar ¿á .-su rrííctsión. Tewdr í se ^entsnd id o-pit­ ara1 su cmnplim tentó. 6n Sevilla á 27 de Enero de »8o9*ss A D. Francisco de Stavedr^. ■ SEVILIrA. EN L6. mPKlÑTA^tnT L.A : Viüí&gt;\ :DE JlíIDAEGO Y SOBRINO.</t>
  </si>
  <si>
    <t>de Stedaingk, Barón</t>
  </si>
  <si>
    <t>Barón de Stedaingk</t>
  </si>
  <si>
    <t>s. Son cada dia mas numerosas las contribucio* ves voluntarias para la defensa de la patria; de modo que ya ascienden á una suma muy considerable. El General Barón de Stedaingk ha suscrito para este patriótico objeto i§ pesos fuertes. Según las cartas de Viena las fortificaciones que se estas construyendo en Jablunka son tale…</t>
  </si>
  <si>
    <t>de Suecia, Na</t>
  </si>
  <si>
    <t>Na de Suecia</t>
  </si>
  <si>
    <t>377</t>
  </si>
  <si>
    <t>accesión del ducado de Copenhague 7 de febrero. Oldémbourg á la confederación del Rin. Ayer corrió la voz de que S. M. el Reí También ha'regalado el Emperador Na­ de Suecia había venido á Escanía con mo- poleón una caxa exquisita al gran mariscal tíro de haberse manifestado en aquel reino Lutzow, plenipotenciario del duque de…</t>
  </si>
  <si>
    <t>de Suelves, D Alberto</t>
  </si>
  <si>
    <t>D Alberto de Suelves</t>
  </si>
  <si>
    <t>UARDIAS ESPAÑOLAS. El Abanderado B. Pedro .Pastor, y 9 heridos. REALES GUARDIAS WALONAS. Un-cabo, 4 soldados muertos, y 14 heridos j .etre .ellos el .alférez D» Alberto de Suelves. SUIZOS DE ARAGON. Un herido. GRANADEROS DE PALAFOX. Tres heridos. PRIMER BATALLON DE HUESCA. El Capitán D* Antonio Morera, y el Teniente D. Juaqui…</t>
  </si>
  <si>
    <t>de Ta, Ignacio</t>
  </si>
  <si>
    <t>Ignacio de Ta</t>
  </si>
  <si>
    <t>r habilitado; D. Alonso Mar­ tin, id. , y D. Juan de la Cruz García Carpizo, procurador del comuh. De agregados á junta de municipalidad concurrieron D. Ignacio de Ta­ pia, conde de Valdeláguila; D. Juan Sanz; D. Severo Bernal Moran; Don Segundo Revilla; D. Pedro Revilla* D. Narciso Holgado; D. Juan Solís Martin ; D. Valentín…</t>
  </si>
  <si>
    <t>de Tapia, Alexandt</t>
  </si>
  <si>
    <t>Alexandt de Tapia</t>
  </si>
  <si>
    <t>Mufn. 2. ¿Vj! iWi* i ‘ ’y GAZETA BEL GOBIERNO. Sevilla u de Enero de 1809. Murcia 1 de Enero de 1809. En carta que el Comisionado por esta Junta D. Alexandt© de Tapia, que salió en posta con el objeto de averiguar la si­ tuación del Exdrcito enemigo, escribe desde el Provencie, con fe­ cha 27 del corriente, las noticias sigui…</t>
  </si>
  <si>
    <t>de Tejada, Manuel Moreno</t>
  </si>
  <si>
    <t>Manuel Moreno de Tejada</t>
  </si>
  <si>
    <t>alférez D. Ezequieí Gómez de Tejada y D. Rafael Castañeda , del primero de húsares de Extremadura , D. Juan Pagar, el alférez D. Manuel Gil y Landa, D. Manuel Moreno de Tejada , y- I). M miaño López, del segundo de húsares de Extremadura : todos estos in­ dividuos comunicaban mis órdenes con el mayor denuedo ,y observaban las…</t>
  </si>
  <si>
    <t>de Tiscar, Josef</t>
  </si>
  <si>
    <t>Josef de Tiscar</t>
  </si>
  <si>
    <t>ncisco Antolinez , D. Joan Dámelo,-D. Josef García Santa' María , D. Luisv Na vane te , D. Manuel de Luengas : á Al-* féreces de navio los de fragata D. Josef de Tiscar, D. Sal­ vador Spadafora , D. Manuel Díaz Herrera , D. Juan Du­ ran : á Alférez de fragata fl guardia marina D. Ignacio «egra.</t>
  </si>
  <si>
    <t>de To, Berclei</t>
  </si>
  <si>
    <t>Berclei de To</t>
  </si>
  <si>
    <t>Gaceta de Madrid n.º 121</t>
  </si>
  <si>
    <t>Aland.” hacen su comercio en la parte de la isla de El general Knorring dirigió al mismo santo Domingo, gobernada por Cristóbal, tiempo una carta al general Berclei de To­ merece que se haga una descripción de él, lla, que debía ir de Wasa á Umea, man­ y es como sigue : dándole que se retirase al instante á las Quando llega u…</t>
  </si>
  <si>
    <t>de Tolli, Barclai</t>
  </si>
  <si>
    <t>Barclai de Tolli</t>
  </si>
  <si>
    <t>e un cuerpo de podido menos de dar un testimonio de tof tropas imperiales rusas á las órdenes sentimientos de S. M. I., firmando la pre­ del teniente general Barclai de Tolli, sente capitulación. Me he inclinado todavía y un cuerpo de tropas reales suecas cí mas i dar este paso , por haber sabido de las órdenes del mayor gene…</t>
  </si>
  <si>
    <t>de Tolstoy, Conde</t>
  </si>
  <si>
    <t>Conde de Tolstoy</t>
  </si>
  <si>
    <t>jornaleros del pais para que concurran á .éstas obras. Igualmente se propone forti­ ficar á £nns y otras varias píalas de las fronteras de Italia. Al General Conde de Tolstoy, Emfcaxador que fue de Rusia en París, y .que acompañó á los dos Emperadores en Erfurt, se le’h^ conferido, el mando de las tropas rusas de Valáquia. Se…</t>
  </si>
  <si>
    <t>de Tordesillas, Juan Antonio Rodríguez</t>
  </si>
  <si>
    <t>Juan Antonio Rodríguez de Tordesillas</t>
  </si>
  <si>
    <t>, Comerciantes de Aranjuez. . .......................................................................................... 3,000 EJ Comisario Ordenador D. Juan Antonio Rodríguez de Tordesillas. ................................................................................. 4,000 ' D. Antonio Saez de Antona, del comercio de es…</t>
  </si>
  <si>
    <t>de Torreqn, Pedro</t>
  </si>
  <si>
    <t>Pedro de Torreqn</t>
  </si>
  <si>
    <t>el regimiento de infantería vincial de Córdoba, está nombrado subte­ de Africa , está nombrado capitán. . niente del regimiento de infantería españo­ D. Pedro de Torreqn^tnada, ayudan­ la núm. a.° te, esta-.nombrado capitán de la primera D. Benito Panigo* capitán que fue dd compañía del ségundo batallón. regimiento de infante…</t>
  </si>
  <si>
    <t>de Torres, Blas</t>
  </si>
  <si>
    <t>Blas de Torres</t>
  </si>
  <si>
    <t>upiese el paradero de Arizmendi. de los referidos vales, se sirva avisarlo en Madrid al La plaza de cirujano de la villa de Tembleque, pro­ insinuado D. Blas de Torres, que .vive calle de Fran­ vincia de la Mancha, se halla vacante: su dotación es cos, núm..i2, frente á las tapias de los Capuchinos, de 600 ducados pagados por…</t>
  </si>
  <si>
    <t>de Torres, Sebastian</t>
  </si>
  <si>
    <t>Sebastian de Torres</t>
  </si>
  <si>
    <t>e dicho Supremo Tribunal que se hallan; en esta ciudad , D. Manuel de Lardizabal, Conde del Pinar, D. Fran­ cisco Requena , D. Josef Pablo Valiente , D. Sebastian de Torres,D. Ignacio Martínez de Villela , D. Miguel Alfonso Villagomez, D. Tomás Moyano, D. Pasqual Quiíez y Talón, D. Luis Melendez Bruna, D. Juan Miguel Perez Ta…</t>
  </si>
  <si>
    <t>de Toxa, Ramón</t>
  </si>
  <si>
    <t>Ramón de Toxa</t>
  </si>
  <si>
    <t>cor­ rerías én el que media cutre Gerona y Figueras. Con efecto, he salido esta mañana con mis tropas, somatenes, y 44 caballos al mando de su capbar D. Ramón de Toxa , dividiendo toda ia tuerza en tres columnas, y confundo el mando de la del centro al Dr.Llo­ vera. Las ganas que esta nramí. stó de batirse , ocasionaron que l…</t>
  </si>
  <si>
    <t>de Tragón, Gabriel</t>
  </si>
  <si>
    <t>Gabriel de Tragón</t>
  </si>
  <si>
    <t>204 ciudad por la mañana y tarde del día 14 de febrero próxi mo y escribanía de D. Gabriel de Tragón las casas y heredades siguientes: Seis heredades en términos de la villa de Guevara pertenecientes á las pías memorias de D. Juan Abad de Barniatua y D. Lucas Ruiz de Hguia, reguladas al contado 4175 rs., y al fiado 6262 y</t>
  </si>
  <si>
    <t>de Tria, Francisco</t>
  </si>
  <si>
    <t>Francisco de Tria</t>
  </si>
  <si>
    <t>332 Promovidos á Tenientes Generales-Jos Mariscales de campo Marqués de Portágo. = Duque de Alburquerque.=D.Juan de Heiiestrosa. = D. Francisco de Tria?, A Mariscales de campo los Brigadieres D. Pedro Agustín de Echavar#i;=: D. Luis Alejandro da Bassecourt. “ D. Josef Marín de Aló?. = Marqués de Malespina. =rr D. Gregorio Rod…</t>
  </si>
  <si>
    <t>de Trias, Francisco</t>
  </si>
  <si>
    <t>Francisco de Trias</t>
  </si>
  <si>
    <t>te General Duque del Pirque, formaba* el primer cuer­ po de 'la izquierda de la línea de bataPa ; la segunda divi­ sión al mando del Mathcal de Campo D. Francisco de Trias ocupaba el centro; y la tareera división si mando del Ma­ riscal de Campo Marques de Portigó con la división dé An­ dalucía del cargo del Duque de Alburque…</t>
  </si>
  <si>
    <t>de Troya, Josef</t>
  </si>
  <si>
    <t>Josef de Troya</t>
  </si>
  <si>
    <t>. Francisco Rodríguez , 12 rls. para un sombrero. D. Juan Josef Vera , 12 rls. para un, sombrero. D. Joaquín Coronas , 10 rls. para un par de media?. D. Josef de Troya , 20 rls. para dos pares de medias. D. Antonio Martin , 20 rls. para dos pares de medias. D. Francisco García , 40 rls. para dos mochilas y unas medias. D. Jua…</t>
  </si>
  <si>
    <t>de U, Josef Pujáis</t>
  </si>
  <si>
    <t>Josef Pujáis de U</t>
  </si>
  <si>
    <t>era. Pérdidas* Cinco Vales Reales de 300 pesos creación de 1.0 de ene­ ro de 1808. Números 94.626.—120.209.—120.320,—120.683.— 120.731.—remitidos por D. Josef Pujáis de U be da .á D. Ma­ nuel Tornef y compañía de Mataró, último endoso por el primero á favor de estos últimos : el que sepa su paradero que lo avise á D. Pedro Ra…</t>
  </si>
  <si>
    <t>de Ugarte, Martin</t>
  </si>
  <si>
    <t>Martin de Ugarte</t>
  </si>
  <si>
    <t>A F. de Tal, Se han extraviado 4 Vales Reales de la creación de i.° de enero de á* 300 pes«s, números 100482. 1,13643, 1173 2 3* 121868, endosados á D. Martin de Ugarte , á quien corresponden , que vive en Sevilla en casa del Señor Conde de C&amp;ntiliana : lo que se avisa para que se le emtleguen. EN LA IMPRENTA REAL LE LA G AZETA*</t>
  </si>
  <si>
    <t>de Upategui, Manuel María</t>
  </si>
  <si>
    <t>Manuel María de Upategui</t>
  </si>
  <si>
    <t>idelidad y obediencia al REI nuestro Señor. El REI se ha servido nombrar para el arcediaoato de Berberiego, dig­ nidad de la catedral de Calahorra, á D. Manuel María de Upategui, cura y vicario de la villa de Mondragon, en la misma diócesis : para el arcedianato de Mayorga, dignidad de la de León, á D. Fermín de Beunza y Alde…</t>
  </si>
  <si>
    <t>de Uranga, Josef Ramón</t>
  </si>
  <si>
    <t>Josef Ramón de Uranga</t>
  </si>
  <si>
    <t>uz, del patronato de D. Pedro de Mendivil, ai con­ tado 2244, y al fiado 3366: una casa y 19 heredades sitas en dicho lugar de la capellanía que goza D. Josef Ramón de Uranga, al contado 7480, y 11220 al fiado: varias heredades que pertenecen á la capellanía de D. Vi­ cente de Urrutia, al contado 2992, y 4488 al fiado: en el …</t>
  </si>
  <si>
    <t>de Urdapilieta, Julián</t>
  </si>
  <si>
    <t>Julián de Urdapilieta</t>
  </si>
  <si>
    <t>pital, para una del señorío de Vizcaya, se ha distinguido 'media ración de la referida iglesia de Cuen­ en todos tiempos por su fidelidad, y ha ca: á D. Julián de Urdapilieta , cura y ca­ merecido por ella el aprecio y benevolen­ nónigo de la colegiata de Vitoria , para una cia de sus amados Soberanos.” canongía de la catedra…</t>
  </si>
  <si>
    <t>de Uriortua, Juan Manuel</t>
  </si>
  <si>
    <t>Juan Manuel de Uriortua</t>
  </si>
  <si>
    <t>64 Ch En la causa que ha formada el Tribunal de Seguridad pública á D. Juan Manuel de Uriortua , oido el Fiscal, y atendidos los méritos que arro/a el proceso , se ha declara­ do que debía sobreseerse en ella , v que no ha habido mo* tivo para dudar de su patriatismo. Se, anuncia al P</t>
  </si>
  <si>
    <t>de Urqnijo, Mariano Luis</t>
  </si>
  <si>
    <t>Mariano Luis de Urqnijo</t>
  </si>
  <si>
    <t>­ ques de Bajamar, D. Gonzalo O-Farrill, Ñápales 24 de agosto. duque de Cotadilla, general D. Cristóbal Nuestra patria y las letras acaban de Merlín, D. Mariano Luis de Urqnijo, Don perder al abate Leonardo Panzini, gefe de Patricio Bustos, duque de Mahon, D. Ma­ división en el ministerio de Relaciones ex­ nuel Romero, marque…</t>
  </si>
  <si>
    <t>de Urqnijo, Rafael</t>
  </si>
  <si>
    <t>Rafael de Urqnijo</t>
  </si>
  <si>
    <t>1099 art. ii. Nombramos asimismo director ART. iii. D. Rafael de Urqnijo, secre­ de Ja casa de moneda de Madrid á D. Ma­ tario de nuestra legación cerca Je S. M. el nuel Angulo, que Jo ha sido del Almadén, Rei de Prusia , y .actual encargado de Ne­ con el sueldo</t>
  </si>
  <si>
    <t>de Urquijo, Mariano Luis</t>
  </si>
  <si>
    <t>Mariano Luis de Urquijo</t>
  </si>
  <si>
    <t>e Zaragoza ha dirigido al REI Ataque del centro. Se ha perfeccionado nuestro Señor, por mano del Excmo. Sr. la semiplaza de armas, y la artillería ha D. Mariano Luis de Urquijo , su ministro continuado en la colocación de las baterías. secretario de Estado, la representación qüc Se ha notado que el enemigo trabajaba con la ca…</t>
  </si>
  <si>
    <t>de Ürrlza, Josef Antonio</t>
  </si>
  <si>
    <t>Josef Antonio de Ürrlza</t>
  </si>
  <si>
    <t>Sr. D. Pedro Rubio , por los Cinco Gremios mayores. Consejo de Estado. Excmo. Sr. conde de Montarco. Consejo de Indias. Sr. D. Bernardo Iriarte, Sr. D. Josef Antonio de Ürrlza, Sr. D. Ful­ gencio de la Riva y Sr. conde de Torremuzquiz. Consejo de Hacienda. Sr. D. Manuel de Valenzuela y Sr. D. Francisco Xavier Carrasco. Junta …</t>
  </si>
  <si>
    <t>de Urruda, Francisco Josef</t>
  </si>
  <si>
    <t>Francisco Josef de Urruda</t>
  </si>
  <si>
    <t>qaa sostiene , y prontos á executar sus órdenes con puntual obediencia y su­ misión. Los Capitulares qua firman son = D. Antonio Mendea: Prieto, rrr D. Francisco Josef de Urruda- zr El Marques de Uluapa. = D. Agustín de Villanueva Cácerés Ovaaáo.*==: Manuel Díaz de los Cobos Mdxica. zz. D. fuaa de Taaroa'?a.zr D. Juan Manuel …</t>
  </si>
  <si>
    <t>de Urrutia, Antonio Fernandez</t>
  </si>
  <si>
    <t>Antonio Fernandez de Urrutia</t>
  </si>
  <si>
    <t>102</t>
  </si>
  <si>
    <t>Rosendo José Gutiérrez , nombrando para igual destino en Túnez al marqués de Gaubert. También ha venido S. M. en conceder el consulado de Gibraltar á D. Antonio Fernandez de Urrutia, y el de los Algarbes k B. Félix Herrera. Reglamento y ordenanza de S. M. para el exercicio * evolu­ ciones y maniobras de la caballería y dragon…</t>
  </si>
  <si>
    <t>de Urrutia, Ventura</t>
  </si>
  <si>
    <t>Ventura de Urrutia</t>
  </si>
  <si>
    <t>48B: 17 heredades en el de Mendijur, que disfruta su ca­ bildo, 'al contado 3407 , y al fiado 5104: 21 dichas pertenecientes á la capellanía que goza D. Ventura de Urrutia, al contado 4861 , y al fiado 7291 y medio: una heredad en dicho pueblo perteneciente á la capellanía de D. Tomas Gueñena, al contado 560 , y 842 al fiado:…</t>
  </si>
  <si>
    <t>de V, Martín</t>
  </si>
  <si>
    <t>Martín de V</t>
  </si>
  <si>
    <t>f Muntaner, y d« se­ guiente : , . gunda clase á D. Gerónimo Miro , D. Jo­ articulo 1. Andrés Alfonso Cho­ sef Pazos, D. Antonio Bodoi, D. Josef ya , D. Martín de V ¡líala*» D. Manuel Síl­ Barrera y D. Joaquin Frias. EN LA IMPRENTA REAL.</t>
  </si>
  <si>
    <t>de Valenzuela, Manuel</t>
  </si>
  <si>
    <t>Manuel de Valenzuela</t>
  </si>
  <si>
    <t>s funda las esperanzas que tiene de ver estrecharse los vínculos que deben unir para siempre las posesiones de América con la metrópoli.” Discurso de D. Manuel de Valenzuela d nombre del consejo de Hacienda. ,,Señor: El consejo de Hacienda tiene el honor de ofrecer á V. M. í. y K. el homenage de su profundo respeto, y juntand…</t>
  </si>
  <si>
    <t>de Vargas, Juan</t>
  </si>
  <si>
    <t>Juan de Vargas</t>
  </si>
  <si>
    <t>Sebastian de Lora, 10 rls. para unas medias* -D. Juan Ruiz , 10 rls. para un par de medias., D. Francisco Domínguez , 10 rls. para un par de medias* D. Juan de Vargas, 14 rls. para un par de botines. D. Antonio Molina , y IX Juan Carrera, 20 rs. para dos pa* res- de media?. D. F/a ncisco Miranda , 15 rls. para una mochila. D.…</t>
  </si>
  <si>
    <t>de VARSOVIA, GRAN DUCADO</t>
  </si>
  <si>
    <t>GRAN DUCADO de VARSOVIA</t>
  </si>
  <si>
    <t>752</t>
  </si>
  <si>
    <t>mbargo preci­ última campaña. sas serias discusiones. Se tenia á la vista la experiencia de dos años que habian seguido al tratado de Presburgo, y el Emperador GRAN DUCADO DE VARSOVIA. de Austria debió al fin convencerse que la conducta llena de miramientos y de con­ Va rsavia 10 de mayo. descendencia que había guardado hasta…</t>
  </si>
  <si>
    <t>de Velasco, Miguel</t>
  </si>
  <si>
    <t>Miguel de Velasco</t>
  </si>
  <si>
    <t>y los oficiales de Plana ma­ yor, el Coronel D. Gervasio Gasea, el Teniente Coronel D. Agustín Hore, los Sargentos mayores D. Joaquin de Carbajal, y D. Miguel de Velasco, aquel de mi división, y este de caballería, el Ayudante de Campo de V. E. D. Fernando Ferrer, el mío D. Sebastian Mantilla, los de di­ visión D. Domingo Gal…</t>
  </si>
  <si>
    <t>de Vera, Miguel</t>
  </si>
  <si>
    <t>Miguel de Vera</t>
  </si>
  <si>
    <t>da , 20 rls. para dos pares de rpsdias. Di Juan Francisco Alvarez , 10 rls. para un par de medias. D. Francisco Ponce, 10 rls. para un par de medias. D. Miguel de Vera , 20 rls. para dos pares de medias. D. Francisco Vera , 20 rls. para, dos pares de medias. D. Manuel Martin , 10 rls. para un par de medias. D. Josef Perez , 2…</t>
  </si>
  <si>
    <t>de Veri, Tomas</t>
  </si>
  <si>
    <t>Tomas de Veri</t>
  </si>
  <si>
    <t>. i . y Exc. Señor Baylio Fr. D. Antonio Váidas. ........................ \ Exc. Señor Vizconle de Quíntaniila. Mallorca..................fBxc. Señor D. Tomas de Veri. } Exc. Seaor Conde de Ayamans. Madrid y Exc.- Señor Marques de Astorga. ^ Exc. Señor. |y|urcia..................... C Exc. Señor Marques del Villar. *’’.......…</t>
  </si>
  <si>
    <t>de Veri, Tomás</t>
  </si>
  <si>
    <t>Tomás de Veri</t>
  </si>
  <si>
    <t>eyno , con fecha de 27 del mes próximo anterior, ha dado cuenta de que con el ob­ jeto, de realizar un plan ventajosísimo convenido:con el Excmo. Sr. D. Tomás de Veri, Representante de la misma Suprema Junta Central , y con. los Generales y Xefes que debían con­ currir , para dar mejor situación á las tropas, lograron és~ tas…</t>
  </si>
  <si>
    <t>caer después sobre Montbuy,’ puestos en que conservaban algunas tropas fáciles de batir ; pero habiendo celebrado juu ta, a que asistió el Excmo, Sr. D. Tomás de Veri, que durante la expedición nunca se separó de su lado, se de­ terminó y resolvió su vuelta , no solo por la importancia de la conservación de aquel punto r sino…</t>
  </si>
  <si>
    <t>de Vi, Josef</t>
  </si>
  <si>
    <t>Josef de Vi</t>
  </si>
  <si>
    <t>en­ volvernos , y hacerle respetar nuestras cortas fuerzas, coa la .unión y buena disciplina que observaron. „ La infantería , al mando del capí tan D. Josef de Vi lía­ se fior, manifestó toda su serenidad sin intimidarle el nú­ mero de caballería que venia atacando. „ Las partidas de guerrillas de caballería da Empana, y de …</t>
  </si>
  <si>
    <t>de Vicüfiu, Cristóbal</t>
  </si>
  <si>
    <t>Cristóbal de Vicüfiu</t>
  </si>
  <si>
    <t>imamente en 181 §4 rs. y medio. Y esta villa &amp;c., se venden por ia escribanía del número últimamente,otra solar- en u1 /priípii calle de Santnrg», de D. Cristóbal de Vicüfiu- ks fincas siguientes; una tuutí. 29 , jitíanzi 417» correapoíWieotí á la-fiandacioft -cata sita ctVtff lugar dé Yscálváró y su calle de las'Car­ &lt;¿3 Doñ…</t>
  </si>
  <si>
    <t>de Vicuña, Prudencio Ignacio</t>
  </si>
  <si>
    <t>Prudencio Ignacio de Vicuña</t>
  </si>
  <si>
    <t>hospital serán excluidas de la venta, al contado 6072 , y 9108 al fiado : otra casa y heredades en dicho pueblo correspon­ dientes á la capellanía de D. Prudencio Ignacio de Vicuña, al contado 11220, y 16830 al fiado: una casa y dos porciones de heredades , que dis­ fruta dicho cabildo, una de ellas de la fundación de Francis…</t>
  </si>
  <si>
    <t>de Viliauneta, Joaquín</t>
  </si>
  <si>
    <t>Joaquín de Viliauneta</t>
  </si>
  <si>
    <t>mez Ibluzqueta. — D. Luis Melendez Bruna. — D. José Mariano Dineo.—D. Joaquin Muñoz, recibidor de Mal­ ta. — Conde de Oñate. — Marquesa de Malpicá. — D. Joaquín de Viliauneta.-- D. Antonio Campagny.— D. Torquato Collado.— Marques de Bellestá.— Conde de Puebla del Maestre.— Marquesa de Pontejos.—D. Bernardo Mozo Rosales.—D. Ju…</t>
  </si>
  <si>
    <t>de Villaíaz, Martin</t>
  </si>
  <si>
    <t>Martin de Villaíaz</t>
  </si>
  <si>
    <t>contencicsos, pendientes en los suprimidos conse os; de D. Domingo Rico Villademoros para fiscal de estas mismas juntas ; de D. Andrés Alfonso Choya, D. Martin de Villaíaz , D. Manuel Silvela y D. Francisco Iturribarria , para alcaldes dé casa y córte ; de D. Juan Bautista Guitart, para juez de primera instancia en Madrid; de…</t>
  </si>
  <si>
    <t>de Villareal, JVndrés</t>
  </si>
  <si>
    <t>JVndrés de Villareal</t>
  </si>
  <si>
    <t>al Marqués de Coupigní remite con fecha de 29 del mes último el parte que le han dado ei sargento mayor D. Agustín de Arnauda y el teniente co­ ronel D. JVndrés de Villareal, sobre haber intentada el ene­ migo en los dias 24 y 2y reconocer el acantonamiento del Llóbregat , con cuya noticia doblaron su vigilancia, y reforzaran…</t>
  </si>
  <si>
    <t>de Villavedon, Josef Gómez</t>
  </si>
  <si>
    <t>Josef Gómez de Villavedon</t>
  </si>
  <si>
    <t>e Aranjuez. Los diputados de la ciudad de Valladolid son Por la Chancillería D. Manuel Cambronero y D. Diego Cosío. Por el Cabildo D. Benito Semprun, D. Josef Gómez de Villavedon, D. Josef Sacrista* y D. Tomas Moyano. Por la Ciudad D. Vicente Martin Gómez, D. Cayetano Alonso , D. Mariano Santatíder, D. Simón Durango, D. Franc…</t>
  </si>
  <si>
    <t>de Villela, Ignacio Martínez</t>
  </si>
  <si>
    <t>Ignacio Martínez de Villela</t>
  </si>
  <si>
    <t>l que se hallan; en esta ciudad , D. Manuel de Lardizabal, Conde del Pinar, D. Fran­ cisco Requena , D. Josef Pablo Valiente , D. Sebastian de Torres,D. Ignacio Martínez de Villela , D. Miguel Alfonso Villagomez, D. Tomás Moyano, D. Pasqual Quiíez y Talón, D. Luis Melendez Bruna, D. Juan Miguel Perez Tafalla, y el Sr. Fiscal …</t>
  </si>
  <si>
    <t>de Villette, Pedro Giroud</t>
  </si>
  <si>
    <t>Pedro Giroud de Villette</t>
  </si>
  <si>
    <t>, y al fiado 36300: otra casa en que vive Be­ por la citada escribanía, en el término señalado. nito Casado, en la segunda vecindad de la calle de la D. Pedro Giroud de Villette, dueño de la real fá­ Pintorcría, correspondiente i la capellanía fundada ea brica de papeles pintados situada al lado del convento la iglesia parroq…</t>
  </si>
  <si>
    <t>de Viñeta, Ignacio Martínez</t>
  </si>
  <si>
    <t>Ignacio Martínez de Viñeta</t>
  </si>
  <si>
    <t>inteligencia y cumplimiento en la parte que le toca. Dios guarde á V. muchos años. Sevilla 16 de juniode 1809.=: SaavcdraJ1? ....... .. ~ * , El Sr. D. Ignacio Martínez de Viñeta , Superintendente general de Policía y Ministro del Consejo Real , fue for­ zado á -pasar á ., JBayonja , y de allí á las fronteras de Aragom, á ..p…</t>
  </si>
  <si>
    <t>de VVeliesley, Dourg</t>
  </si>
  <si>
    <t>Dourg de VVeliesley</t>
  </si>
  <si>
    <t>mento por el condado de Sutherland. — Parece que el general VVeliesley será inmediatamente creado vizconde VVellington de Talavera; y VVellington , y barón Dourg de VVeliesley, en d condado de Somerset. Una noticia que debe también tener mucha influencia sobre la suerte del continente es la protesta del papa contra la in­ vas…</t>
  </si>
  <si>
    <t>de VVitte, Juan</t>
  </si>
  <si>
    <t>Juan de VVitte</t>
  </si>
  <si>
    <t>ría , por lo bien que se portó durante la función , y porque fue el tercero en cargar á los enemigos con los húsares de Grana­ da. =: Y últimamente á D. Juan de VVitte guardia de corps de S. M. que,como voluntario, estuvo igualmente en la función al lado suyo , y ani­ mando á toda la gente para que nadie dexa se de hacer su d…</t>
  </si>
  <si>
    <t>de Yabar, Martin Josef</t>
  </si>
  <si>
    <t>Martin Josef de Yabar</t>
  </si>
  <si>
    <t>o- de la de Pr ienda: para una canongía de la de Cuenca á D. Mariano Agustín, canónigo también de la de Palencia: para otra canongía de la de Avila á D. Martin Josef de Yabar, capvlLan de coro mas antiguo de la real iglesia de S. Isidro de esta corte: para una ración de la ce Zamora á D. Manuel de Montoya, capellán :que ha si…</t>
  </si>
  <si>
    <t>de Yermo, Gabriel</t>
  </si>
  <si>
    <t>Gabriel de Yermo</t>
  </si>
  <si>
    <t>533 tonío Alonso. 200.000 El cónsul antiguo D. José de la Barcena. 25.000 EL cónsul moderno D. Gabriel de Yermo. 50.000 El diputado D. Pedro González Noriega y su. sobrino D. Lo» renzo García Noriega. 50.000 El diputado teniente Coronel D. Roque Perez. Gómez, y su sobrino D. Manuel Perez de la Vega.</t>
  </si>
  <si>
    <t>de Yturbe, Gabriel</t>
  </si>
  <si>
    <t>Gabriel de Yturbe</t>
  </si>
  <si>
    <t>oqui. C. 25.000 El Sr. conde de la Cortina, G. 50.000 El caballero D. Antonio Basoco, C, 800.000 El caballero D. Diego Agreda, C. 5o,oog El caballero D. Gabriel de Yturbe, C, g 100,000 D, Juan Día? González, C, 25.000 El capitán D, Santiago García, C, 85.000 El caballero D, Francisco Chavarri C, 85.00a D. Sebastian de Heras, …</t>
  </si>
  <si>
    <t>de Zarraga, Juan Josef</t>
  </si>
  <si>
    <t>Juan Josef de Zarraga</t>
  </si>
  <si>
    <t>Eceiza, vecino de la villa de Saenz López, que vive en la calle de Postas , núm. r, Alvistur en, la provincia de Guipúzcoa, remitió con y en Bilbao á D. Juan Josef de Zarraga. fecha i.° de.diciembre del año próximo pasado á Don Se halla vacante la plaza de médico de la ciudad de Blas de Torres Errazquin, vecino de esta corte,…</t>
  </si>
  <si>
    <t>de Zayas, Joaquín</t>
  </si>
  <si>
    <t>Joaquín de Zayas</t>
  </si>
  <si>
    <t>437 D. Andrés Pcrez Herrasti, D. Joaquín de Zayas , teniente del regimiento de Málaga : al ayudante general D. f rancisco Hernández . capitán del regimiento de caballería de la Reyna: al sargento mayor del quarteí ge­ neral D. Antonio Herná</t>
  </si>
  <si>
    <t>de Záyas, Josef</t>
  </si>
  <si>
    <t>Josef de Záyas</t>
  </si>
  <si>
    <t>lo» cuerpos dispersos, y sido uno de jos últimos que se reti­ raron de la batallad Lo es asimismo el Coronel del Regimien­ to de infantería de Jaén, D. Josef dé Záyas , que mandaba la columna de granaderos dé infantería, y recibió un balazo en el ataque de la batería de la izquierda , que felizmente no h'a sido de consideraci…</t>
  </si>
  <si>
    <t>de Zayas, Josef</t>
  </si>
  <si>
    <t>Josef de Zayas</t>
  </si>
  <si>
    <t>A Brigadieres los Coroneles D. Josef Escudero.” D. Msnu?l de ííurrigíiray.rrrD.Joref Navarro Falcon. =■ Marqués de Malpica.zz D. Josef de la Cruz. = D. Josef de Zayas. Grados de Coronel á los Tenientes Coroneles Mr. Benjamín D*Uiban , Teniente Coronel al servicio de la Inglaterra. = D. Julián de Anaya* z:D. Jc«í Pare des. Jos…</t>
  </si>
  <si>
    <t>Debroc</t>
  </si>
  <si>
    <t>de tro puerto quatro presas inglesas, cuyos enemigos que defendía el puente, y pasó cargamentos. de géneros coloniales están el rio á viva fuerza. El general Debroc valuados en mas de medio millou de du­ con el 9.0 de húsares hizo una fuerte des­ cados. carga sobre un batallón de 400 hombres,</t>
  </si>
  <si>
    <t>DECIMONONO, DIARIO</t>
  </si>
  <si>
    <t>DIARIO DECIMONONO</t>
  </si>
  <si>
    <t>S* MM. el conde de Marcolini es el único que estí Parts 23 de junio. aquí , y mañana llegarán los ministros. Es­ ta tarde ha llegado S. A. I. el gran duque DIARIO DECIMONONO. de Wurfzburgo con todos los ministros acreditados cerca de su persona. Viena HTde junio de z8o£. En Hanau se aguarda á S. E. el duque El aniversario de …</t>
  </si>
  <si>
    <t>Decouz</t>
  </si>
  <si>
    <t>on maes­ la suerte de la milicia, que sufriendoiguales- tría esta pperacion, que há sido executáda privaciones que nosotros, se ve también sin por el coronel Decouz y por el 21.0 regi­ paga, y por consiguiente en la imposibili­ miento de infantería de línea de su mando. dad de satisfacer sus necesidades. Después i- A las dos.…</t>
  </si>
  <si>
    <t>Deden</t>
  </si>
  <si>
    <t>9 de octubre de 1809</t>
  </si>
  <si>
    <t>Gaceta de Madrid n.º 283</t>
  </si>
  <si>
    <t>1243</t>
  </si>
  <si>
    <t>rimentos; cuyos resultados darán curtamente al pú­ REINO DE ÑAPOLES. blico, ESPAÑA. Ñipóles j&gt; de setiembre. Madrid S de octubre. El 4 de este mes el barón Deden, mi­ nistro plenipotenciario de S.'M. el Reí de Continúa el extracto de las ¿azetas de Se­ Jlcúanda cerca de nuestra corte , ha dado villa. una magnífica función en.…</t>
  </si>
  <si>
    <t>Dedovich</t>
  </si>
  <si>
    <t>el exército su marcha hácia, Vils y eli Iser.. El. tiempo estaba malo ; pato las tropas caminaban conmucha alegría. El 10 por la mañana,, el Teniente general Dedovich en­ tró en Passau. El enemigo se retiró ; pero la celeridad con que avanzaban nuestras tropas , hizo que cayesen prisioneros, un ingeniero francés y 8, zapadore…</t>
  </si>
  <si>
    <t>Dedowich</t>
  </si>
  <si>
    <t>17 de mayo de 1809</t>
  </si>
  <si>
    <t>Gaceta de Madrid n.º 137</t>
  </si>
  <si>
    <t>649</t>
  </si>
  <si>
    <t>cito la ciudad de Stendal, apoderándose de fos ha pasado el Ion , dirigiéndose hacia a Iser fondos públicos; y hallándose ai mismo y el Vils. El feld-mariscal Dedowich entró tiempo enterado de que se esta formando el 10 de abril en Pa sau; hizo prisioneros en Nachod, en la Bohemia , un cuerpo de á un ingeniero francés y 8 zap…</t>
  </si>
  <si>
    <t>Defermon</t>
  </si>
  <si>
    <t>ca porción de nuestro pneblo en que hai turbulencias; sin embargo, París iC de noviembre. será también fácil someterlos, y sin costar Discurso que el conde Defermon , ministro tanto trabajo como para sujetar las tres tri­ de Estado, ha dirigido d S. M. en nom­ bus extrangeras; porque entre estas dos bre del consejo de Estado …</t>
  </si>
  <si>
    <t>Dei, Evaristo</t>
  </si>
  <si>
    <t>Evaristo Dei</t>
  </si>
  <si>
    <t>no, diócesis de Oviedo, á D: Angel de Luna; y para otro beneficio de precisa residencia de la iglesia parroquial de Calatañazojy'diócesis de Osnia* i D. Evaristo Dei­ va!. Estos quatro agraci^dqs fueroq capellanes de honor del hospital del Rei de Burgos. SUPLEMENTO</t>
  </si>
  <si>
    <t>del Arco, Feliciano</t>
  </si>
  <si>
    <t>Feliciano del Arco</t>
  </si>
  <si>
    <t>— Mariano ¿te. Renovales. — Por mandado de S. S. — Nicolás Uriz de Pamplo­ na , secretario. _________ *_________ En 9 de agosto remitió por él correo D. Feliciano del Arco; desde Tarancon con su endoso del mismo dia á favor de D. Agus-, tin del Arco de Cádiz quatro vales de á 300 pesos de 1.® de enero, de 1808 : números 95.3Q…</t>
  </si>
  <si>
    <t>del Barrio, Julián</t>
  </si>
  <si>
    <t>Julián del Barrio</t>
  </si>
  <si>
    <t>la otra de metal dorado.^Dos dichos, coa 12 arrobas, 5 libras de plata labrada que ha donado la Sía. Iglesia Catedral por medio de sus comisarios Dr. D. Julián del Barrio , y í)r. D. Josef María Reyna.“Uno dicho , can 143 marcos cíe plata labiada que dona Ja Arehi-cofradía de Nra. Sra. del Rosario por medio de su mayordomo el…</t>
  </si>
  <si>
    <t>del Campo, Manuel García</t>
  </si>
  <si>
    <t>Manuel García del Campo</t>
  </si>
  <si>
    <t>«y de Ito. — D. Pedro Balduque. — D. Francisco Carrica. — D. Faus­ tino Lecha. — D, Ramón Robres. — D. Pedro Benisa. — D. Joaquin Manrique de Lara.-- D. Manuel García del Campo.— D. Vi­ cente Aragón. — D. Antonio Viscasillas. — D. Vicente Martínez.— D. Hilario Ximenez.— Angel Blanque.— Juan Domec.- D. Fran­ cisco Gantolaria —…</t>
  </si>
  <si>
    <t>del Castiiio, Simón</t>
  </si>
  <si>
    <t>Simón del Castiiio</t>
  </si>
  <si>
    <t>de 1:° de setiembre S. M. D. José ha nombra­ do en el ministerio de policía á D. José Mamerto Gome* Hermosiila xefe de división ; á D. José Montero , D. Simón del Castiiio, D. Cándido Revenga, D. Simón Fernandez Gallardo, D. Manuel María de Echevarría, D. Nicolás García de los Reyes y D. Julián de Mena oficiales segundos ; y …</t>
  </si>
  <si>
    <t>del Castillo, Francisco</t>
  </si>
  <si>
    <t>Francisco del Castillo</t>
  </si>
  <si>
    <t>iócesis de Osma, á D. Cesáreo Delgado; y para otro, también de precisa residencia, de la parroquia de Villar de Ciervo, diócesis de Ciudad-Rodrigo, á D. Francisco del Castillo. Todos estos agraciados fueron capellanes del monasterio de las Huelgas de Burgos. También ha tenido á bien S. M. nombrar para; una canongía de la cole…</t>
  </si>
  <si>
    <t>del Castillo, Juan</t>
  </si>
  <si>
    <t>Juan del Castillo</t>
  </si>
  <si>
    <t>s.n:Del Con­ de Casa Bayona : = sesenta caxas de azúcar blanco con 985 arrobas y 9 libras, y quarenta caxas de quebrado con 644 arrobas y 1 libra.=De D. Juan del Castillo:r=dos caxas de azú­ car blanco con 35 arrobas y 4 libras.==: Havana 29 de Octu­ bre de i8o8'.= BÜ Conde de Sea. María de I/oreto.= Tomas de la Cruz Muñoz.= …</t>
  </si>
  <si>
    <t>gon. — D. Francisco Vázquez. — D. Manuel Pardo. — D. José Perez Valiente. — D. Gregorio Tocanecorro. — Baronesa de Togia. — Marquesa de Villanueva. — D. Juan del Castillo. — D. Jo­ sé del Casal. — D. José Bea. — D. Cárlos Bancide. — Doña Ra­ mona Cabillas. — D. José Bes. — D. Antonio Oliveros. — Doña Jo­ sefa Luna. -- El cond…</t>
  </si>
  <si>
    <t>del Castillo, Pedro</t>
  </si>
  <si>
    <t>Pedro del Castillo</t>
  </si>
  <si>
    <t>do en la catedral tos le son los homenages que le tributan. de Avila, para otra ración de esta misma El ministro de la Guerra tuvo también iglesia: á D. Pedro del Castillo para una el honor de presentar al goberna­ canongía de la colegial de Castroxeriz, dió­ dor de la Coruña D. Antonio' Alcedo. cesis de Burgos ; y á D. Pedro…</t>
  </si>
  <si>
    <t>del Cerro, Manuel</t>
  </si>
  <si>
    <t>Manuel del Cerro</t>
  </si>
  <si>
    <t>l Santisimo Sacramenta de la. Ca­ tedral. 10.000 D. Manuel Antonio Basail. C. 4.000 D. Tpoiás Ibarrola. C. 20.000 D. Jjian Fernando Meoqui. C. 30.000 D. Manuel del Cerro. 20.000 El Capitán de Artillería D. Manuel Gil de la Torre. 4.000 D. Francisco de Santiago, Q. 12.000 la cofradía del Santo. Crista de Burgos. I 2.00Q D. Man…</t>
  </si>
  <si>
    <t>del Consejov, Presidente</t>
  </si>
  <si>
    <t>Presidente del Consejov</t>
  </si>
  <si>
    <t>uesto. Tendrás© entendido en el Consejo, y dispondrá su cumplimiento, zzr El Conde de Florida-blanca..r=En A-ranjuez á 22 de Noviembre de i8o8.zz=:Al Duque Presidente del Consejov« Y no habiendo circulado el referido Real Decreto el expresado Tribunal por las ocurrencias de Madrid; lo traslado á V. de Real órden pata* su inte…</t>
  </si>
  <si>
    <t>del Corral, Baltasar</t>
  </si>
  <si>
    <t>Baltasar del Corral</t>
  </si>
  <si>
    <t>3I^ como test'go ocular, s! Ayudaste D. Jayme Roig , los Te­ nientes D. Baltasar del Corral, D. Jostf Z: non , y D. Va­ leriano García•;-Sargenta -.2*-9 Andrés Di*z r Cabo M?t¿o Molina.; Carabin&amp;r&amp;s Francisco'Ximenea', y Francisco Peña, y los soldados Antonio Fscaloña ,■ Domingo.</t>
  </si>
  <si>
    <t>del Gañó, Vicente González</t>
  </si>
  <si>
    <t>Vicente González del Gañó</t>
  </si>
  <si>
    <t>uñuela á D. Ju­ Wolkersdorf en la madrugada del 7. lián Lorenzo Mola, presbítero y 'teniente de cura de este propio lugar: para.el.de Geria ESPAÑA. á D. Vicente González del Gañó» presbí­ tero , beneficiado y teniente de cuy de esta Madrid 2y dé julio* pueblo: para el de Velliza á D, Sebastian Negro, presbítero y cura del Ped…</t>
  </si>
  <si>
    <t>del Giudice, Emilio</t>
  </si>
  <si>
    <t>Emilio del Giudice</t>
  </si>
  <si>
    <t>de batallón por nuestra real guardia, está nombrado subte­ ascenso de D. Jostf Franco que lo obtenía. niente. D. Josef Díaz , teniente di granaderos, D. Emilio del Giudice, vélite de nues­ está nombrado capitán en reemplazo de tra real guaidia, está nombrado subte­ D. Antonio Biedma. niente. D. Pedro Lapeña, subteniente, está…</t>
  </si>
  <si>
    <t>del Giudice, Pedro</t>
  </si>
  <si>
    <t>Pedro del Giudice</t>
  </si>
  <si>
    <t>ombrado teniente. En el regimiento de infantería española En el regimiento de infantería Real Ex* núm. i.° D. Antonio Biedma , capitán , es­ trangero D. Pedro del Giudice, vélite de tá nombrado comandante de batallón por nuestra real guardia, está nombrado subte­ ascenso de D. Jostf Franco que lo obtenía. niente. D. Josef Día…</t>
  </si>
  <si>
    <t>del Hoyo, Francisco Garcia</t>
  </si>
  <si>
    <t>Francisco Garcia del Hoyo</t>
  </si>
  <si>
    <t>Conduce baxo partida de registro al arzobispo de Zarago­ za D. Ramón José de Arce, antes patriarca é inquisidor general á D. Elias Xavier de Lanza y D. Francisco Garcia del Hoyo, ca­ nónigos de la misma iglesia, y al racionero D. Esteban de la Gandera, escoltados por el mariscal de campo conde de Villanueva de la Barca, el co…</t>
  </si>
  <si>
    <t>del Palacio, Marqués</t>
  </si>
  <si>
    <t>Marqués del Palacio</t>
  </si>
  <si>
    <t>antaría de línea y ligera al Teniente General D. Francisco de Egida, y nombrar para eí propio empleo de la caballería de línea y ligera al Te­ niente General Marqués del Palacio, con las facultades qué previenen las Reales Ordenanzas generales para los empleos de; Inspectores. ; ' ; Pero tertiendo S. M. conferido á los Genera…</t>
  </si>
  <si>
    <t>del Parque, Duque</t>
  </si>
  <si>
    <t>Duque del Parque</t>
  </si>
  <si>
    <t>n D. Antonio Abaurre, lo fué igualmente de brda de ca­ llón en el principio de la acción, y murió á pocas horas *n la villa de D. Benito. El Teniente General Duque del Parque, y el Mariscal de Campo Marqués de Poitágo , que habíanacreditado sateriormeote su serenidad y firmeza en la acción del .17 so­ breda Mesa y Puerto da í…</t>
  </si>
  <si>
    <t>del Pino, Alonso</t>
  </si>
  <si>
    <t>Alonso del Pino</t>
  </si>
  <si>
    <t>El P. Prepósito de S. Felipe Nefi , 200 r«.*= D. Pedro de Castillo , 60 r?. — D. Josef Chamorro, ¿oo rs. mD. Pasqual Ignacio Altolaguirre, too rs. = D. Alonso del Pino, por una vez, 144 rs. = D. Joaef Urquiaga , 60 rs. -zz Total 143930. ■ ..... — ■....... ... rn CON REAL PRIVILEGIO.</t>
  </si>
  <si>
    <t>del Pino, Diego Rodríguez</t>
  </si>
  <si>
    <t>Diego Rodríguez del Pino</t>
  </si>
  <si>
    <t>iciembre. El Emperador lia venido también esta tarde de Fontaioeblean , é inmediatamente NECROLOGIA. que ha llegado ha Ido con el Reí de West- El Dr. D. Diego Rodríguez del Pino fália á 'visitar ó S. M. el Rei de Saxonia, falleció en Madrid el 30de noviembre pró­ con quien ha estado un qoarto de hora» y jimo pasado i las it d…</t>
  </si>
  <si>
    <t>del Pirque, Duque</t>
  </si>
  <si>
    <t>Duque del Pirque</t>
  </si>
  <si>
    <t>ordené el plan de ataque en es­ ta forma. La vanguardia al mando del Mariscal de Campo D. Juan de IDnestrosa , y la primera divino* al del Te­ niente General Duque del Pirque, formaba* el primer cuer­ po de 'la izquierda de la línea de bataPa ; la segunda divi­ sión al mando del Mathcal de Campo D. Francisco de Trias ocupaba …</t>
  </si>
  <si>
    <t>del Pont, José Marco</t>
  </si>
  <si>
    <t>José Marco del Pont</t>
  </si>
  <si>
    <t>intana. — D. Juan Antonio López. — D&lt; Manuel González del Campo. -D. Juan Rayara. — D. Segismundo Malats. — D. José Antonio Ruiz. — D. José Moreno. — D. José Marco del Pont. — D. José Llanos. — Ei-conde de Montes-claros. — D. Bernardo González Alvarez. — Doña" Francisca Siró de Gre. --El marques de Mo­ nasterio y de Paredes. …</t>
  </si>
  <si>
    <t>del Príncipe, Kienma y</t>
  </si>
  <si>
    <t>Kienma y del Príncipe</t>
  </si>
  <si>
    <t>pción de una brigada de'4© hombres» tención al parecer de entrar en Hoff, y para compuesta de los regimientos de Guillermo reunirse con el cuerpo del general Kienma­ y del Príncipe real, que defienden la orilla yer, del qual se presentaron el dia 6 algu­ izquierda del Danubio, desde Tulla hasti nas patrullas en Euchenranth y …</t>
  </si>
  <si>
    <t>del Puerto, Teodoro Salazar</t>
  </si>
  <si>
    <t>Teodoro Salazar del Puerto</t>
  </si>
  <si>
    <t>. 9.000 El subteniente D. Gabriel Manuel Iturbe. io ooq D. Manuel Tirso Salceda. 2.ooo# D. José Gregorio Urbizu. 10.000 D. Baltasar Casanueva. 10.000 D. Teodoro Salazar del Puerto. 30.000 El capitán D. Ignacio García Saenz. 5.000 D. Antonio Olarte, sin estar matriculado. 2.000 D. José Llain. 10.000 D. José Martínez Barenque. …</t>
  </si>
  <si>
    <t>del Qiifellq, Andrés</t>
  </si>
  <si>
    <t>Andrés del Qiifellq</t>
  </si>
  <si>
    <t>dem. Los diputados por la monio del juramento de .fid^lid^d que ha ciudad fueron losr} sopores D. Luis Tomé, prestado á vuestra augusta Persona y ála D. Andrés del Qiifellq, D. &gt; Tomas. de la .constitución. ■ &gt; Puente, D. Manuel Iñigo de; Angulo y Don j ,,Nos reputamos dichpsos, Señor, de Miguel de Corres. 'I .haber merecido …</t>
  </si>
  <si>
    <t>del RIN, CONFEDERACION</t>
  </si>
  <si>
    <t>CONFEDERACION del RIN</t>
  </si>
  <si>
    <t>13 de junio de 1809</t>
  </si>
  <si>
    <t>Gaceta de Madrid n.º 164</t>
  </si>
  <si>
    <t>­ rusos y los servios; y aun creemos que se da por los franceses. Ies reunirán los se'imens por el odio que tie­ nen á los genízaros. La anarquía que reina CONFEDERACION DEL RIN. en todas las provincias hace presumir que íos rusos no encontrarán mucha resistencia. Francfort 15" de mayo. Se sabe que los estados de Bohemia se A…</t>
  </si>
  <si>
    <t>del Rincón, Genaro López</t>
  </si>
  <si>
    <t>Genaro López del Rincón</t>
  </si>
  <si>
    <t>apellán de coro en la misma iglesia : para las tres capellanías de coro vacan­ tes en la catedral de Granada por fallecimiento de D. Juan Ada­ me, de D. Genaro López del Rincón, y de D. Fernando Fer­ nandez de Padilla, á D. José Garzón Berruezo , á D. José Rafael de Sebastiani, y á D. José Morales Zurita ; y para la ración de…</t>
  </si>
  <si>
    <t>del Rio, Pedro</t>
  </si>
  <si>
    <t>Pedro del Rio</t>
  </si>
  <si>
    <t>de Sala D. Fernando brar para no perecer, sino que se requiere Carrasco, ex-religioso de S. Cayetano , y tranquilizar los ánimos, disipar los temores D. Pedro del Rio; capellán D. Santiago y las preocupaciones , atraer los cultivado­ Delgado, ex-religioso escolapio, y médico res errantes por los bosques á sus hogares D. Luis …</t>
  </si>
  <si>
    <t>del Rivero, Francisco Perez</t>
  </si>
  <si>
    <t>Francisco Perez del Rivero</t>
  </si>
  <si>
    <t>232 do en el ministerio de hacienda á B. Juan Bautista Destouel, D. Francisco Laborda y Perez , D. Francisco Perez del Rivero, D. Juan Antonio Melón y D. Andrés Benito Quintana xefes de di­ visión; á D. Juan Joséfde Aspiróz, D. Cristóbal Fernandez'Cuesta, D. Serapio Saviñac , D. Juan Santa-María , D. Josef Antonio</t>
  </si>
  <si>
    <t>del Rosario, María</t>
  </si>
  <si>
    <t>María del Rosario</t>
  </si>
  <si>
    <t>60 rls. para quatro mochila**. D. Antonio Navarro, 40 rís. para dos mochilas y un par de medias.P. Sebastian Vázquez ,10 rís. para un par de medias. Doña María del Rosario , viuda de D. Manuel Rodríguez, ioc&gt;&gt; rls. para seis mochilas y un par de medias. ~ P. Francisco Rodríguez , 60 ris. para quatro mochilas. P. Fabian Caehuf…</t>
  </si>
  <si>
    <t>Delabor</t>
  </si>
  <si>
    <t>a en defenderse,, entonces las minas y las bombas harán su efecto, y la reducirán á la razón. ' El 8.° cuerpo, de exército ha entrado en España; y el,general Delabor» degva a poner sii quartel generaren, Vitoria. V La división polaca del general Valence llega hoi i Buitrago. Los ingleses re retiran á las costas; pero la divis…</t>
  </si>
  <si>
    <t>Delacombiere, Luis</t>
  </si>
  <si>
    <t>Luis Delacombiere</t>
  </si>
  <si>
    <t>to í.#, está tá nombrado .capitán del regimiento de iaé nombrado subteniente de la primera com­ famería de línea núm. 2.° pañía del segundo batallón. D. Luis Delacombiere , teniente de in­ D. Fernando San Millan, teniente gra— ' fantería de linea , está sombrado capitán duado de capitán que fue del/égimicnto d* «o sn proptáarma.</t>
  </si>
  <si>
    <t>Delaure</t>
  </si>
  <si>
    <t>llones y un crecido número de caño­ general Clauzel, el general Tirlet, coman­ nes , para batir los pasos por donde tenía­ dante de la artiüeria , el coronel Delaure, mos que salir desde Jas montañas á la lla­ gefe del estado mayor, y el gefe de esquanura. El geueral Delzons, al frente del re­ dron Amior, comandante de la cab…</t>
  </si>
  <si>
    <t>Delcados</t>
  </si>
  <si>
    <t>batallones se encontraron 12 solamen­ igualmente elogiar al general Clauzel, y te en la acción; los demas fueron desta­ hacer particular mención de! general Delcados hácia el Zermagna inferior. zons, que ha influido sobremanera en estos ,, En la mañana del 17 marché contra triunfos. el enemigo, que ocupaba los atrinchera­ ,, …</t>
  </si>
  <si>
    <t>Delgado, Cesáreo</t>
  </si>
  <si>
    <t>Cesáreo Delgado</t>
  </si>
  <si>
    <t>. Salvador de la ciudad de Cuenca a D. Pedro de la Vega: para otro de precisa residencia de la ‘ parroquia de la villa de Guzman, diócesis de Osma, á D. Cesáreo Delgado; y para otro, también de precisa residencia, de la parroquia de Villar de Ciervo, diócesis de Ciudad-Rodrigo, á D. Francisco del Castillo. Todos estos agracia…</t>
  </si>
  <si>
    <t>Delgado, Juan Pedro</t>
  </si>
  <si>
    <t>Juan Pedro Delgado</t>
  </si>
  <si>
    <t>a Cabillas. — D. José Bes. — D. Antonio Oliveros. — Doña Jo­ sefa Luna. -- El conde de Cíavijo.— La muger de D. Andrés Elasti. — Francisco Talayera — D. Juan Pedro Delgado y sus dos hi­ jos. — D. Rafael Delgado. — D. Vicente Delgado. D. Manuel González Montaos. — D. Vicente Perez Cañizares. — El conde de Torre Muzqui^. -- D. …</t>
  </si>
  <si>
    <t>Delgado, Pedro Martínez</t>
  </si>
  <si>
    <t>Pedro Martínez Delgado</t>
  </si>
  <si>
    <t>rruela , 4®. zz D, Josef de Urruelcin, 1®- == D. Fetiro Josef Arrechea , 1®. = D. Manuel Francisco Arreqei, 1®. = D. Josef Manuel Arrechta , io¿&gt;. =5 D. Pedro# Martínez Delgado , 100. zz D. Josef Isasi , i®*=D. Josef Munilla , 500. zz D. Sebastian Melón , 500. = D. Loren­ zo Moreno, 4®. = D. Juan Josef B^rberena, 5* zz D. Dos…</t>
  </si>
  <si>
    <t>Delgado, Rafael</t>
  </si>
  <si>
    <t>Rafael Delgado</t>
  </si>
  <si>
    <t>veros. — Doña Jo­ sefa Luna. -- El conde de Cíavijo.— La muger de D. Andrés Elasti. — Francisco Talayera — D. Juan Pedro Delgado y sus dos hi­ jos. — D. Rafael Delgado. — D. Vicente Delgado. D. Manuel González Montaos. — D. Vicente Perez Cañizares. — El conde de Torre Muzqui^. -- D. Lope Peñaranda. — D. Tadeo Galisteo. — La c…</t>
  </si>
  <si>
    <t>Delgado, Santiago</t>
  </si>
  <si>
    <t>Santiago Delgado</t>
  </si>
  <si>
    <t>miento D. Felipe turbación y del desaliento, recorrer los cam­ Letona de rudimentos de gramática lati­ pos para conocer las mas urgentes necesi­ na ; D. Santiago Delgado de sintaxis y pro­ dades, y proveer en quanto sea posible de piedad de la misma lengua; D. Carlos Villa- remedio; se requiere en suma toda la pru-</t>
  </si>
  <si>
    <t>Delgado, Vicente</t>
  </si>
  <si>
    <t>Vicente Delgado</t>
  </si>
  <si>
    <t>a Luna. -- El conde de Cíavijo.— La muger de D. Andrés Elasti. — Francisco Talayera — D. Juan Pedro Delgado y sus dos hi­ jos. — D. Rafael Delgado. — D. Vicente Delgado. D. Manuel González Montaos. — D. Vicente Perez Cañizares. — El conde de Torre Muzqui^. -- D. Lope Peñaranda. — D. Tadeo Galisteo. — La condesa de S.Román, vi…</t>
  </si>
  <si>
    <t>Delzons</t>
  </si>
  <si>
    <t>oronel Bertrand, y que marchamos hácia Ottochatz , y encontramos había sido situado excelentemente por el en lans al enemigo , que se retiró al acer­ general Delzons, resistió el ataque con carse nuestras tropas. El 2j llegamos á la mucho vigor y firmeza. EL enemigo, des­ vista de Ottochatz, donde se halhba aun pués de muchas…</t>
  </si>
  <si>
    <t>Demai</t>
  </si>
  <si>
    <t>i vivo. extinguido tribunal de la Iuquhiciou, &lt;#e El corsario llamado FigarS, de Bolo- las quales conocía aquel por fuero , parti­ ña, mandado por el capitán Demai, ha cular. conducido al puerto de Calais el brick in­ art. ni. Las juntas remitirán ,áf los gles the Jane, que venia de una de las is­ ministerios correspondientes…</t>
  </si>
  <si>
    <t>Demidow</t>
  </si>
  <si>
    <t>15 de enero de 1809</t>
  </si>
  <si>
    <t>Gaceta de Madrid n.º 15</t>
  </si>
  <si>
    <t>vimos ademas 3 oficiales y 216 soldados muertos, y 18 oficiales y 459 soldados heridos. Los suecos perdieron mu­ cha mas gente. ,|EÍ cuerpo del mayor general Demidow alcanzó al enemigo el 5 de</t>
  </si>
  <si>
    <t>e Uleaborg, que debía ser el punto de reunión. El exército del general Kamensfcoi se puso en marcha en tres coíunas. La de la izquierda, al mando del general Demidow, caminaba á lo largo de las costas por Roukalai, Javala y Pihafoki sobre Brahestadt; la del centro^ mandada por el general Uschakow, marchaba por Meryarvi sobre …</t>
  </si>
  <si>
    <t>Dentro</t>
  </si>
  <si>
    <t>en sus necesidades, que ya eran cretario privado de S. M., Bendi, Bo set y grandes, muchas familias de esta capital. Germain, gentileshombres, Albe, coronel Dentro de poco tiempo comenzará á or­ y gefe de la oficina tipográfica, y Ivanr, ganizarse nuestra guardia nacional. El pre­ médico-cirujano. sidente de la policía está e…</t>
  </si>
  <si>
    <t>Depeaux</t>
  </si>
  <si>
    <t>eral en Stabroeck; la se­ do la misma dirección. gunda en Eeckeren al tnabdo del general Dallemagne; la tercera en Amberes al man­ WIRTEMBERG. do del general Depeaux; la qnarta en Ca­ ldo á las órdenes del general Charbonnief. Stuttgardt 18 de agosto. El senador Klein manda la división de ca­ De algunos días i esta parte hemo…</t>
  </si>
  <si>
    <t>Derei</t>
  </si>
  <si>
    <t>de los habitantes de este distrito. todo rigor las faltas cometidas contra la dis* Acabamos de saber que el duque: de ciplina militar. Dantzick y el general Derei han .recibido El príncipe Real ha viajado por la Pru- diputaciones de todos los pueblos del Saltz­ sia oriental y occidental desde el 26 de ju­ burgo superior, las …</t>
  </si>
  <si>
    <t>Deroi</t>
  </si>
  <si>
    <t>mento: todavía se acuerdan de las victo­ mandada por el príncipe Real, en Munich: rias de que fueron testigos estos campos, y la 2.*, mandada por el general Deroi, en desean con ansia llevar al territorio de los Landshut; y la 3.a, mandada por el gene­ enemigos Ja guerra que han suscitado, y es­ ral de Wredé, eñ Straubing. ta…</t>
  </si>
  <si>
    <t>Saint-Hilaire á la aldea de Peissiog, liut. Estaba cortado el puente, y la divi­ encontró al enemigo superior en número; sión bávara, mandada por el general Deroi, pero harto inferior, en valentía; y allí fue resistía vivamente este movimiento; pero donde se abrió la campaña con un combate amenazada por las colunas que habían…</t>
  </si>
  <si>
    <t>uque de Dantel cuerpo del archiduque Luis y el del ge­ zick, con la división del Príncipe real y neral Híller, que entrambos constaban -de con la del general Deroi, marchó sobre ia éo© hombres. El dia ao se trasladó S. M. aldea de Reuhausen para llegar al camino á Abensberg. £&gt;¡ó órden al duque de Auers­ real de Abensberg á L…</t>
  </si>
  <si>
    <t>lpsuy las empalizadas. En el mismo dia el Zarmagna, y comenzaron las hostilidad general Deroi, que había salido de Rosen- en Dalmacia; pero han sido rechazados por heim, encontró á los austríacos en las ori­ todas partes con pérdida mui considerable. llas del Kieserbach cuyo puente</t>
  </si>
  <si>
    <t>ntzíck. ha pasado de exército ruso ha recibido orden -expresa de Lintz á la otra parte del Danubio. S. M. I. de dar á los habitantes pacíficos de „E1 general Deroi cubre la Baviera su­ la Gallitzia la palabra solemne de que las perior, y el cuerpo del general Beaumont miras de la Rusia no son de modo ninguno el Lech.” las de …</t>
  </si>
  <si>
    <t>2 de julio de 1809</t>
  </si>
  <si>
    <t>Gaceta de Madrid n.º 183</t>
  </si>
  <si>
    <t>a ha salido para España. consiste en 80 hombres de infantería y 10 .caballos, que corresponde también con la París so di junio. división del teniente general Deroi; y esta Se ha recibido aquí la noticia de la muer­ rse extiende Insta mas allá de Weilheim , y te del célebre compositor Josef Haidn, acae­ cubre las fronteras de …</t>
  </si>
  <si>
    <t>923</t>
  </si>
  <si>
    <t>ino á las esquadras que al presente estao ha salido de aquí para Vicna. La tercera baxo sus órdenes á lo largo de las costas división, mandada por el general Deroi, se de la parte occidental del golfo de Botnia» aguarda en esta ciudad, donde todavía per­ y que podrían venir á estas aguas en el manecen el duque de Danrzick y e…</t>
  </si>
  <si>
    <t>nuncian que conde Preising, se ha unido á estas tropas Jta comenzado va a expedición contra ios con 300 tiradores de las montañas. Toda tiroleses. El general Deroi,-con una divi­ esu divisiou la manda el general Mommaxi.</t>
  </si>
  <si>
    <t>á ciudad ün esquadron de coraceros y una compañía La tercera división bávara, ¿ las órde­ de la guardia de S. M., que venían de Loo. nes del teniente general Deroi, salió ante­ Estas tropas aguardarán aquí nuevas ór­ ayer para Gollíng. En el mismo día se re­ denes. cibió una carta de los magistrados de Kitz- - Schiedan &lt;f de …</t>
  </si>
  <si>
    <t>de la obra. Alemania. Munich 24 de octubre. Se han recibido noticias frescas sobre las operaciones militares en el Ti rol. La división del teniente /general Deroi avanzó el 21 desde Waergel á Rattemberg: la del barón V Vrede llegó á Kundel el 20, y al dia inme­ diato marchó por el puente del Zill: los insurgentes evacuaron á …</t>
  </si>
  <si>
    <t>3 de diciembre de 1809</t>
  </si>
  <si>
    <t>Gaceta de Madrid n.º 338</t>
  </si>
  <si>
    <t>477</t>
  </si>
  <si>
    <t>operaciones militares del exército bávaparte de las damas principales de la ciudad. ro en el Tirol, sabemo; que la división man­ dada por el teniente general Deroi ha avan­ AUSTRIA. zado el 21 de este mes desde Woergel has­ ta Rattenberg. La del barón de Wrede, Viena a 4 de octubre. que llegó el 20 a Rundel , se dirigid- al d…</t>
  </si>
  <si>
    <t>Derol</t>
  </si>
  <si>
    <t>de Abrantes. HOLANDA. CONFEDERACION DEL RIN. . Amsterdan 27 de junio. . Saltzburgo 2 «5* de junio. Mr. Van Hogendorp, embalador que El señor teniente general Derol llegó fue en Vieua, ha sido nombrado por S. M. ayer aquí con un cuerpo compuesto de los para desempeñar, uua comisión cerca de la regimientos de Jennkei, Preising …</t>
  </si>
  <si>
    <t>Deroy</t>
  </si>
  <si>
    <t>738</t>
  </si>
  <si>
    <t>os y demás puestos ventajosas. El Coman­ dante austríaco, teniendo sin duda por imposible que esca­ pase nuestro exército, creyó conveniente hacer al General Deroy la siguiente intimación:, » i Quartel general de Kranefwitten %o de maya, v Tengo á mis órdenes tiradores y soldados de to­ do el Wintchau y el Punthal. Mi compañe…</t>
  </si>
  <si>
    <t>Des-Essarts, Josef</t>
  </si>
  <si>
    <t>Josef Des-Essarts</t>
  </si>
  <si>
    <t>fabricante ó artista ex— trangero que se establezca en Zaragoza á El REI ha venido en nombrar al doctor exercer su oficio ó industria, gozará por es­ D. Josef Des-Essarts , natural de Bilbao, te mismo hecho del privilegio de naturali­ presbítero, y rector que ha sido de la uni­ zación , y podrá en virtud de él comerciar versi…</t>
  </si>
  <si>
    <t>Desaix</t>
  </si>
  <si>
    <t>ruirse mente 54 medidas de grano y 6475 libras de en la plaza de las Victorias, consagrado á forrage por el método adoptado en Hofwil. la memoria del general Desaix, muerto en la batalla de Marengo. REINO DE ITALIA. Milán xj de marzo. Continuación del diario del sitio de Zara­ goza. S. A. I. el príncipe virei no ha olvida­ do…</t>
  </si>
  <si>
    <t>Desbureaux</t>
  </si>
  <si>
    <t>lacencia la carta si­ del reino de Baviera y el de los demas prín­ guiente escrita por S. M. el Emperador y cipes de la confederación del Ría. Rei al general Desbureaux : „ Señor general de división Desbureauxt ESPAÑA. haced qoe por medio del telégrrfo .se comu­ nique á la Emperatriz la noticia de haberse jMadrid 16 de noviem…</t>
  </si>
  <si>
    <t>Desnouettes, Lefebvre</t>
  </si>
  <si>
    <t>Lefebvre Desnouettes</t>
  </si>
  <si>
    <t>Gaceta de Madrid n.º 20</t>
  </si>
  <si>
    <t>a guardia, encontró á la caída de la noche con una coluna de infantería inglesa que iba marchan­ do; hirió muchos soldados, y desordenó la coluna. El general Lefebvre Desnouettes, coronel de los cazadores de la guardia, destacado del quartel general dos dias había con tres escuadrones de su re­ gimiento, había cogido muchos b…</t>
  </si>
  <si>
    <t>Desnouetts, Lefebvre</t>
  </si>
  <si>
    <t>Lefebvre Desnouetts</t>
  </si>
  <si>
    <t>e trabó una pelea mui reñida de 400 contra 2®: fue preciso ceder á la superioridad , y volver á pasar el rio: cayó muerto de un balazo el caballo del general Lefebvre Desnouetts, estando herido el mismo general de un pistoletazo , cuyo accidente le hizo quedar prisionero eon 10 cazadores suyos, que también perdieron sus caba­…</t>
  </si>
  <si>
    <t>mbate de 400; contra 2 5,00. En todo el" día 29 crecieron las aguas; del rio en términos de hallarse el vado intransi­ table al anochecer. Estando el general Lefebvre Desnouetts i pique de aho­ garse, fue llevado por la corriente á la orilla ocupada por los ingleses, y quedó prisionero. La pérdida de los enemigos ha sido mayo…</t>
  </si>
  <si>
    <t>Después</t>
  </si>
  <si>
    <t>guarde la vida de V. E. muchos años. Trieste 19 de abril de 1809. zzExcmo. Señor. zz: Eusebié Bardaxi y alzara, zz E xcmo. Sr. D. Martin de Garay. P. D. Después de escrita esta carta, he visto al G07 bernador de esta Plaza, y me ha asegurado ia certeza de la victoria del Archiduque Juan, añadiéndome que se esperaban noticias …</t>
  </si>
  <si>
    <t>Después, Ma</t>
  </si>
  <si>
    <t>Ma Después</t>
  </si>
  <si>
    <t>1420</t>
  </si>
  <si>
    <t>r alli , siguiendo la calle de S. Honoraco, en medio del comisario general de policía de el extremó de la calle Real; Aragón y corregidor de Zaragoza D. Ma­ Después, siguiendo los baluartes, en la riano Domínguez , qne todo labrador de di­ Puerta de S. Dionisio, cha ciudad que hubiese sido perjudicado Puerta de S. .Martin , e…</t>
  </si>
  <si>
    <t>Después, Santiago</t>
  </si>
  <si>
    <t>Santiago Después</t>
  </si>
  <si>
    <t>esde donde veia el campo de batalla, Capellán de numero de la catedral de Vallay en donde permaneció hasta medio dia. doltd: para el de Fuensaldaña á D. Santiago Después salió de alli á toda prisa. Centeno, presbítero y teniente de¡curade El quartel general francés ha llegado á esta villa: para el de Ciguñuela á D. Ju­ Wolker…</t>
  </si>
  <si>
    <t>Dessaix</t>
  </si>
  <si>
    <t>ro im: cuerpo de tropa francesa^ compuesto de los regimientos 9 y 84. que encontraron entre Bellun-o^ O.spid lleta y Usopo , y. ‘ cuyo comandante, el General Dessaix, quedo gravemente he-rido. ‘ Se sabe que lós ■ austríacos han entra do' también en el Tiro!, y que en todos los payses ios reciben con el mayor contento y amor, …</t>
  </si>
  <si>
    <t>Dessoles</t>
  </si>
  <si>
    <t>n el espacio de quatro semanas. Ha pasa­ ñor mariscal Jourdan, mayor general, «1 do mas adelante , y ha declarado que estas ministro de la Guerra, el general Dessoles, propiedades serán confiscadas á su tiempo el duque de Cotadilla , capitán general de debido. En las cartas citatorias dirigidas á la guardia , y otros muchos o…</t>
  </si>
  <si>
    <t>Deumuúnicamente</t>
  </si>
  <si>
    <t>ué podía disponer. Al intento hizo venir de Farvés para tratar dé cortar al enemi­ aun las qúe hacían el sitio, dexando en él go por la izquierda. El general Deumuúnicamente las precisas para guardar las lin recibió orden de apoderarse de Santa obras, y el general Verdier vino á po­ Coloma á la bayoneta con tres batallo­ ners…</t>
  </si>
  <si>
    <t>Devaox</t>
  </si>
  <si>
    <t>letado enteramente por los alistamien­ su debilidad el mal éxito de la expedición. tos voluntarios, sin que haya sido necesa­ Acaba de llegar aqu¿ el general Devaox, rio echar mano del sorteo. Eí prefecto del qure va á ser empleado en el exército. La departamento ha presentado dos homb res gnardia sedentaria de caballería de …</t>
  </si>
  <si>
    <t>Devaux</t>
  </si>
  <si>
    <t>l general Lechi contribuyeron mucho al buen éxito de esta acción. £1 general en gefe ha:quedado igualmente mui satisfecho de la conducta del ayudante comandante Devaux y del coronel Aussenac, co­ mandante del regimiento núm. 7.0 La división italiana se adelantó mas allá de Esplugas y del Hospitalet, y obligó á retirarse á dif…</t>
  </si>
  <si>
    <t>Dezánda</t>
  </si>
  <si>
    <t>p&gt;or 27 de abril de 1809. = Firmado = YO EL los corsarios le Rancunier, Su capitán Blon­ REI. = Por.S. M. su ministro secretario Je dín , le Gente , capitán Dezánda. Estado Mariano Luis de Urquijo.” 4 -*EN LA IMPRENTA REAL.</t>
  </si>
  <si>
    <t>Diaz, Antonio</t>
  </si>
  <si>
    <t>Antonio Diaz</t>
  </si>
  <si>
    <t>. Doña Feliciana González, 75 rls. para una casaca. D. Francisco Fernandez , 17 rls. para unos zapatos. D. Juan Parra . 48 rls. para unos pantalones. D. Antonio Diaz , 75 r-’s*- pira una casaca. D. Francisco Muñí z , 48 rls. para unos pantalones. D. Antonio de los Santos , 70 rls. para un poncho. D. Bartolomé Tomar?» , 48 rea…</t>
  </si>
  <si>
    <t>Díaz, Félix</t>
  </si>
  <si>
    <t>Félix Díaz</t>
  </si>
  <si>
    <t>y tres quartilíos. E N PRENDAS» D. Manuel de Arias , un par de medias.r=D. Josef Carmona, un par de medias. =:D. Pedro Herrera , un par de medias.es D. Félix Díaz , una camisa.—Doña Rosa de Castro, unos zapatos.-=L“. Leandro Riso , dos pares de botines.es:Doña Anto­ nia üomtogüez , un par de medias.mD. Pedro Ortiz, un poncho.…</t>
  </si>
  <si>
    <t>Diaz, Francisco</t>
  </si>
  <si>
    <t>Francisco Diaz</t>
  </si>
  <si>
    <t>. Agustín Gar­ da Velez, á D. Antonio Porlier, cura párroco de la villa de S. An­ drés : para la ración vacante en la de Granada por fallecimiento de D. Francisco Diaz , á D. Josef Morales , rector de aquella universidad : y para una capellanía presbiteral en la reál de Gra­ nada , vacante por muerte de D. Modesto Viana, i O.…</t>
  </si>
  <si>
    <t>Díaz, Josef</t>
  </si>
  <si>
    <t>Josef Díaz</t>
  </si>
  <si>
    <t>udice, vélite de tá nombrado comandante de batallón por nuestra real guardia, está nombrado subte­ ascenso de D. Jostf Franco que lo obtenía. niente. D. Josef Díaz , teniente di granaderos, D. Emilio del Giudice, vélite de nues­ está nombrado capitán en reemplazo de tra real guaidia, está nombrado subte­ D. Antonio Biedma. ni…</t>
  </si>
  <si>
    <t>Díaz, Manuel</t>
  </si>
  <si>
    <t>Manuel Díaz</t>
  </si>
  <si>
    <t>aría B¿rmudez , 10 rls. para un par de medias» D. Manuel Navarro , 30 rls. para dos mochilas» D. Antonio González , 20 rls. para dos pares de medias» D. Manuel Díaz, to rls. para un par de medias. D. Rafael de Buque , 20 rls. para dos pares de medias» D. Antonio Ahumada, 10 rls. para un par de medias» D. Tomas de Rueda , 30 r…</t>
  </si>
  <si>
    <t>Diazpasaseá, Luis</t>
  </si>
  <si>
    <t>Luis Diazpasaseá</t>
  </si>
  <si>
    <t>r­ da del mando del coronel D. Pablo Morillo , y del teniente coronel D. Francisco de Haoo , se colocasen al lado , y, que la de reserra del mando de D. Luis Diazpasaseá auxiliar la propia vanguardia* Cargados los enemigos empeñaron á des­ ordenarse , y el fuego de nuestra artillería, que no en raldé tiene la opinión de ser l…</t>
  </si>
  <si>
    <t>Dicen</t>
  </si>
  <si>
    <t>ro ios bárbaros se desquitaban tirándonos lluvia de bombas , de modo que desde anoche han tirado ciento y tantas. “ Querida amiga Doña A. de.B.” _ P. D. Dicen tenemos el socorro cerca : Dios lo quiera. EN LA IMPRENTA REAL.</t>
  </si>
  <si>
    <t>Diego</t>
  </si>
  <si>
    <t>fragata D« Joaquín Porcel;: Á .Teniente de navio el de fragata .D. Francisco Rato. Capitanes de Puerto. A Capitanes de fragata ios Tenientes de navio D. Diego .Escalera , y D. Jayme Aiberni. Cuerpo de Brigadas. A Subteniente el primer .Condestable D. Sebastian Iglesias. Cuerpo de Pilotos. A Práctico primero , graduado de Aife…</t>
  </si>
  <si>
    <t>balleril. Extrarigero. García ( D. Alfonso.), granadero del regi­ Cortes.( D. Antonio), alcalde de corte. miento núm. t.u, brigada ir.andera. Cosío ( D. Diego), idem. Grcía Suelto ( D. Tomas), incaico del Cout (J). Andrés), fusilero dcLnúrn. i.*, excrcito de primera cíate.</t>
  </si>
  <si>
    <t>n), general de exéiciro. Navarro (D. Josef), teniente general de Lauchder (D. Josef) , fusilero del regi­ artillería. miento Real iixtrangero. Novoa (D. Diego), capitán del regimien­ La-Torre (D. Damaso), corregidor de Ma­ to núm. i.u, iniant ría de linea. drid. Novclla (D. Roque), corregidor de AlLe C..pitaine, coronel de gr…</t>
  </si>
  <si>
    <t>5^7 neboi* , sargento de granaderos del real extrangero. — Cortes (D. Antonio) alcalde de Corte. — Cosío (D. Diego) id. — Cout (D. Andrés) fusilero del núm. i , brigada irlandesa.ÍC “Daban (D. Juan) xefe de batallón del regimiento núm. ' i. — Dalesme (D. Pedro) capitán del núm. i , brigada irlan­ desa.</t>
  </si>
  <si>
    <t>Dieguez, Ramón</t>
  </si>
  <si>
    <t>Ramón Dieguez</t>
  </si>
  <si>
    <t>la noche. — P. D. — En el choque que esta mañana tuvieron los franceses que se retiraron de Carmona con el segundo batallón de Grao , resultó herido D. Ramón Dieguez, subteniente de dicho regimiento. Excmo. Sr. — Francisco Ballesteros. — Excmo. Sr. Ma ­ ques de la Romana.” D. José Hidalgo Barquero , presbítero , vecino de la …</t>
  </si>
  <si>
    <t>Dietrichstein</t>
  </si>
  <si>
    <t>itzia austríaca, y que la vanguardia tada á S. M. en el parque de Schoenbrunn. de los cosacos ha ocupado á Chelín y Belz. Se componia de los Sres. el conde Dietrichstein, mariscal interino de los estados; ESPAÑA. el prelado de Klosternenbourg; el prelado Madrid 2_9 de mayo. de los escoceses él conde Pergen; el con­ de Veteran…</t>
  </si>
  <si>
    <t>Diez, Josef Julián</t>
  </si>
  <si>
    <t>Josef Julián Diez</t>
  </si>
  <si>
    <t>o Garrido mi penosa sitnacion en Argel, y de los pe­ y D. Pedro Alfaro y Remom oficiales se­ ligros á que estaba expuesto con todos los gundos ; y i. D. Josef Julián Diez archi­ franceses que babia allí, dio ciertas provi­ vero. dencias de represalias hacia los argelinos que Por decreto de 31 del. mismo S. M. ha Se hallaban e…</t>
  </si>
  <si>
    <t>Dillen</t>
  </si>
  <si>
    <t>ormar un juicio, racionalmente asentado , sobra la situación verdadera en que hoy se halla. ALEMANIA. Stuttgard 13 de julio. Se sabe de oficio que el general Dillen ha entrado en Stockach con las tropas de su mando y ha pacifi­ cado aquellos contornos. Los aldeanos sublevados han entregado las armas. Algunos de sus xefes está…</t>
  </si>
  <si>
    <t>Dimitraska, Alexandro Morousi</t>
  </si>
  <si>
    <t>Alexandro Morousi Dimitraska</t>
  </si>
  <si>
    <t>n congreso para ajustar la paz con Ru­ sia. Loa negociadores por parte de la Puerta son el Reis-effendi, Gbalibeífendi y Arif-efFendi. El hermano del príncipe Alexandro Morousi Dimitraska hará en el congreso las funciones de primer intérprete. „ Miguel Bosgiowich, que ha obtenido hasta, ahora el empleo de primer intérprete de…</t>
  </si>
  <si>
    <t>Dineo, José Mariano</t>
  </si>
  <si>
    <t>José Mariano Dineo</t>
  </si>
  <si>
    <t>Monteilano. — Condesa de Superunda. — D. José Almendariz. — D. Iginio Antonio Llórente; —• Fr. Ignacio Gómez Ibluzqueta. — D. Luis Melendez Bruna. — D. José Mariano Dineo.—D. Joaquin Muñoz, recibidor de Mal­ ta. — Conde de Oñate. — Marquesa de Malpicá. — D. Joaquín de Viliauneta.-- D. Antonio Campagny.— D. Torquato Collado.— …</t>
  </si>
  <si>
    <t>DJvila, Agustin</t>
  </si>
  <si>
    <t>Agustin DJvila</t>
  </si>
  <si>
    <t>cabida VENTAS. 4 fanegas y 2 celemines. Otra á las Fuentecillas de la En virtud de providencia del señor teniente D. León laguna, linda con tierra de D. Agustin DJvila, de ca­ de Sagasta, dada ante el escribano del número D. Julián bida 2 fanegas y it celemines. Otra al camino real de González Saez, conforme al real decreto d…</t>
  </si>
  <si>
    <t>Dnmonceau</t>
  </si>
  <si>
    <t>tal del Escalda. La artillería está de reserva apresado 13 buques ricamente cargados. detras de la ciudad de Goes. ,, Parece, di­ (The Times. ) ce el mariscal Dnmonceau, que el enemigo Escriben de Malta que ha arribado alli se prepara á abandonar las islas de la Zelan­ un número tan considerable de buques ame­ da ; á lo menos…</t>
  </si>
  <si>
    <t>do VII, Fernan</t>
  </si>
  <si>
    <t>Fernan do VII</t>
  </si>
  <si>
    <t>183</t>
  </si>
  <si>
    <t>es que siendo ya de edad bien avanzada , y con la grande pesadumbre que por este acontecimiento habrá sufrido su lealtad á nuestro legítimo y adorado rey Fernan­ do VII , no dudo la haya costado la vida. Por la comisión dicha me es forzoso manifestar á S. M. por medio de V. E. que queda entera­ mente cortada toda corresponden…</t>
  </si>
  <si>
    <t>do proceder en tan crítica situación.”" “Movida, pues , de tan poderosos motivos la suprema Junta, ha venido-en indultar á nombre del rey nuestro Sr. D. Fernan­ do VII, á D. Manuel Gómez deOstos,de la pena de muerte de gar­ rote á que fué sentenciado, comutándosela en diez años de presi­ dio en Filipinas-con retención ; indul…</t>
  </si>
  <si>
    <t>avio. (Diario mercantil de’ Cádiz). Sevilla 10 de Noviembre. La Junta suprema central gubernati­ va de España é Indias, en nombre del rey nuestro Sr. D. Fernan­ do VII, ha resuelto por decreto comunicado, al consejo en 8 de este mes, que todos los empleados así en España como en Indias que se hallen fuera de sus destinos, sal…</t>
  </si>
  <si>
    <t>do VTÍ, Fernan</t>
  </si>
  <si>
    <t>Fernan do VTÍ</t>
  </si>
  <si>
    <t>staban estabíéciios y domicitiados por la Justicia de ia Vilía dtl Cim jo , y que fieles y religiosos obojrvaiores del obsequio y servicio de nuestro Rey Fernan­ do VTÍ, huyeron quaailo pudieron de una Ciudad ocupada por $üs enemigos , salvaron á todo trance su honor, llenaron sus «jabera?y s? jípcem.on anís S.. A7!* . Já pub…</t>
  </si>
  <si>
    <t>Dócío, Cristóbal</t>
  </si>
  <si>
    <t>Cristóbal Dócío</t>
  </si>
  <si>
    <t>mente nombrado. Con el resto siguió' á ■Sopona desde donde mandó una compañía de granaderos y otra de fmueras al mando del teniente del propio cuerpo D. Cristóbal Dócío, á cubrir la Hoz de S:a. Lucir, con el doble obgeto dé asegurar á la división el paso por este estrechísimo boquete, y cortar en parte la mala retirada que ti…</t>
  </si>
  <si>
    <t>Doebeln</t>
  </si>
  <si>
    <t>ntaja, de la quaj se aprovechó-el comandante engefe para Estockolma a o de marzo. reunir sus tropas , salvó el ejército. .El 17. Los partes del mayor general Doebeln se reunieron todos los .cuerpos cerca deanuncian la feliz llegada á Suecia del exér-, Eckeroe , y efectuaron su retirada.por mat cito de Aland con la mayor parte…</t>
  </si>
  <si>
    <t>de de que hayan entrado ya en Umea , que Schwerin. retrograden y abandonen las costas de Sue­ En todo el reino hai la mejor inteligen­ cia. El mayor general Doebeln informó de cia y la mas.perfecta tranquilidad; y to­ esta orden al comandante de las tropas sue­ dos los suecos están convencidos de que los cas en Umea , anunciá…</t>
  </si>
  <si>
    <t>do nombrado mo sigue: gran ernx de la ótden y S. M. creó ade­ i.°. Las tropas al mando de S. E. el mas en ia misma sesión. 144 caballeros / en­ mayor general Doebeln evacuarán el 31 de tre los quál es se cuentan los dos húsares mayo la ciudad de Umea, y las tropas ra­ daneses qne mataron á Schili en Strálsnnd. sas entrarán en…</t>
  </si>
  <si>
    <t>i. 2 9 GAZETA DEL GOBIERNO DEL SABADO 5 DE AGOSTO DE 1809. SUECIA. Estokolmo 11 de junio. En virtud de una capitulación ajustada el 26 de mayo por el general Doebeln , las tropas suecas evacua­ ron Ja provincia de Vestrobotnia y la ciudad de Umea , que será ocupada por los rusos. — La Suecia paga bien caro sus nuevas -amis­ t…</t>
  </si>
  <si>
    <t>Doemberg</t>
  </si>
  <si>
    <t>sean con ansia su dominación. Entre tanto ha tomado sus antiguos títulos , y le rodea una co­ mitiva qual corresponde á su calidad. Id. 9 de mayo. El coronel Doemberg anda toaavia erran­ te , aunque en algunos papeles se ha dicho que estaba preso. Madama Stein y su compañera y partidaria Madama Daiwigh lian sido conducidas á …</t>
  </si>
  <si>
    <t>Dolgorouki</t>
  </si>
  <si>
    <t>rimera acción fue mui sangrienta, y Jos suecos fueron rechazados después de haber hecho una resistencia tenaz. En esta batalla fue muerto el valeroso príncipe Dolgorouki. Tuvimos ademas 3 oficiales y 216 soldados muertos, y 18 oficiales y 459 soldados heridos. Los suecos perdieron mu­ cha mas gente. ,|EÍ cuerpo del mayor gene…</t>
  </si>
  <si>
    <t>e, tiene úhicamente por objeto venido escoltándole los genízaros por orden ciertos negocios particulares. del comandante en gefedel exércitaturco. El príncipe Dolgorouki, primer edecán El camino de Constantinopla á Rudfóhuck. del príncipe Prosorouski, general en gefe está como siempre plagado de salteadores. del exército ruso…</t>
  </si>
  <si>
    <t>Dolgorucki</t>
  </si>
  <si>
    <t>o el paso. Inmediatamente principió el enemigo un vivísimo fuego de cañón desde las alturas, ¿ que correspondimos con tesón , habiendo sido herido el príncipe Dolgorucki, comandante de la banguardia, que espiró poco después. Bu el entretanto los cazadores é infantería enemiga lograron pasar el puente, que . habían compuesto, …</t>
  </si>
  <si>
    <t>Dom</t>
  </si>
  <si>
    <t>catedrales y colegiatas empezarán á migo cerca de Loviecz. En este instante hacer snyos los frutos y rentas de la pre­ acabo de recibir un correo dei general Dom- benda desde el dia de la toma de su pose­ browski, que me ha traído la noticia de sión , sin perjuicio del descuento de la par­ que su vanguardia persigue hacia Lov…</t>
  </si>
  <si>
    <t>Domas</t>
  </si>
  <si>
    <t>Gaceta de Madrid n.º 361</t>
  </si>
  <si>
    <t>URTEMBERG. cher &gt; que en esta capital ha servido'ét em­ • StlUfgardr *0 de noviembre.- \ pleo de ministro de la Policía, saldrá «1 17 á Francfort. El conde Domas, geoéral de S.M.hlísalido hoi dv incógnito paraStrasdivisión t gefe del estado mayor del prín­ burgo y Parir coa la denominación de conde cipe de; Neufchateí • perma…</t>
  </si>
  <si>
    <t>Dombrovvski</t>
  </si>
  <si>
    <t>eral polaco Sockolnicki , comandante de la plaza , sacó los 40 hombres-que tenia , con los honores de la guerra, y se ha reunido ya con sus trepas al general Dombrovvski. Los austríacos hacen demoler las íbitificaeiones de Sali­ do mir. , NOTA. Muchos dias ha qice los boletines y diarios franceses nos pintaban al archiduque F…</t>
  </si>
  <si>
    <t>Dombrowskfí</t>
  </si>
  <si>
    <t>16 de julio de 1809</t>
  </si>
  <si>
    <t>Gaceta de Madrid n.º 197</t>
  </si>
  <si>
    <t>892</t>
  </si>
  <si>
    <t>892 oes del general Mondet, á qnien persigue jioj^jR-uego á V. A-. qne eomuniquei, ¡gnalel general Dombrowskfí *&gt;a evacuado el 10 menfe á su trópáesta providencia.” de este mes la ciudad fronteriza de Novemiastt&gt;.' Asr que, el ¿territorio del gran dd- ' f --- ‘ IT&amp;lIA. * . "«J *•? ' . . f *" “ V; cado%e halla ya enteramente l…</t>
  </si>
  <si>
    <t>Dombrowski</t>
  </si>
  <si>
    <t>22 de junio de 1809</t>
  </si>
  <si>
    <t>Gaceta de Madrid n.º 173</t>
  </si>
  <si>
    <t>cés. ^ el Austria. Mientras tanto habían perdido ya sa Mientras que sucedía todo esto en Ga- apariencia especiosa todos los pretextos coa llitzia, el general Dombrowski rechazaba que se había diferido de un dia á otro has­ por todas partes al enemigo en el Vístula ta el mes de octubre de 1 807 la execucion inferior. del trata…</t>
  </si>
  <si>
    <t>da su ignorar ó interpretar mal el fin de estas pro­ tentativa sobre Thorn, ha sido vivamente videncias de precaución , á menos que no acosado por el general Dombrowski. hubiese decidido de antemano que el Aus­ El archiduque Fernando no cogerá de tria no tenia derecho para esforzarse en ase­ su expedición otro fruto que la ig…</t>
  </si>
  <si>
    <t>gene— por razón de sus faltas, según la práctica neral Kosinski se ha dirigido también hacia de las iglesias; quedando abolida desde aquel punto. El general Dombrowski los ahora qualquiera que hubiere en ellas de sigue después de haber abandonado á Síes— ganarlos por un cierto tiempo para la mesa zin, Kuttno y Klodawa. El gen…</t>
  </si>
  <si>
    <t>reunión con el cuerpo de exército del Rei de Westfália. Parts iG de julio. Hemos recibido noticias de Polonia;. El DIARIO VIGESIMOSEXTO DEL EXERCIT» general Dombrowski, después de haber ar­ DE ALEMANIA. * rojado á los-austriacos del ducado de Var-sovia , avanza por la Gallitzia, en donde Wolkersdorf _p de julio de t8pp. consi…</t>
  </si>
  <si>
    <t>Mám. ni.. 9S3 n 59 GAZETA DE MADRID DEL DOMINGO 30 DE JULIO DE 1809. RUSIA. m ndarte de la vanguardia del cuerpo del general Dombrowski. Petersburgo 29 de junio. ■ La gazeta ministerial anancia que el co­ AUSTRIA. ronel Catenikow ha sido promovido ai gra­ do de mayor general en recompensa del va­ Viena y de julio. lor y den</t>
  </si>
  <si>
    <t>Domenec, Paulino</t>
  </si>
  <si>
    <t>Paulino Domenec</t>
  </si>
  <si>
    <t>dos. PRIMER BATALLON DE HUESCA. El Capitán D* Antonio Morera, y el Teniente D. Juaquin Borgoñon, heridos. El Capitán D. Josef Sierra y el Subteniente D. Paulino Domenec, contusosj un Sargento, un Cabo y a soldados .muertos , y 36 .heridos. VOLUNTARIOS DE CATALUÑA. Dos heridos. CABALLERIA. El Capitán de Dragones del Rey D. Jua…</t>
  </si>
  <si>
    <t>Domin</t>
  </si>
  <si>
    <t>gobernador del palacio. miento núm. &gt;.°, inf ntería de línea. Doran (D. Francisco Xavier), consejera de Castiüo-Ljrroi ( D. Dunasn). Estado. Cervino(D. Domin¿o) , teniente general de Echague ( D. Francisco Antonio). ejército. Echegaraya ( D. Jacobn), capitán del re­ Cea ( D. Francisco Antonio), gefe de divi­ gimiento núm. 2.°…</t>
  </si>
  <si>
    <t>Domingo</t>
  </si>
  <si>
    <t>real. Estado. Choisseul (D. Augasto) , comandante de Estala (D. Pedro) , canónigo de Toledo. esquadron. Franceschideloue, general y edecán del Chuo ( D. Domingo ) , fusilero del regimien­ Reí. to núm. i.°, brigada irlandesa. Franco (D. Josef) , mayor del regimiento Ciaran (D. Manuel ) , intendente de León. infantería de línea…</t>
  </si>
  <si>
    <t>) , tirador del regimien­ en Rnsia. to núm. i.°, infantería de línea. Paroise , primer médico de cámara. Soto-Mayor (duque), maestro de cere­ Pazos ( D. Domingo) , sargento del bata­ monias. llón de infantería ligera núm i.® Soto ( D. Antonio )„ ex-premonstratense. Paisan. gefe de batallón de los granaderos Strolz ,' general …</t>
  </si>
  <si>
    <t>ta de negocios contenciosos.— Castillejo (D. Tomás) soldado del regimiento núm. a de infan­ tería de línea. — Castillo Larroi (D. Dámaso). — Cervino (D. Domingo) teniente general de exército. — Cea (D. Francisco An­ tonio) xefe de división del ministerio de lo interior. — Cernebois, sargento de granaderos del regimiento real …</t>
  </si>
  <si>
    <t>os de la guar­ dia real —Paquin, escudero del rey. —Pardo de Figueroa (Don Benito) ministro en Rusia. -* Paroisse , primer médico de cáma­ ra.—Pazos (D. Domingo) sargento del batallón de infantería ligera núm. 1. — Paisan , xefe de batallón de los granaderos- de la guardia real. — Pavía (D. Félix) teniente del, regimiento inf…</t>
  </si>
  <si>
    <t>— Thibauz, tesorero de la corona. — Turdonnet (D. Agustin) comandante de esquadron.” “Valguarnera (D. Juan) comandante de esquadron.- Val-. güarnera (D. Domingo) capitán de caballería. — Van-Halen (D. Juan) oficial de ordenanza. — Vázquez (D. Juan) capitán del regimiento núm. 1, infantería de línea. — VVeingartner, xe­ fe de …</t>
  </si>
  <si>
    <t>án del regi­ T’Serclaes (D. Cirios), coronel de infan­ miento núm. i.° brigada Irlandesa. tería. Makaruff (Ignacio ) , sargento del regimien­ Veugoa (D. Domingo), gefe de división to Real Extrangero. .. en el ministerio de Guerra. Martí ( D. Juan), teniente coronel de in­ Ximena (D. Rafael), teniente de arti­ fantería. llería…</t>
  </si>
  <si>
    <t>Domínguez</t>
  </si>
  <si>
    <t>ntento por la cia acompañarán otras disposiciones milita­ conducta de los habitantes , y en especial res , que mui en breve dexarán el país libre del intendente Domínguez, que durante el de este salteamiento y latrocinio ; que ¿ sitio había sido uno de los mas celosos de­ mayor abundamiento las grandes victo­ fensores de Zara…</t>
  </si>
  <si>
    <t>Domínguez, Diego</t>
  </si>
  <si>
    <t>Diego Domínguez</t>
  </si>
  <si>
    <t>243</t>
  </si>
  <si>
    <t>de S. Juan de la Cruz y Fr. Diego de S. Josefi Por los Franciscos descalzos Fr. Pedro de S. Francisco y Fr. Felipe de San Josef. Los de Aranjuez son D. Diego Domínguez, D. Mateo Sánchez y D. Antonio de la Cámara. La dipotacion de Valladolid arengó á S. M. en estos términos: „S:eíIor; La real chancillería , el noble ayuntamien…</t>
  </si>
  <si>
    <t>Domínguez, Felipe</t>
  </si>
  <si>
    <t>Felipe Domínguez</t>
  </si>
  <si>
    <t>6 de marzo de 1809</t>
  </si>
  <si>
    <t>Gaceta de Madrid n.º 65</t>
  </si>
  <si>
    <t>348</t>
  </si>
  <si>
    <t>o blemente. _ 1 ' beneficio de la iglesia parroquial de la vi­ lla de Vinnesa, en la misma diócesis de Don Josef Napoleón por la gracia de Osma ; y á D. Felipe Domínguez para otro Dios y por la constitución del estado, REI beneficio de la parroquia de S. Vicente Már­ de las Españas y de las Indias. tir de la ciudad de Avila. …</t>
  </si>
  <si>
    <t>Domínguez, Francisco</t>
  </si>
  <si>
    <t>Francisco Domínguez</t>
  </si>
  <si>
    <t>Benito Alvarado , 20 rls. para dos pares de inedias* D. Sebastian de Lora, 10 rls. para unas medias* -D. Juan Ruiz , 10 rls. para un par de medias., D. Francisco Domínguez , 10 rls. para un par de medias* D. Juan de Vargas, 14 rls. para un par de botines. D. Antonio Molina , y IX Juan Carrera, 20 rs. para dos pa* res- de medi…</t>
  </si>
  <si>
    <t>on cdestinó ’d ices obras, de ;fortificación de esta Ciudadt con. expresión de las personas que lo han verificado ¿ d saben * .v. V-:.,.0 ■’/. *\ ■ ~ D. Francisco Domínguez pór éf y por su hijór correspon» diente? al mes de marzos próximo; pasado , ico rs¿ de vn.ra ; D. Ignacio Navarrete , por los meses de febrero y marzo,, 6…</t>
  </si>
  <si>
    <t>Domínguez, Inés</t>
  </si>
  <si>
    <t>Inés Domínguez</t>
  </si>
  <si>
    <t>rls. para dos pares de medias. ^D. Miguel - de la Portilla , 20 rls. para dos pares de medias* D. Francisco Martínez , io rh?. para un par de medias. Doña Inés Domínguez , 48 -rls. para . unos pantalones. D* Diegocde 'Torres^ 20 rís...para dos pares de medias* D. Juan García , 75 rls. para cincp mochilas.</t>
  </si>
  <si>
    <t>Domínguez, Josef</t>
  </si>
  <si>
    <t>Josef Domínguez</t>
  </si>
  <si>
    <t>0 rls. para dos pares de medias. D. Francisco García , 40 rls. para dos mochilas y unas medias. D. Juan Rodríguez , 20 rls. para dos pares de medias. D. Josef Domínguez, 10 rls. para un par de media?. D. Francisco Laceval , 60 rls. para quatro mochila?. D Bartolomé López , 20 rls. para dos pares de medias. D. Josef Rodríguez …</t>
  </si>
  <si>
    <t>Domínguez, Mariano</t>
  </si>
  <si>
    <t>Mariano Domínguez</t>
  </si>
  <si>
    <t>4oo / y cangeada en debida forma. Desde aqnel La junta ha comisionado á sus indivi­ momento cesó la guerra y el rencor, y se duos D. Mariano Domínguez , intendente substituyó el amor, veneración y obedien­ general de este exército y ¿ ciño, y al xnar» cia á V. M., y la mejor armonía con las ques de Fuente-Olivar, para que tra…</t>
  </si>
  <si>
    <t>Domper, Miguel</t>
  </si>
  <si>
    <t>Miguel Domper</t>
  </si>
  <si>
    <t>ganado hacia Barha’tro por la sierra de Arbe; pero una partida ai inando ele D. Miguel Domper , la persiguió hasta eí rio Savia cerca de Samilier,) allí quedó sepultada casi toda, habiéndole cogido las 300 reses, algunas acémilas y 5 maletas con papeles que no había visto aun Domper</t>
  </si>
  <si>
    <t>Don</t>
  </si>
  <si>
    <t>rubia de­ bía atacar á Puente. -Nansa y Olis, impidiendo á toda costa la reunión de los enemigos de estos puntos con los -de Rábago y Catnijatiés. Eí brigadier Don: Remigio Oliara con los regimien-tos de Candas y CastrópóL mandados por sus respectivos coroneles D. Juan Cienfuegos , y D. Josef Navia Osorio, la segunda compañía…</t>
  </si>
  <si>
    <t>817</t>
  </si>
  <si>
    <t>Wibicki escribe en el mis­ El general de brigada Kamienski marcha mo dia desde Possen: con el 6.° regimiento de caballería para pe­ . ,,La carta del general Don.browski al netrar por este lado todo lo que pueda. príncipe ministro de la Guerra , citada ar—</t>
  </si>
  <si>
    <t>1495</t>
  </si>
  <si>
    <t>sotros, y por todas partes no se ve mas y médicos como oiiciales militares. Aguar­ que desorden y confusión. S. M. el Empe­ damos de un dia á otro ai general Don, rador y Rei, vivamente conmovido de vues­ nnestro nuevo comandante, y sir Eire Coote tra deplorable situación , y por las protes­ partirá mui pronto para Inglaterra…</t>
  </si>
  <si>
    <t>a plaza. Los ha­ cias, sobre los planes é instrucciones que se bitantes han dirigido ana representación al han tenido presentes para emprender y eje­ general Don , pidiéndole que no extienda cutar estas expediciones ,'robre la conducta 1#- inundación mas-de -lo que -sea necesario, y capacidad de los generaos á quienes han por…</t>
  </si>
  <si>
    <t>Don, Dionisio Casado</t>
  </si>
  <si>
    <t>Dionisio Casado Don</t>
  </si>
  <si>
    <t>lagarcía, presbítero y teniente En nuestro palacio dtí Madrid á 19 dé dementa del mismo pueblo: para el de Vi— julio ele 1S09- llavieja y Arenillas á.D. Dionisio Casado» Don j okí Napoleón por la gracia de diácono y beneficiado de Veiliza: para el Dios y por la constitución del estado, REI de Simancas áD» Manuel Rodriguen, pr…</t>
  </si>
  <si>
    <t>Doncelot</t>
  </si>
  <si>
    <t>en las do mis instrucciones supremas; baxareis la dos iglesias metropolitanas latina y griega. cabeza delante de mis órdenes , y las exeLuego que el general Doncelot, gober­ cutareis rigurosamente. nador general de las islas jónicas, supo la Dado el i.° de la luua sepher ( íS de declaración de guerra hecha por el Austria marz…</t>
  </si>
  <si>
    <t>Donkéns</t>
  </si>
  <si>
    <t>ste se pudiese retirar a- su .posición ppero estas valientes y disciplinadas tropas , que se- compo­ nían de la brigada del general Mackenzie, la del coronel Donkéns, Ja brigada de caballería del general Ansons , y-sostenidos estos cuerpos por el generalPayne con los otros quatro regimientos de caballería situados en fá Hartu…</t>
  </si>
  <si>
    <t>Donoju, O</t>
  </si>
  <si>
    <t>O Donoju</t>
  </si>
  <si>
    <t>biera deseado, em; atención á los pocos medios de transporte que hay en España. In­ cluyo la copia de una carta que he creído deber escribir al mayor general O’Donoju, ayudante general del exército español, lúe-, go que conocí la dificultad de procuramos dichos medios. El ge-, liéYal’C tiesta ha instado á la Junta central á q…</t>
  </si>
  <si>
    <t>Dopont</t>
  </si>
  <si>
    <t>El desgraciado General Dopont ha sido sentenciado á muer­ te por un consejo de guerra, y la sentencia se ha execatado inmediatamente. Este acto de severidad , ó por mejor decir, de crueldad , ha desagradado mucho á los Generales franceses, á quienes en vista de esto y de lo</t>
  </si>
  <si>
    <t>Dorado, Miguel</t>
  </si>
  <si>
    <t>Miguel Dorado</t>
  </si>
  <si>
    <t>haber tenido de su parte ningún herido, y los enemigos, como unos 10 entre heridos y muertos ; lo que participó á V. S. así como que el subte­ niente D. Miguel Dorado del exército de Cantabria ha contribuido valerosamente á lá gloriosa acción del dia de hoy, haciendo Fuego por sí mismo, como igualmente, que D. rJuan de Mier ,…</t>
  </si>
  <si>
    <t>Dorotea</t>
  </si>
  <si>
    <t>ver mui pronto á nuestro Soberano Solo distaban 15 leguas de Estockolmo en esta capital. 63 hombres del exército de poniente, quan­ Se asegura que la princesa Dorotea da</t>
  </si>
  <si>
    <t>Dorsenne</t>
  </si>
  <si>
    <t>mandados por el general perador, ha sido muerto de un balazo al ir Curial fe estrenaron en esta jornada, y á llevar una órden. mostraron esfuerzo. El general Dorsenne, El soldado ha mostrado una sangre fria coronel comandante de la guardia veterana, y. una .intrepidez,que no es propia sino de la colocó en tercera línea , form…</t>
  </si>
  <si>
    <t>Doy, Cirios</t>
  </si>
  <si>
    <t>Cirios Doy</t>
  </si>
  <si>
    <t>dl * sin embargo de tener el enemigo 3 2) hombres , superior de un tercio ¿ nuesrras tuerzas. Mumresa 12 ds febrero* -K Desde Tortosa escribe el Lord D. Cirios Doy le á nues­ tro Gobernador D. Ventura de Vailgomera * con fecha del 3 del corriente, entre otras coses, lo qu; sagú?. Ya han llegado ea el bergantín inglés* que des…</t>
  </si>
  <si>
    <t>Doz, Juan</t>
  </si>
  <si>
    <t>Juan Doz</t>
  </si>
  <si>
    <t>su estado mayor, que son , el teniente coronel D. Fernando Miyares, capitán del real cuerpo de Ingenieros , el teniente de voluntarios de la Co­ rona D. Juan Doz, segundo ayudante general de dicha división, ai teniente del mismo real cuerpo D. Luis Corral, ayudante de</t>
  </si>
  <si>
    <t>Drouet</t>
  </si>
  <si>
    <t>de oficio con referencia al parte de un oficial co­ mandante en Muhldorf. Los bávaros han destruido el puente que allí había , y se han retirado. El General Drouet ha confirmado esta noticia, por el parte que ha recibido del quartel general del Duque de Dantzick. ¡ Del io.-^-Todas las noticias convienen en que han- pa­ sado p…</t>
  </si>
  <si>
    <t>Gaceta de Madrid n.º 351</t>
  </si>
  <si>
    <t>esuro El general Vial había avanzado el dia á anunciaros que en este instapte acabo de lo desde Botzcn á Brixen, y el mismo dia recibir una carta del general Drouet, en verificó su reunión con el cuerpo del gene­ la que ine dice que los tiroleses han vuelto ral Baraguai de Hilliers. ya á sus deberes, entregado sus armas, y . …</t>
  </si>
  <si>
    <t>impor­ sidente dio fin á la sesión con un discurso en tante posición del Scharnitz. lengua latina. S. M. aceptó en seguida un El i.° de noviembre el general Drouet desayuno ep el salón de comer, que estaba marchó sobre Inspruck con las dos prime­ primorosamente adornado con laureles y ras divisiones de su cuerpo de exército. …</t>
  </si>
  <si>
    <t>Dtdandoy</t>
  </si>
  <si>
    <t>753</t>
  </si>
  <si>
    <t>cha m la Puebla de Sanabria el 26 de junio. - Principia comunicándole que marcha con su división para Za~ inora pasando por ISJonbuey que prevénga al general Dtdandoy que el coronel Guibe tiene orden de ir también á Zamora, y le en­ carga que averigüe lo que pasa en el reyno , y mas particularmen­ te de las disposiciones de l…</t>
  </si>
  <si>
    <t>Du-Barquier</t>
  </si>
  <si>
    <t>tres dias de navegación , y es el que ha dado esta ra­ zón declarándola judicialmente con algunos marineros : y .fe comprueba con el hecho de que.el General Du-Barquier, subalterno de Ferrand , que.es el que quedó en la ciudad, ha contestado á este Gobierno, y en su carta se da los mismos títulos que tenia Ferrand. Efectivame…</t>
  </si>
  <si>
    <t>Dubourdieu</t>
  </si>
  <si>
    <t>tanta llas quadradas de Alemania, 4a millones de exáctitud como destreza; y V. E. verá lahabitantes, y 109 millones de roblos de relación adjunta del capitán Dubourdieu en renta. que me da cuenta de la victoria que ha con­ Escriben de Lemberg que las fronteras seguido. de la Gallicia se cubren de tropas rusas, y La fragata Pr…</t>
  </si>
  <si>
    <t>Dubteuil, Jorge</t>
  </si>
  <si>
    <t>Jorge Dubteuil</t>
  </si>
  <si>
    <t>año Luis de Urquijo.” to de infantería Real Extrangero para ca­ pitanes á D. Mauricio Gard , D. Pedro Extracto de las minutas de la secretar!» Yung , D. Jorge Dubteuil, D. Josef Forsde Estado. ter y D. Josef Yost. Para tenientes á Don En nuestro palacio de Madrid á 27 de Juan Vareche y D. Francisco Kratzer, y •setieiríbre de …</t>
  </si>
  <si>
    <t>Duca</t>
  </si>
  <si>
    <t>garde ha bernador del-Austria, han sido condecora­ tomado el mando del exército austríaco; y dos con la gran cruz de la legión de Honor. ha pedido al general Duca por su quartel- Los heridos que harén los hospitales reci­ maestre general. bieron también algunas gratificaciones. : El archiduque Fernando, después de haberse vis…</t>
  </si>
  <si>
    <t>Dugomir</t>
  </si>
  <si>
    <t>érnone.rrrEn la retirada de los franceses dexa ron el regi­ miento de línea mi ni. 3* en Padernone. Este, regimiento que era mandado, por el'Ayudante general Dugomir, y por el iCoronel Bressiau, fue sorprehendido por un fuerte cuerpo de austríacos, y tuvo que rendirse prisionero'. *---- Los austríacos en su marcha se encontra…</t>
  </si>
  <si>
    <t>Duhesme</t>
  </si>
  <si>
    <t>l Gouvion St. Cir con el 7.0 cuerpo, poniendo en fuga á quantas tropas se halla­ ban en las cercanías de dicha plaza, y verificando su reunión con el general Duhesme; mediante la qual se halla compuesto ahora de 40® hombres el exército de Cataluña. Los duques deTreviso y de Abrantes se han apoderado de todas las obras exterio…</t>
  </si>
  <si>
    <t>rincherado, le cogió 2 5 cañones, y marchó sobre Tarragona, de la qual se ha apoderado. La toma de esta ciudad es de suma importancia. Los partes deí general Duhesme y del general St. Oír contienen la rela­ ción circunstanciada de los acontecimientos militares que ha habido en Ca­ taluña hasta el dia 21 de diciembre. Todos el…</t>
  </si>
  <si>
    <t>Duhésmé</t>
  </si>
  <si>
    <t>25 de enero de 1809</t>
  </si>
  <si>
    <t>Gaceta de Madrid n.º 25</t>
  </si>
  <si>
    <t>hubiera sacrificado adrede esta ventaja por la de comunicarse prontamente con Bar­ celona; lo qual se verificó el 17 de diciembre al medio dia. N El general Duhésmé;'que se bailaba en esta plaza, ha auxiliado está* operaciones con varias salidas bien combinadas, y que han tenido excelen­ tes resultas. Ei séptimo cuerpo acampó…</t>
  </si>
  <si>
    <t>ves, y las der­ rotó enteramente. Les cogió 6 páezas de cañón, 3c caxones y.3$) prisíoue—. ros. Mediante la reunión del 7.0 cuerpo con las tropas del general Duhesme, tenemos ya un exército considerable en Barcelona. Quando S. M. estaba en Tordesiilas tenia su quartel general en los edi­ ficios exteriores del convento real de…</t>
  </si>
  <si>
    <t>ado las descubiertas que salieron en la mañana del i£ que el enemigo hacia algunos movimientos por su derecha, y que había evacua­ do á S. Andrés, el general Duhesme mandó que inmediatamente marchase nú batallón á ocupar aquel punto, en el qual encontró algufias tropas de la retaguardia, y las arrojó y persiguió hasta Moneada…</t>
  </si>
  <si>
    <t>derecha se su,pQ que las tropas del general Saint-Cir habian dormido aquella noche en Moneada , y que estaban próximas á llegar. Con esta noticia el general Duhesme fue á verse con el general Saint-Cir, el qual ha tomado desde este día el mando en gefe de todas las tropas reunidas. Por copia conforme. El general comandante de…</t>
  </si>
  <si>
    <t>los ministros, y los regidores , y muchos otros emplead os para re­ conocer y jurar al Rey de baraja que llaman Josef. Pre­ sidía acto tan cómico el General Duhesme ■, que tenia i su lado el Fiscal de lo civil, el qual abrió la sesión con un discurso capcioso. El primero que tomó la palabra para responderle fuá el honrado min…</t>
  </si>
  <si>
    <t>en el combate, y su rompimiento. Las tropas francesas é italia­ edecán Read ha fido hecho prisionero. nas pasan el Adige para reunirse con las di­ El general Duhesme ha salido también visiones acantonadas en el país de Venecia, de Barcelona con 8© hombre.: para apode­ y parece que todas juntas irán al Isonzb, rarse de 38 barc…</t>
  </si>
  <si>
    <t>orazeros con sus corazas, y trece cazadores del regi­ miento núm. 7 , todos con sus respectivos caballos , armas y monturas.; un carruage propio, del general Duhesme con un cochero, lacayo y su cocinero, un suizo y once granade­ ros italianos todos los que se hallan en camino para este quartel general ,. sin la menor pérdida …</t>
  </si>
  <si>
    <t>165</t>
  </si>
  <si>
    <t>o tiene ) hablando de Gerona diño -, c’ est une bicoque; ¿có­ mo és‘esta?: Mh ! ya lo entiendo el Sr. Marescot: no había hecho él sitio de Gerona. El general Duhesme le podría decir algo sobre el particular„ (5) - ¿Pues qué no había sino enti egarle á vmd. el castillo , porque al Sr. barón de la Planta se le antojó intimar la…</t>
  </si>
  <si>
    <t>Duhesmev'aT</t>
  </si>
  <si>
    <t>ick está con el suyqen'Talavera de la Reina. El 8.° cuerpo ha! litigado á Burgos. . . ' : El general Saint Cir marcha: á juntarse en/Barcelona con el general Duhesmev'aT km.Ív 2í A. .... ; : Nuestras avanzadas de,.caBallería llegan hasta cerca de la Andalucía. El Emperador bá concedido al exércjto algunos dias de descanso. En…</t>
  </si>
  <si>
    <t>Duka</t>
  </si>
  <si>
    <t>nerales que mandaban ducido por S. E. el gran maestre de las mis­ en las fronteras de Turquía; entre otros el mas con las formalidades acostumbradas. general Duka, comandante superior en el Eú esta audiencia fueron presentados: Bannato, gefe que fue del estado mayor por S. E. el príncipe Kourakin, embaxador del archiduque Car…</t>
  </si>
  <si>
    <t>Dulanloy</t>
  </si>
  <si>
    <t>746</t>
  </si>
  <si>
    <t>ntas tropas,” Mr, Broun á Mr. Carlos , Comisario de Guerra en Madrid* desde Zamora á 2$ de junio. Dice que acababa de llegar á aquella cifudad con el General Dulanloy y bastante gente del segundo cuerpo: que se esperaba en pocos dias al Mariscal Soult : que hace {estremecer ia relación de lo mucho que han sufrido , y de }a mu…</t>
  </si>
  <si>
    <t>Dumas</t>
  </si>
  <si>
    <t>1187</t>
  </si>
  <si>
    <t>s en la orilla occidental del golfo Bótnico son la Liponía sueca y JJamburgo 31 de agosto. Ostrobothnia, Sas fuerzas principales se ha­ Dícese que el brigadier Dumas, coman­ llan apostadas en las cercanías de Umea. dante de e^ta ciudad., ha sido llamado al En el caso de que vuelvan á comenzar las quartel general del príncipe …</t>
  </si>
  <si>
    <t>Dumas, Matieu</t>
  </si>
  <si>
    <t>Matieu Dumas</t>
  </si>
  <si>
    <t>lten, de segada , á causa de h&amp;b/r rendido las armas donde será trasladado á lintz, y de allí i los insurgentes. El regimiento wurtemberSa’uburgo. El general Matieu Dumas , ge- gnes de Franquemont ha pa ado el 16 i fe del estado mayor , se ha quedado aquí, Lindau, y las demas trop.s wurtembery desempeñará interinamente las fu…</t>
  </si>
  <si>
    <t>Dümoncbau</t>
  </si>
  <si>
    <t>ciudad. 6 al rayar el diá marchó sobre Ter-Goes con ,, Bergopzoom 8 de setiembre de 1809. tres batallones, en el ínterin que dos bata­ = Frutado, el mariscal Dümoncbau.” llones de cazadores se apostaron detras de Sloe. ESPAÑA. ,,Por la noche y á la madrugada me informaron que las fuerzas enemigas que Madrid 10 de octubre. me …</t>
  </si>
  <si>
    <t>Dumonccau</t>
  </si>
  <si>
    <t>hoi órJenés á los que, están mandándolas ac­ para ei excrcito. También han llegado 6c o tualmente. i marinos de Rochefort ,y marchan al Austria. . ’ mariscal Dumonccau ha sido.nota— fii general’Legfand está encargado de brado comandante de Amsterdap. organizar los regimientos provisionales de</t>
  </si>
  <si>
    <t>Dumonceau</t>
  </si>
  <si>
    <t>Amsterdan j de setiembre. ca están en el día abiertos á todos los bu­ S. M. ha recibido ayer un parte del ques neutrales ; y el comercio va sin duda mariscal Dumonceau, en qne le annncia ¿ aprovecharse de estas dos puertas. ( Mor- que las tropas de su mando han ocupado tting chronicle.) toda la isla de Sud-Beveland. El dia 5 …</t>
  </si>
  <si>
    <t>nda 218 buques. víveres están en abundancia, y el buen vino S. M. acaba de recibir el parte siguien­ no anda escaso nunca. Ninguno de nosotros te del mariscal Dumonceau , comandante sabe nada de paz ni de guerra; pero á todo en gefe del exército holandés en el Braban­ nos hallamos dispuestos. La batalla del 6 l'ue te y en la …</t>
  </si>
  <si>
    <t>puesta, como hemos dicho ya, ,, Enterado con dolor de qué muchos de tropas holandesas, está mandada por el de los curas párrocos de estos reinos, por mariscal Dumonceau. El centro , á las órde­ los abasos introducidos en la percepcionde nes del general Reille, edecán de S. M., se diezmos, carecen hasta de lo absolutamen­ comp…</t>
  </si>
  <si>
    <t>10 de noviembre de 1809</t>
  </si>
  <si>
    <t>Gaceta de Madrid n.º 315</t>
  </si>
  <si>
    <t>hos buques del enemigo desarbolados, averiados, y que han padecido daños mas Bergopzoém 14 de octubre. ó menos considerables * ya en los pasos del El mariscal Dumonceau ha hecho cons­ Escalda, ó bien en ei ataque de Flesinga. truir un puente de barcas para pasar de Ossendrecht á Batz. Se dice que los ingleses ESPAÑA. no tiene…</t>
  </si>
  <si>
    <t>s de la parte del exército real em­ S. M. un discurso en lengua italiana , que pleada en Zelanda , y mandada en gefe por traducido es como sigue : el mariscal Dumonceau. Estas noticias las da el mariscal en una carta dirigida al Reí Señor*. ^ desde su quartel general de Goes , con feclia „La diputación de Roma, de aquelía del…</t>
  </si>
  <si>
    <t>Dumonexército</t>
  </si>
  <si>
    <t>La fiebre pútrida y la disenteria conti­ ha dado el inando del cuerpo de exército núan haciendo espantosos estragos en el holandés en el Brabante al mariscal Dumonexército del general Bellegarde , y particu­ ceau, que apoyará las operaciones del prín­ larmente en el cuerpo del general Ililíer, cipe de Pontecorvo. por habérsel…</t>
  </si>
  <si>
    <t>Dunasn</t>
  </si>
  <si>
    <t>del .regi­ Donna, general y gobernador del palacio. miento núm. &gt;.°, inf ntería de línea. Doran (D. Francisco Xavier), consejera de Castiüo-Ljrroi ( D. Dunasn). Estado. Cervino(D. Domin¿o) , teniente general de Echague ( D. Francisco Antonio). ejército. Echegaraya ( D. Jacobn), capitán del re­ Cea ( D. Francisco Antonio), gef…</t>
  </si>
  <si>
    <t>Dupas</t>
  </si>
  <si>
    <t>, y Tlannóver jo de abril. llegaron el ^ de marzo á Kumíingen, pun­ El viernes último la artillería y caba­ to de reunión. llería de ía división del general Dupas re­ ,, Desde Kumlingen cada una de estas cibieron orden de ponerse inmediatamente colimas tomó la dirección que les estaba se­ en marcha. La infantería las ha segui…</t>
  </si>
  <si>
    <t>Dupellin</t>
  </si>
  <si>
    <t>o arriesgado ha-cogido algunos centenares han desembarazado la Italia» y dexado sin dé prisioneros. defensa las barreras del Inn , del Salza y del El general Dupellin ha marchado hacia Traun, las que han caido en nuestro poder Mariazell, en donde ha desarmado tO hom­ con todos los ílmacenes del enemigo, han bres de las milici…</t>
  </si>
  <si>
    <t>Dupont</t>
  </si>
  <si>
    <t>obras que se hacen en el palacio de las Tuileriás de. París, y de ios magníficos muebles, y de nuevo gusto con que se ha de alhajar. Le recomienda el General Dupont que se bailaba preso en la cárcel de la Abadía , y molestado de un cólico nefrítico , y que no bailando, alivio con io que le recetaba el médico de la casa, solic…</t>
  </si>
  <si>
    <t>n ventajas seguras. Este- partido debiera naberse seguido quando todos los cuerpos del exército francés se replegaban después de la -capitulación del general Dupont. Entonces era quando nuestras tropas debían haberse pre­ sentado en las montañas de Galicia y Asturias para cortar é inquietar su re­ tirada. Pero nuestros minist…</t>
  </si>
  <si>
    <t>Duprat</t>
  </si>
  <si>
    <t>erable : se vaina en 1500 muertos y 3 ó 40 heridos : el ge­ neral Lasalle ha perdido la vida de un balazo : también han que­ dado muertos el ayudante comandante Duprat, y el coronel del noveno de infantería de línea : el duque de Istria ha recibido una contusión en el muslo , y el coronel principe Aldobrandini otra en un braz…</t>
  </si>
  <si>
    <t>Duque</t>
  </si>
  <si>
    <t>rovitza el 2 5 de abril á la cabeza de 20® en Stiria, en las inmediaciones del Simeringhombres, y que se ha dirigido hácia la bergy de Bruck. (1). El mariscal Duque d«r Croacia. CO La ciudad de Bruck dista cinco leguas IMPERIO FRANCES. de ¿caben, adonde ha llegado, según las últi­ Turin 4 de muyo. mas noticias , el exército d…</t>
  </si>
  <si>
    <t>Duque, Moruer T</t>
  </si>
  <si>
    <t>Moruer T Duque</t>
  </si>
  <si>
    <t>guerra» So* beada. sangre se^ ha¿ derramador y hartosmales nps cercan y combaten» La quinta división. :del í'grsn&amp;c? exército. á fcaf órdenes det Sr* Mariscal Moruer T Duque. de; Trevisq ,. y la que yo manda , amenazan, los. mures» La villad*M»~ drid. ha^ cepirulado, y de este modo. se ha-preservado da los infortunios que le …</t>
  </si>
  <si>
    <t>Duran, Francisco Xavier</t>
  </si>
  <si>
    <t>Francisco Xavier Duran</t>
  </si>
  <si>
    <t>Alonso, D. Ma­ con el mayor acierto los negocios públicos, nuel María Cambronero , el conde de Gua­ y llegar del mejor modo posible al momen­ rnan , D. Francisco Xavier Duran, D. Jo­ to feliz del establecimiento de la constitu­ sef Ignacio Joven de Salas, el conde de ción. Este momento Será aquel en que el Casa-Valencia, el c…</t>
  </si>
  <si>
    <t>o Espinosa, de D.Luis Marcelino Péreyra, de D* Juan Llórente, de D, Pidro de Estála , de D. Francisco Gallardo Ferna ndez , del Duque de ; Mahon , de D. Francisco Xavier Duran, de D. Francisco Amorós , y de D. Josef Navarro Sangr án , cuyos sugeto?, por notoriedad, son tenidos y reputados por reos de alta tracción. II. Qualqu…</t>
  </si>
  <si>
    <t>Duran, Manuel Fernandez</t>
  </si>
  <si>
    <t>Manuel Fernandez Duran</t>
  </si>
  <si>
    <t>30 de marzo de 1809</t>
  </si>
  <si>
    <t>Gaceta de Madrid n.º 89</t>
  </si>
  <si>
    <t>iento escritura? Apartaos de las turbulencias ci­ .de la ciudad de Soria para qne estaba nom­ viles y políticas : no os mezcléis jamas en brado ; y á D. Manuel Fernandez Duran, los negocios de estado sino para predicar la corregidor de la ciudad de Chiuchilla. paz , el orden , la sumisión á las autorida­ des , y la caridad un…</t>
  </si>
  <si>
    <t>Duran, Ramón</t>
  </si>
  <si>
    <t>Ramón Duran</t>
  </si>
  <si>
    <t>nto de dragones de la Reyna i y al capitán de Artillería D. JuanRamirez Pizarro. El general de la caballería : á sus ayudantes conde de Sta. Coloma y D. Ramón Duran , capitán y teniente del regimiento de Pavía : al briga­ dier D. José Pineda , coronel de la Granada de Llerena : á D. Juan Cas­ quero y i). Juan Ruiz, coronel y …</t>
  </si>
  <si>
    <t>Durango, Simón</t>
  </si>
  <si>
    <t>Simón Durango</t>
  </si>
  <si>
    <t>. Josef Gómez de Villavedon, D. Josef Sacrista* y D. Tomas Moyano. Por la Ciudad D. Vicente Martin Gómez, D. Cayetano Alonso , D. Mariano Santatíder, D. Simón Durango, D. Francisco Berzosa y D. Tomas Rodríguez. Por S. Basilio P. D. Ignacio Reyezo y P. D. Luis Estevez. Por los Agustinos recoletos Fr. Leonardo García y Fr. Jose…</t>
  </si>
  <si>
    <t>Durante</t>
  </si>
  <si>
    <t>de-Anerstaedt"ha llegado hoi ranzados como ahora , y no hubo protesta á Nicolsboúrg. ' * ni jaramento que no hiciesen. El Emperador dé -Auitria , el príncipe Durante la ¡ornada del 6 el enemigo Antonio y üWá1 comitiva‘dé éeréa de 200 hizo pasar á la orilla derecha del Danubio calesas , coches y otros carfnages. 'hicieron algu…</t>
  </si>
  <si>
    <t>Duresnel</t>
  </si>
  <si>
    <t>a sin acudir á su socorro. En los-15 dias que han transcurrido ni se ha disparado un fusil; solo sí ha dado algunos sablazos la caballería ligera. El general Duresnel con 400 cazadores de la guardia acometió á la noche á una coluna inglesa de infantería, y la desordenó matando á mu­ chos enemigos. El general Lefebvre Dcsnouet…</t>
  </si>
  <si>
    <t>Durnas, Mathieu</t>
  </si>
  <si>
    <t>Mathieu Durnas</t>
  </si>
  <si>
    <t>31 de diciembre de 1809</t>
  </si>
  <si>
    <t>Gaceta de Madrid n.º 366</t>
  </si>
  <si>
    <t>etos á los comandantes de armas que Platen salió de Elseneur el día 19, y ha cuidan de la poluta militar en la ciudad y pasado el Sund. arrabales. El general Mathieu Durnas, se­ Aleona de noviembre. gundo gefe del estado mayor general del La princesa Cristiana , esposa del prín-% exército, es d primer comandante de todos cipe…</t>
  </si>
  <si>
    <t>Duroc</t>
  </si>
  <si>
    <t>ncosr de renta: el mariscal Mortier, duque de Treviso, el bailiage de Calemberg, y los molinos de Blmmenau y Coldifigen i 10Ó161 fráncok dé rentaf el general Duroc, duque de Frioul, el bailiage de Stemhorst y parte del de Ratzeburgo, 83461 fran­ cos.: el mariscal N'ei, duque de Elcningén, el bailiage de Lauenburgo y otra part…</t>
  </si>
  <si>
    <t>os señalados triunfos » tanto mas fáciles » quan- En los dias 16 y 17 han pasado por aqui to que los soldados franceses han quedado y por Caustadt el mariscal Duroc, duque sepultados en España. de Friul; el mariscal Bessieres , duque de ‘ El dia 11 ha corrido la voz en Viena Istria; él general Arrighi, duque de Paque los exót…</t>
  </si>
  <si>
    <t>Durosnel</t>
  </si>
  <si>
    <t>correrlos. En los 15 dias que acaban de pasar no se ha disparado un fusil; la ca­ ballería ligera es el único cuerpo qüé ha dado aígúhos sablazos. El general Durosnel, cpn 400 caballos ligeros de la guardia, encontró á la caída de la noche con una coluna de infantería inglesa que iba marchan­ do; hirió muchos soldados, y deso…</t>
  </si>
  <si>
    <t>erido: es uno de los generales mas sar a cucni.lo 7 o húngaros que ya había distinguidos de la Francia. cu el cementerio del pueblo de Esling. Los El general Durosnel, edecán del Em­ escaramuceadores, mandados por el general perador, ha sido muerto de un balazo al ir Curial fe estrenaron en esta jornada, y á llevar una órden.…</t>
  </si>
  <si>
    <t>ión y la muerte corría por sus batallones. El General de di Vision St. Hilaire mal herida imploraba en vano él -socorro de sus pro­ pios soldados. El general Durosnel, ayudante de campo de Napoleón, apértas se separa de este para noticiar una orden, es. arrebatado por una -bala. Veinte y tres mil hom­ bres‘de 'las mejores tro…</t>
  </si>
  <si>
    <t>Gaceta de Madrid n.º 223</t>
  </si>
  <si>
    <t>ERACION DEL RIN. Los generales Durosnel y Foulers han llegado al quartel general..Todo lo que se . Lud'ivisbottrg zo de julio. habia dicho acerca del general Durosnel ha S. M. recibió ayer noche pliegos del te­ sido falso: no ha sido herido; pero sí le ma­ niente general Woellwarth, su fecha en taron el caballo que montaba. Q…</t>
  </si>
  <si>
    <t>julio. — Diario 29 del exército francés. — “Los generales Durosnel y Foulers han llegado al quartel general. To­ do lo que se habia dicho acerca del general Durosnel ha sido fal­ so : no ha sido herido ; pero sí le mataron el caballo que montaba. Quando volvía de llevar al duque de Montebello en ¡a loma­ da del 22 de mayo la …</t>
  </si>
  <si>
    <t>Durosoei</t>
  </si>
  <si>
    <t>eridos., Ei Duque de Montebello ha sido herido en un muslo por una bala de cañón el 22 en la tar­ de. El General St. Hiiaire fué también herido. El . General Durosoei fué muerto. Las aguas del Danubio no permitieron que se restableciesen los puentes duraote la noche; y el Empe­ rador ordenó que se pasase el pequeño brazo de l…</t>
  </si>
  <si>
    <t>Dussaibre, Luis</t>
  </si>
  <si>
    <t>Luis Dussaibre</t>
  </si>
  <si>
    <t>g, lo* señores conde de Escherni , gen­ á D. Juan Santiago Daugles capiran ; á Doa tilhombre ; conde de Zeppelin", gentilhom­ Juan Frantz teniente; á D. Luis Dussaibre ; Voiz , consejero de legación, y Schott, Ilant subteniente del mismo cuerpo; á Don consejero de legación. Marcial Lasserre, capitanee la octava com­ Por el du…</t>
  </si>
  <si>
    <t>e Fuentes, José Mor</t>
  </si>
  <si>
    <t>José Mor e Fuentes</t>
  </si>
  <si>
    <t>nor desacato , los yerros cometidos en la presente guerra, solo con la mira laudable y patriótica de rechazar y exter­ minar á nuestros enemigos. Por D José Mor ¿e Fuentes. — Cada número será de un pliego en quarto de impresión, y saldrá: todos los miércoles y sábados , encabezado con este epígrafe de Virgi­ lio : Vincet amor…</t>
  </si>
  <si>
    <t>Eapague</t>
  </si>
  <si>
    <t>con la cabaHerí?. Da ac­ ción fué obstinadísima, porque el enemigo tenia 200 caño­ nes y 90 d hombres , que Oran hs ' reliquias de sus exércitos. El General Eapague dividió su cuerpo en columnas-; oe-' jpo fué muerto por una bala de fusil á la cabeza de sus fropas-; y él General Poulers también fué muerto, sí g{ General -N¿ns…</t>
  </si>
  <si>
    <t>Eaúriston</t>
  </si>
  <si>
    <t>a ción se ha negado á aprontat toda especie parte el cuerpo del general Bellegarde ; pe­ &lt; de Socorros. ro el príncipe de Ponteeorvo, por medio de El general Eaúriston, edecán de S. M., una contramarcha , se encaminó precipita­ 'á la cabeza de la brigada de infantería de damente hacia Lintz, adonde llegó antes "Badén y dfc la…</t>
  </si>
  <si>
    <t>Ebel</t>
  </si>
  <si>
    <t>l Sr. Voigt, los mariscales Ma'sena, duque de Rívoli; célebre por sus obras de filosofía y de his­ Davoust, duque de Auerstaedt; Lefebvre, toria ; al doctor Ebel, al Sr. Joung, que duque de Dantzick, y el príncipe de Pon- ha dado en Alemania una excelente traduc­ recorvo. ción en verso de las poesías de Oss'um, y Los géneros …</t>
  </si>
  <si>
    <t>Ebersberg</t>
  </si>
  <si>
    <t>25 de mayo de 1809</t>
  </si>
  <si>
    <t>Gaceta de Madrid n.º 145</t>
  </si>
  <si>
    <t>esgo de- ser cercados por el guida acudió el general Legrand á socorrer duque de Montebello, se dirigieron hacia la división'Claparede. Se le unió el general Ebersberg con ánimo de pasar el río por Durosnel, que venia por la orilla derecha alli. con 1© caballos, y al punto se vio precisa­ El duque de Istria y el general Oudi-…</t>
  </si>
  <si>
    <t>Echevarr, Pedro</t>
  </si>
  <si>
    <t>Pedro Echevarr</t>
  </si>
  <si>
    <t>5*8 nvLto de la Catedral de Santa Fe , yacente, por fallecímiea* ta de D. Pedro Echevarr’i á jp. Francisco Tovar y Pastrana , Maestrescuela de la misma Iglesia, y para la Maestrescolía que dexa este , á D. Josef Rafael Torrija. Después de haberse solemnizado con la, mayor pompa y ¿apa</t>
  </si>
  <si>
    <t>Echevarría, Juan Fernando</t>
  </si>
  <si>
    <t>Juan Fernando Echevarría</t>
  </si>
  <si>
    <t>a donan la España para retirarse á Inglaterra. provincia de Santander, ha aprehendido y remitido á la cárcel de esta villa al famoso IMPERIO FRANCES. D. Juan Fernando Echevarría, y á otros 2 compañeros de la cuadrilla de salteadores y París t¡ de abril. asesinos, que con el nombre de compañía Considerando S. M. que los pueblo…</t>
  </si>
  <si>
    <t>Echevarría, Juan Josef</t>
  </si>
  <si>
    <t>Juan Josef Echevarría</t>
  </si>
  <si>
    <t>Castriciones, vecino de S. Salvador , 4®. = D. Víctor Zavala , 200. zz D. Juan Hernández, 100. — D. Juan Antonio Gómez, Contador de .Ejército, 200. = D. Juan Josef Echevarría , 100. = D. Juan Antonio Ara ojo, 200. = D* Nicolás de Rivera, Adalid nistrador general de Alcavalas, 100. = D. Ramón Andrade, Con­ tador general de ide…</t>
  </si>
  <si>
    <t>Echevarría, Manuel</t>
  </si>
  <si>
    <t>Manuel Echevarría</t>
  </si>
  <si>
    <t>abía yo pedido y enviádome eJ capitán de navio D. Juan Carranza , mandadas por los tenientes de navio D. • Ahdrés de la Fuente ; D. Vicente Búrraggi, D. Manuel Echevarría; el alférez de fragata D* Simón Ponce de Leon5 &gt;</t>
  </si>
  <si>
    <t>Echeverría, Atanasio</t>
  </si>
  <si>
    <t>Atanasio Echeverría</t>
  </si>
  <si>
    <t>por catálogos y con drán acudir desde hoi ry.á recoger las cé­ índicé expresivo de las especies. dulas nuevas á la misma tesorería, y i Jas art. ti. D. Atanasio Echeverría , dibu­ propias horas que están señaladas para la jante que fue de la citada expedición, y se entrega de las viejas. r. EN LA IMPRENTA REAL.</t>
  </si>
  <si>
    <t>Echinique, Miguel</t>
  </si>
  <si>
    <t>Miguel Echinique</t>
  </si>
  <si>
    <t>Mariano Olaso.—D. Juan Mallada. — D. Mi­ guel Porte. — D. Jacinto Garisa. — D. Bruno Huici. — D. Manuel Larruga.— D. Ventura Ateza. — D. José Soler.— D. Miguel Echinique. — D. Antonio Lajíeña. — D. Baltasar Barragan. — D. Joa­ quín Palacios.— D. Baltasar Val. — D. Mariano Ramírez.-- D. Lo­ renzo Puchol. — D. Vicente Laborda. …</t>
  </si>
  <si>
    <t>Eentínck</t>
  </si>
  <si>
    <t>rimer choque del ene­ migo fué. rechazado por el Comandante general y por Vd. misino á la cabeza del regimiento 4* y de la brigada al mando del Mayor general Eentínck. La aldea suu»da á la derecha de Vd. fué objeto de una obstinada contienda. Liento decir que poco después de haber quedado priva­ do de los servicios de Vd. el …</t>
  </si>
  <si>
    <t>Eerroy, Josef</t>
  </si>
  <si>
    <t>Josef Eerroy</t>
  </si>
  <si>
    <t>, con gradua­ cía;otra parte; pero adonde quiera que sé ción de ¡teniente, capitán en su mismrisdespresenteb encontrarán exércitos dispuestos tino; á D. Josef Eerroy.&lt;téíaiente y aymfant# á retíhaxarlosiXas provisiones para esta ciu­ de segunda clase de la?pla¿a de-Madrid, dad estídn -aseguradas, y los negociantes lian capitá…</t>
  </si>
  <si>
    <t>Egermarui</t>
  </si>
  <si>
    <t>94</t>
  </si>
  <si>
    <t>s , los polacos han salido de Lem- it. berg, adonde han vuylto ,el 2 i^d^ ju^ioios d* jtíliée i:V¡t austríacos mandado's por el teniente'de feld­ ..i mariscal Egermarui» seti de qu^rtei gepopd del, ejtército de re­ certa duración. serva , i las ÓTdeneyd*! duque de Abantes, WE&amp;TFÁLIA. se ¡batía en Bai reuth, y ^ns puestos a»an…</t>
  </si>
  <si>
    <t>Eguia, Vicente</t>
  </si>
  <si>
    <t>Vicente Eguia</t>
  </si>
  <si>
    <t>00 D. Juan Josef Robledo Noriega. 3.000 El Capitán D. Manuel de Urquiaga. C. 2.000 D. Miguel Rafael d: Medina. C. 2C.OOO B. Domingo ligarte. C. 4-000 D. Vicente Eguia. C. 50.000. D. Esteban Velez de Escalante. C. 50.000 D. Pedro Muguerza. C. 10.000 D. Joaquín Aldana. C. 10.000 D. Domingo Ignacio Lardizabal. 50.000 D. Mateo Pa…</t>
  </si>
  <si>
    <t>Eguileta, Pedro</t>
  </si>
  <si>
    <t>Pedro Eguileta</t>
  </si>
  <si>
    <t>Matauco, al contado 17600, y al fiado 26400 : una casa sita en la quarta .vecindad de la calle de la Zapatería, perteneciente á la fundación del Lie. D. Pedro Eguileta, ai contado 14620 , y al fiado 21780 : otra en la quar­ ta vecindad de la Herrería, de la; misma fundación , al contado 14520,7 al fiado 2t 780, cuyos remates …</t>
  </si>
  <si>
    <t>Ei, Grabare</t>
  </si>
  <si>
    <t>Grabare Ei</t>
  </si>
  <si>
    <t>229</t>
  </si>
  <si>
    <t>go hacia las 5 de la tarde con fuerzas considera­ bles hizo una vigorosa salida, sobre la derecha de nuestra línea, ocupada por la división del-mayor general Grabare/’ “Ei ataque se dirigió principalmente contra nuestros piquetes avanzados, los quales fueron sostenidos por el tercer batallón de los Reales, y por los regimient…</t>
  </si>
  <si>
    <t>Eiisavlas'insignias</t>
  </si>
  <si>
    <t>ñido el honor y ,S. ;M. el Rei de Saxonia asistirán á la yie recibir en Florencia de manos de S. A. I. función con toda la corte, los ministros y. la princesa Eiisavlas'insignias de, la legión ei cuerpo diplomático. Oficiará el obispo de Honor, de que ¡ bahía sido nombrado sufragáneo de Kolborn. miembro por decreto de S. M. I…</t>
  </si>
  <si>
    <t>Eiriz, Simón Antonio</t>
  </si>
  <si>
    <t>Simón Antonio Eiriz</t>
  </si>
  <si>
    <t>tesorero á D. Rafael Alvarez; por ofi­ amigo y protector de las letras. cial mayor de la contaduría á D. Tomas Domingo Ximencz; por oficial segundo á D. Simón Antonio Eiriz ; por guarda-cuños Continúan las rejl.-xiones sobre el real de­ á D. Pedro Llamazales; por maestro fun­ creto de iS de agosto acerca de la ce­ didor á D. …</t>
  </si>
  <si>
    <t>el Comisario, Reíler y</t>
  </si>
  <si>
    <t>Reíler y el Comisario</t>
  </si>
  <si>
    <t>nifórme encarnado q«e se dlzo venían de la Vizcaya france­ sa : que el 1 fines 10 habían de llegar otros 500, lo qual no sabe si se verificó : que el-General Reíler y el Comisario de guerra fudrcn á PerpMtatf &gt;d4cho dia to : que el citado Ge­ neral tiene que pasar si Norte : y qu® se decía set- cierto haberse declarado la Rus…</t>
  </si>
  <si>
    <t>el Diaria, Martin de Garaje En</t>
  </si>
  <si>
    <t>Martin de Garaje En el Diaria</t>
  </si>
  <si>
    <t>Gazeta del Gobierno n.º 9 (suplemento)</t>
  </si>
  <si>
    <t>63</t>
  </si>
  <si>
    <t>dréis!» entendido para disponer su cumplimiento. El Marques de Astorga , Vice-Presidente. = En el Real Alcázar de Sevilla á 7 da febrero de 1809. = A D. Martin de Garaje En el Diaria de tu Tarde de 23- dé enero , qne se puBííc» en París, se contiene el artículo siguiente de España, forjado et* Madrid*</t>
  </si>
  <si>
    <t>el Empe, María Teresa y</t>
  </si>
  <si>
    <t>María Teresa y el Empe</t>
  </si>
  <si>
    <t>Gaceta de Madrid n.º 16</t>
  </si>
  <si>
    <t>203</t>
  </si>
  <si>
    <t>el estado político déla monarquía, y quan felizmente se dará fin á la demarcación del territorio de las diócesis* solo sí advertiremos que SS. MM. la Emperatriz María Teresa y el Empe­ rador Josef 11 comenzaron ya á executar dicha demarcación.” ALEMANIA. Ra&amp;tack &amp; de diciembre,. El 5; del corriente entráron en nuestro puerto …</t>
  </si>
  <si>
    <t>el Empecinado, Juan Martin</t>
  </si>
  <si>
    <t>Juan Martin el Empecinado</t>
  </si>
  <si>
    <t>las partidas de guer­ rilla que vagaban dispersas , y que por lo tanto habían servido de po­ co á los fines de su instituto. Con noticia de hallarse D. Juan Martin {el Empecinado) en las inmediaciones de Aranda , le invitó y estimuló para que viniese á esta provincia ( mediante estar sin curso aquella car­ rera ) donde pedia …</t>
  </si>
  <si>
    <t>el Gor, Sancho</t>
  </si>
  <si>
    <t>Sancho el Gor</t>
  </si>
  <si>
    <t>iencia y las demas que le son acceso­ actas del concilio de León del año 958, ce­ rias ; y desde entonces él y sus sucesores lebrado en el reinado de D. Sancho el Gor­ se esmeraron en colmar de honores y de do, y en otros qne se celebraron en aquel bienes á los que por su aplicación sobresa­ mismo siglo y en el anterior , hai…</t>
  </si>
  <si>
    <t>el Grande, Napoleón</t>
  </si>
  <si>
    <t>Napoleón el Grande</t>
  </si>
  <si>
    <t>enevolencia y magnanimidad corso, que iba destinado á Mesina con un del mas augusto de los Soberanos , del ma­ rico cargamento. yor de los héroes, el Emperador Napoleón el Grande. = Firmado = El conde de Me­ ESPAÑA. són , gobernador general.” Vergara 24 de febrero. REINO DE ÑAPOLES. En los dias 16, 17 y 18 del corriente celeb…</t>
  </si>
  <si>
    <t>el HandaUy, Limers</t>
  </si>
  <si>
    <t>Limers el HandaUy</t>
  </si>
  <si>
    <t>inistro’ plenipotenciario cerca del príncipe regente del Brasil. El 27 del propio mes salió de Rio Janeiro para Buenos-Aires un hermar no del virei y general Limers* ’ El HandaUy de 64 cañones, procedente de Malta, ha arribado á Pórtsmout con un convoi de 40 velas: este navio es el mismo en que cayó al pa­ sar los Dardanelos …</t>
  </si>
  <si>
    <t>el Pttcrsburgo, Poniatowski y</t>
  </si>
  <si>
    <t>Poniatowski y el Pttcrsburgo</t>
  </si>
  <si>
    <t>Nóm. 43 4. 104* GAZETA DE MADRID DEL LUNES 21 DE AGOSTO DE 1809. RUSIA. He aquí las condiciones de la capitulación ajustada entre el príncipe Poniatowski y el Pttcrsburgo 77 de julio. general austríaco Mohr: El Emperador ha ido en persona á vi­ 1. a ,,Las tropas austríacas evacuarán la sitar las fortificaciones establecidas á…</t>
  </si>
  <si>
    <t>el Reí, Juan An</t>
  </si>
  <si>
    <t>Juan An el Reí</t>
  </si>
  <si>
    <t>* ESPAÑA. duos de ella á los miembros del mismo con­ sejo D. Josef Ignacio Joven de Salas, Don Madrid xS de mayo. Manuel María Cambronera, D. Juan An­ El Reí (que Dios guarde) se trasladó el tonio Llórente y D. Estanislao de Lugo, domingo 14 del corriente á su real sirio de Por presidente de la sección de lo Interior Aranjuez…</t>
  </si>
  <si>
    <t>el REL, Pedro González</t>
  </si>
  <si>
    <t>Pedro González el REL</t>
  </si>
  <si>
    <t>abado extrangeros queda encargado de ¡a execu­ y construcción de instrumentos y máqui­ cion del presente decreto. = Firmado = YO nas para la moneda á D. Pedro González EL REL. = Por S. M. su ministro secreta­ de Sepúlveda ; por segundo grabador á rio de Estado Mariano Luis de Urquijo.” IX Mariano González de Sepúlveda ; por a…</t>
  </si>
  <si>
    <t>el Tajo, Sebastiáju</t>
  </si>
  <si>
    <t>Sebastiáju el Tajo</t>
  </si>
  <si>
    <t>Torrero; han cogido i©? prisioneros, y han cercado enteramente la ciudad. Los minadores han comenzado las obras. En Extremadura pasó la división del general Sebastiáju el Tajo el dia 24 de Diciembre por el puente del Arzobispo'', y atacó los restos del exército de Extremadura. Solo un araque del 28.0 regimiento de infantería …</t>
  </si>
  <si>
    <t>el Teniente, Marques de Milpica</t>
  </si>
  <si>
    <t>Marques de Milpica el Teniente</t>
  </si>
  <si>
    <t>Brigadier D. Tomás O Dosoja , el Coronel Marques de Milpica ' el Teniente Coronel IJ. Juan de la Cuesta , el Capítan D. Josef de la Cuesta , -y el Teniente D. Ildefonso Nie­ to , no cesaron de llevar ordenes á quantos puntos fue pre­ ciso con la mayor bizarría, denuedo, y s</t>
  </si>
  <si>
    <t>Elake, Joaquín</t>
  </si>
  <si>
    <t>Joaquín Elake</t>
  </si>
  <si>
    <t>las grandes privaciones del benemérito ve­ cindario de esta ciudad, que se consuela con la esperanza dé;que las tropas conducidas por'el Exento. Sr„ D. Joaquín Elake harán, levantar el sitio. La plaza sé defiende con igual heroísmo en medio de tener dos brechas abiertas , y de estar cerrada otra vez su comunicación con los pu…</t>
  </si>
  <si>
    <t>Elasti, Andrés</t>
  </si>
  <si>
    <t>Andrés Elasti</t>
  </si>
  <si>
    <t>Bea. — D. Cárlos Bancide. — Doña Ra­ mona Cabillas. — D. José Bes. — D. Antonio Oliveros. — Doña Jo­ sefa Luna. -- El conde de Cíavijo.— La muger de D. Andrés Elasti. — Francisco Talayera — D. Juan Pedro Delgado y sus dos hi­ jos. — D. Rafael Delgado. — D. Vicente Delgado. D. Manuel González Montaos. — D. Vicente Perez Cañiza…</t>
  </si>
  <si>
    <t>Elincheta, José</t>
  </si>
  <si>
    <t>José Elincheta</t>
  </si>
  <si>
    <t>525 D. Cecilio Odofífclo, decano de In de Goadatnxara; para la re-, guita á D. José Elincheta, asesor del gobierno (!e ia Habana: pa­ ra esta asesoría á D. Leonardo dei Monte, que lo es del de Maracaybo, concediéndole honores de la audiencia de Coba : y para la asesoría de Maracaybo</t>
  </si>
  <si>
    <t>Elisa</t>
  </si>
  <si>
    <t>Gaceta de Madrid n.º 84</t>
  </si>
  <si>
    <t>s, lle%rados de su amor á la patria y del P ir otro decreto dado en el mismo dia, mejor servicio del Rei. Tales son las peti­ S. M. ha conferido á la princesa Elisa, su au­ ciones hechas en las cortes de Madrid de gusta hermana . princesa de Leca y de Piom- los años 1571 y 15 73 Rei Felipe 11; bino, el gobernó general de los …</t>
  </si>
  <si>
    <t>Elizalde, Fermín</t>
  </si>
  <si>
    <t>Fermín Elizalde</t>
  </si>
  <si>
    <t>rancisco de Paula Camilla una en 650 ; D. Marcelo 'Amaya 2 en 10 ; D. Francisco Ximenez una en 850. — De Cádiz, la real aduana ocho mulos en 13.300 ; D. Fermín Elizalde2 en 5?-; Don Miguel Lobo uno en 1800; D. Ceferino Rodríguez 3 en 130; la viuda dé Retortillo 4 en 170; la condesa de Sarria 16.100; el conde de las Cinco-Torr…</t>
  </si>
  <si>
    <t>Elorduy, Ventura</t>
  </si>
  <si>
    <t>Ventura Elorduy</t>
  </si>
  <si>
    <t>uena.— Condado de Plasencia.— Baronía de' Gurrea.— Marques de Dosaguas.— Marques de Sta. Coloma.— D. Ma­ nuel Ulzurrun de Asan za, Sr. de Conduero. — D. Ventura Elorduy. — D. Felipe Porte. — D. Felipe Arias. — D. Juan Casaus. — D. José Ponte.— D. Mariano Olaso.—D. Juan Mallada. — D. Mi­ guel Porte. — D. Jacinto Garisa. — D. B…</t>
  </si>
  <si>
    <t>Elzaurdi, Manuel Antonio</t>
  </si>
  <si>
    <t>Manuel Antonio Elzaurdi</t>
  </si>
  <si>
    <t>. ...... . D. Cándido Montero- de la Concha. Ciudad-Rodrigo. . . . D. Antonio- López. Córdoba. ....... Señores Barcia r padre é hijo. Coruña. ....... D. Manuel Antonio Elzaurdi. Cuenca. . ...... Señores viuda de Escolar,. Noriega é hijo. Granada......... .. D. Francisco Unzaga ó el que lo repre­ sente. Jaén...................…</t>
  </si>
  <si>
    <t>Embaxador, Andreossi</t>
  </si>
  <si>
    <t>Andreossi Embaxador</t>
  </si>
  <si>
    <t>acción en Bavíera cuyas resultas han si lo ventajosas á las armas austríacas.—Parece que tina división dtl exército francés ha entrado en. Dresde.—El General Andreossi Embaxador de Francia ha salido de Viena para París por seis semanas, según los papeles franceses: y al mismo tiempo el Gobierno Austríaco ha enviado á Trieste …</t>
  </si>
  <si>
    <t>Emperatriz, Constan</t>
  </si>
  <si>
    <t>Constan Emperatriz</t>
  </si>
  <si>
    <t>berberiscos. Cerca de 40© hombres de tro­ Badén; los príncipes prusianos Guillelmo pas estaban formados en la carrera. S. M. la y Augusto con el gran duque Constan­ Emperatriz madre y la Emperatriz reinante tino. Luego seguían los generales y todas salieron á recibir al Rei y Reina á la puerta las autoridades civiles y milita…</t>
  </si>
  <si>
    <t>En, Angel Macha</t>
  </si>
  <si>
    <t>Angel Macha En</t>
  </si>
  <si>
    <t>Gaceta de Madrid n.º 97</t>
  </si>
  <si>
    <t>IO FRANCES. de las resultas si lo tuvieren á bien , se po­ ne á la letra la relación del señor Hernán­ Parts 2 3. de marzo. dez , según los partes de D. Angel Macha­ En un diario de Milán , después de ha­ do , ayudante del colegio , que es como cerse algunas reflexiones mui juiciosas so­ sigue: bre la política insensata del A…</t>
  </si>
  <si>
    <t>En, Isabel Pacheco</t>
  </si>
  <si>
    <t>Isabel Pacheco En</t>
  </si>
  <si>
    <t>lanie nto inserto edificada en la cálle de^ntiago ,~ñúm. 25 ,'manz. '417, en dicho real decreto de 18 de agosto último. perteneciente á la memoria de Doña Isabel Pacheco En cumplimiento del real decreto de 18 de agosto de Alesa, al cargo del coflyg»&amp; jle icarios.falcad.»;. Jle;i8&amp;§, y £4 ylrtudidejp.&lt;ttíidencia del Sr. D. Ped…</t>
  </si>
  <si>
    <t>En, Josef</t>
  </si>
  <si>
    <t>Josef En</t>
  </si>
  <si>
    <t>por motivo grave ni el señor de Bebicoff á cumplimentar á S. M. leve, les caballeros seminarista mayor Don la Reina. Manuel Fernandez; gefes de sala D. Josef En el mismo dia tuvo la honra de ser Martínez, D. Josef Ramón Fernandez y presentado á SS. MM. S. A. S. el principe D. Manuel Abad; gefe de trozo D. Pa­ de Hesse-Darmsta…</t>
  </si>
  <si>
    <t>En, Manuel</t>
  </si>
  <si>
    <t>Manuel En</t>
  </si>
  <si>
    <t>1286</t>
  </si>
  <si>
    <t>esultados. cuelas pías de S. Antonio de esta capital, quedan nombrados : director D. Manuel Jo­ Niza 24 de setiembre. sef Narganes de Posada; regente D. Manuel En virtud de un decreto del prefecto Pascual Hernández; directores de sala Don del departamento de los Alpes marítimos Manuel María Tofiño, ex-religioso de San se form…</t>
  </si>
  <si>
    <t>Encabo, Juan Antonio</t>
  </si>
  <si>
    <t>Juan Antonio Encabo</t>
  </si>
  <si>
    <t>a Cam­ Policía general, de las prisiones execuradas pó , presbítero y capellán de la villa de Sa- con arreglo al artículo T34 del título 13, hagun: á D. Juan Antonio Encabo, canóni­ quando las personas presas no han sido puestas en libertad, ó entregadas á dispo­ go de la colegiata de Soria, para una ca— sición de los tribuna…</t>
  </si>
  <si>
    <t>Engelbrechten</t>
  </si>
  <si>
    <t>lmo , y pasa á Fran­ hermosa gendarmería á caballo de la guar­ cia para tratar del cange de prisioneros. dia imperial francesa; viene directamente El coronel Engelbrechten va á Kocnigs- de Schoembrunn , y va á apostarse en el ca­ berg para restablecer las relaciones amiga­ mino de Strasburgo para escoltar á S. M. bles entre l…</t>
  </si>
  <si>
    <t>Engenio</t>
  </si>
  <si>
    <t>e batidos los enemigos, y se les hicieron 900 llevan las provisiones , los ganados y lós ca­ prisioneros. ballos. El armamento de todos los depar­ El príncipe Engenio se halla en el cen­ tamentos se efectúa con rapidez. tro de la Hungría con un cuerpo crecido El archiduque Fernando en contraven­ de tropas. ción del tratado qu…</t>
  </si>
  <si>
    <t>Enriquez, Francisco</t>
  </si>
  <si>
    <t>Francisco Enriquez</t>
  </si>
  <si>
    <t>el conde de Olíate 7 ; la duquesa de Abrantes 6 ; la marquesa de Camarasa 7; la duquesa de Osuna 10 ; la duquesa viuda del Infantado 2 y una galera ; D. Francisco Enriquez 2 ; D. José Chamorro 2 ; y Don Francisco Benet 2. — El teniente general príncipe de Monforte ha entregado también • 4 muías de donativo gratuito para el se…</t>
  </si>
  <si>
    <t>Entrena, Diego</t>
  </si>
  <si>
    <t>Diego Entrena</t>
  </si>
  <si>
    <t>r la gran zanja intermedia entre aquella y los enemigos no Se pudo venir á las manos, la artillería de la división de mi cargó al mandó del ca­ pitán D. Diego Entrena, y del teniente D. Pedro Ladrón de Guevara, avan­ zó con la inglesa é hizo considerable daño al enemigo por la mañana, flan­ queando una de sus báterias , cuyo …</t>
  </si>
  <si>
    <t>Eóurea, Josef</t>
  </si>
  <si>
    <t>Josef Eóurea</t>
  </si>
  <si>
    <t>asterio de S. Ildefonso: 35 del marques de Villagarcía: 170-del mayorazgo de los Monidas: un real y ma­ ravedises de IX Josef de Olavarría: 33 rs. de D. Josef Eóurea: 8 del cabildo de S. Cosme: 2q del preboste y capellanes del numero: 556 del hospital de S. Juan; y 55 rs. de los herederos de Juan Carrera. Y 21 casas en el cas…</t>
  </si>
  <si>
    <t>Eournier, FraocHcp</t>
  </si>
  <si>
    <t>FraocHcp Eournier</t>
  </si>
  <si>
    <t>de esta ciudad.- . -¿ cente Lariz ceniente del primer esquádron d«l regimiento de caballería ligera-i.f de . , , ^Ambires\3Q desígante. ^ cazada^ 3 á D. FraocHcp Eournier capíSegún todas Jas apariencias Jos -ingleses tan de caballería de línea ; á D. PedroiDomi* van :í retirarse;- EL uúmerQvde sus buque* - bideaox.; teniente …</t>
  </si>
  <si>
    <t>Eranfciscb'fl</t>
  </si>
  <si>
    <t>Níim. 50. GAZETA DEL GOBIERNO’ DEL SABADO 25 DE NOVIEMBRE DE 1.809 NOTICIAS DE ESPAÑA. Lean 23 de &lt;¡cfy.(bre. D. Eranfciscb'fl^r,Iísvíá ,-''éofouel :Sel'regi­ miento infantería dé línea de CaVtHlaq Ira.' partícipabcf ái: briga­ dier D. Juan Diaz Borlier crin fecha de 2f dé! Úriítiénté; que ha­ biendo llegado con su r</t>
  </si>
  <si>
    <t>Eraser</t>
  </si>
  <si>
    <t>227</t>
  </si>
  <si>
    <t>dificultad de esta navegación , descuidó aquel punto, el único no obstante en que podia hacerse el desembarco por ra­ zón del viento. La división del general Eraser fué destacada in­ mediatamente sobre la izquierda contra el fuerte de Haak y la ciudad de Vere. El fuerte fué abandonado por el enemigo ; pero Vere, que se hallab…</t>
  </si>
  <si>
    <t>Erhard</t>
  </si>
  <si>
    <t>e 1810. autor del antiguo código de Baviera esta­ Queda adoptada provisionalmente la ba penetrado del verdadero espíritu de la traducción alemana del profesor Erhard, de jurisprudencia romana. Las leyes del Aus­ Leipsick. tria abrevian la inúril lentitud del modo 8.® Nos reservamos el derecho de man­ de enjuiciar. Pero entre …</t>
  </si>
  <si>
    <t>Erikson</t>
  </si>
  <si>
    <t>r Roukalai, Javala y Pihafoki sobre Brahestadt; la del centro^ mandada por el general Uschakow, marchaba por Meryarvi sobre Wihand'i, mientras que el general Erikson dirigía la colima derecha sobre Frantsilla. Las tropas suecas, Inferiores en número, abandonaron sus posiciones sin pelear. Entre tanto el cuerpo de exército del…</t>
  </si>
  <si>
    <t>Ernouf</t>
  </si>
  <si>
    <t>que manifestaron en la defensa de esta Isla el 22. de Febrero de 1805. El 26. del pasado se apoderó el capitán Mendis, co* mandante de la Aretusa del general Ernouf, barco; corsario de 16. cañones y 58. hombres de tripulación, al qué en­ contró al N. E. de Alderney. Le fué muy difícil apoderarse de él, por la cercanía de la c…</t>
  </si>
  <si>
    <t>Errazquin, Blas de Torres</t>
  </si>
  <si>
    <t>Blas de Torres Errazquin</t>
  </si>
  <si>
    <t>, cuyo valor al contado Con fecha de 3 de abril próximo pasado se remitie­ es de 250800 rs., y al fiado 376200; y la 3.a sin nú­ ron desde Madrid por D. Blas de Torres Errazquin á mero , de la propia manzana, cuyo valor pagado al con­ D. Manuel Mendiola, residente en la villa de Deva, tado es de 110264 rs., y al fiado 165398.…</t>
  </si>
  <si>
    <t>Escala, Joaquín Ignacio</t>
  </si>
  <si>
    <t>Joaquín Ignacio Escala</t>
  </si>
  <si>
    <t>, D. Pedro María Ric, presidente, D. Juan de Butlher, el duque de¥:íllahermosa, el marques deiFuerite^ Olivar, él barón de Purroi, Mariano Domínguez, D. Joaquín Ignacio Escala, Miguel^Doíz, secretario, D. Mariano Conesa, D. Manuel Forces, se ha presentado el 20 de febrero, á las 4 de. la tarde, en el quartel general de S. E. …</t>
  </si>
  <si>
    <t>Escaño, Antonio</t>
  </si>
  <si>
    <t>Antonio Escaño</t>
  </si>
  <si>
    <t>con fecha de 8 del corriente , nombrar Virey de Nueva-España ai Eacmo. Sr. D, Antonio Come i , y de las Provincias del Rio de la Plata al Sx:mo. Sr* D. Antonio Escaño ¿sus contestaciones han sido las siguientes* \ ^ Excmo* Sr* = He recibido el papel de ayer , en que por as consideraciones que V. E* uia expresa se ha servido S…</t>
  </si>
  <si>
    <t>SEVILLA. , Informe de D. Rafael Lobo , capitán de fragata de la Real . armada al Exorno» Sr. D. Antonio Escaño^ Secretario de Es­ tado y del despacho universal de Marina• ^Excmo. Señor : en cumplimiento á la orden de V. E* para informarle de las noticias que he adquirido sobre la esquadra francesa, salida de Brest durante mi …</t>
  </si>
  <si>
    <t>Escobar, Juan</t>
  </si>
  <si>
    <t>Juan Escobar</t>
  </si>
  <si>
    <t>ra , 10 rls» para un par de medias. D. Pedro R uiz, 20 rls* para dos pares de medias» D. Marcos U*loa , 40 rls. para dos mochilas y un par de medías» D. Juan Escobar, 40 rls. para dos mochilas y un par de medias» P. Josef Acosta , roo rls. para 6 mochilas y unas medias» D. Josef Antonio Amigo , 10 rls. para un par de medias. …</t>
  </si>
  <si>
    <t>Escobar, María Manuela</t>
  </si>
  <si>
    <t>María Manuela Escobar</t>
  </si>
  <si>
    <t>a Josefa Alvarado , 30 rls. para dos mochila?. D. Lorenzo Paez, 20 rls. para dos pares de medias. D. Aidres Gutiérrez, 10 rls. para un par de medias. Doña María Manuela Escobar, 1 o rls. para un par de medias* D. Benito Alvarado , 20 rls. para dos pares de inedias* D. Sebastian de Lora, 10 rls. para unas medias* -D. Juan Ruiz…</t>
  </si>
  <si>
    <t>Escobedo, Alonso</t>
  </si>
  <si>
    <t>Alonso Escobedo</t>
  </si>
  <si>
    <t>usa que defendemos , y lo executaron con D. Miguel Marracó , presbítero y racionero del Pilar, sugeto de probidad y mérito, con el teniente coro­ nel D. Alonso Escobedo , con D. Juan Rafael Marracó, mugeres y niños de estos dos últimos , únicamente porque dirigian y mandaban á aquellos naturales que defendían la justa causa; …</t>
  </si>
  <si>
    <t>Escoiquiz, Juan</t>
  </si>
  <si>
    <t>Juan Escoiquiz</t>
  </si>
  <si>
    <t>ergones, 1515 : car­ tucheras , 678 : arrobas de pelote y cerda , 143 ; sombreros , 14: alpargates, 1200; y ponchos , 64,. Representación escrita por D. Juan Escoiquiz : acusación y representación del ñscal Viegas : defensa de Escoiquiz por D. Juai de Madrid : piezas todas del proceso del Escorial, reunidas el un quaderno en …</t>
  </si>
  <si>
    <t>Escol</t>
  </si>
  <si>
    <t>.Lerio BracamonteH D; Gaspar) , jaez de la de Madrid. ,: . j’-tnta de negocios contv-nciieos. Garcl (D. Eugenio) , cirujano del regjipien-! Lirran ( D. Escol i .tico ). teniente del re— to Reai Extranjero. gimiento núm. r.0,:br-gada irandesa. Garrig* ( D. Josef) , alcalde de casa y corre* Lomb-rdi ( D. Francisco), oficial de …</t>
  </si>
  <si>
    <t>Escolar, Luis</t>
  </si>
  <si>
    <t>Luis Escolar</t>
  </si>
  <si>
    <t>Don José Hidalgo. 2.000 D. Francisco Sales Quintero. 50.000 El Sr. Marques de Santa Fe de Guardiola. 10.000 El capitán D. Juan Francisco Gallo. 3 ooo D. Luis Escolar. 8.000 D. José Manuel Balbontin. 2.000 D. Juan Antonio Estanillo. 2.000 D. José Bernabé lzita. 16.000 D. Pedro Marcos Gutiérrez. 8.000 D, Francisco Almirante. 10…</t>
  </si>
  <si>
    <t>Escolástico</t>
  </si>
  <si>
    <t>al. — Lebre, xefe de batallón de volteadores de la guardia real. — Lerin Bracamonte (D. Gaspar) juez de la junta de negocios contenciosos. — Litran ( D. Escolástico) teniente del regimiento-núm. i brigada^ irlandesa. — Lombardi (D. Francisco) oficial dé ordenanza. — Lu­ go ( D. Estanislao) consejero de Estado. — Lucotte, gene…</t>
  </si>
  <si>
    <t>Escudero, Josef</t>
  </si>
  <si>
    <t>Josef Escudero</t>
  </si>
  <si>
    <t>gorio Rodríguez =D, Manuel Zappino. zzD. Tomas O-Doneju. Marqués de Zayas. = D. Vicente Igle­ sias. = D. Rafael Manglano. A Brigadieres los Coroneles D. Josef Escudero.” D. Msnu?l de ííurrigíiray.rrrD.Joref Navarro Falcon. =■ Marqués de Malpica.zz D. Josef de la Cruz. = D. Josef de Zayas. Grados de Coronel á los Tenientes Cor…</t>
  </si>
  <si>
    <t>Esmeras, Diego Antonio</t>
  </si>
  <si>
    <t>Diego Antonio Esmeras</t>
  </si>
  <si>
    <t>n Justo García; D. Josef Espailiar y í). Tomas González , universidad. Diputación de Benavente. D. Josef Fernandez Solis; D. Guillermo Gpmez Maestro; D. Diego Antonio Esmeras; D. Antonio López Nuñez y D. Miguel Alonso Conejo. Diputación de S*. Ildefonso. D. Manuel Matías de Jáuregui; D. Ventura María Sanz; D. Francisco Paula …</t>
  </si>
  <si>
    <t>Espagne</t>
  </si>
  <si>
    <t>qua— isla pequeña , y de esta í la isla de In-derdros, y se apoderó de 14 piezas de cañón. Lovan. Esta avenida periódica, que no se Una bala mató al general Espagne pelean­ verifica regularmente sino i mediados de do gloriosamente i la cabeza de las tropas, junio, qnando se derriten las nieves, se oficial valiente , bizarro y…</t>
  </si>
  <si>
    <t>Espailiar, Josef</t>
  </si>
  <si>
    <t>Josef Espailiar</t>
  </si>
  <si>
    <t>ercio. D. Antonio Roldan; D. Lorenzo Piñuela; D. Juan Ignacio Perez,y D. Vicente Hernández Pé­ rez, cabildo. D. Josef Mintegui; D. Juan Justo García; D. Josef Espailiar y í). Tomas González , universidad. Diputación de Benavente. D. Josef Fernandez Solis; D. Guillermo Gpmez Maestro; D. Diego Antonio Esmeras; D. Antonio López …</t>
  </si>
  <si>
    <t>ESPAÑA, Fe</t>
  </si>
  <si>
    <t>Fe ESPAÑA</t>
  </si>
  <si>
    <t>eron al Sr. D. Feli­ mentos de la Toscana, con el título de Gran pe ni en las cortes de Madrid , y DrinciDuquesa, pálmente las que se hicieron al Sr. D. Fe­ ESPAÑA. lipe iv en las cortes de 1632, 1636 y 1638, y las que pusieron repetidas veces Madrid 2 4 de marzo. en manos del mismo Monarca los diputados Don Josef Napoleón po…</t>
  </si>
  <si>
    <t>ESPAÑA, Gerónimo Napo</t>
  </si>
  <si>
    <t>Gerónimo Napo ESPAÑA</t>
  </si>
  <si>
    <t>zquierda de los Capuchinos. natural y legítima del príncipe Luis Napo­ ( Se continuará.) león , á los descendientes varones naturales y legítimos del príncipe Gerónimo Napo­ ESPAÑA. león , Rei de Westfalia. J En defecto de estos , al hijo primogé­ Madrid 28 de marzo. nito , nacido antes de la muerte del último Rei, de la hija…</t>
  </si>
  <si>
    <t>Espejo, Josef</t>
  </si>
  <si>
    <t>Josef Espejo</t>
  </si>
  <si>
    <t>r de medias. D. Diego Olivera, 12 rs. para un sombrero. D. Josef Quadrado , 10 rls. para un par de medias. D. Juan Rrenes, 30 rls. para dos mochilas. D. Josef Espejo , 10 rls- para un par de medías. D. Juan Mercado , 30 rls. para dos mochilas. D. Josef Riancho , 20 rls. para dos pares de medía?. Doña María Rodríguez , 70 rls.…</t>
  </si>
  <si>
    <t>Esperanza, Manuel</t>
  </si>
  <si>
    <t>Manuel Esperanza</t>
  </si>
  <si>
    <t>iástico. Por la universidad Dr. D. Manuel Carralero, rector de la real universidad, Dr. D. Francis­ co^ Mariano Lebrón, Di”. D. Bernardo Merino y Dr. D. Manuel Esperanza. ' Por rentas dirímale* D.‘ Francisco Paula Sánchez Roldan. Por el comercio D. Manuel Urrutia y D. Josef Calderón, Per su tribunal de montes D. ftlartin de A…</t>
  </si>
  <si>
    <t>Esperaré</t>
  </si>
  <si>
    <t>a y alguno de los principales xefes del Clero. Tengo el honor ’&amp;c. — Kingennes ~ Barón de Pluntu , comandante' general de ingenieros del exército. P. D. Esperaré vuestra contestación hasta las diez?9 Contestación. íf Excmo. Sr. Nada tengo que tratar con V. E. Conozco sobradamente sus intenciones j y para lo sucesivo sepa V. E…</t>
  </si>
  <si>
    <t>Espert</t>
  </si>
  <si>
    <t>postadas vación , destinado á cubrir ei sitio; fue1 tropas en las alturas detras de una gran atacado el 30 de agosto por nnas tropas rambla. Mandé al general Espert que fuese • que se dirigieron por la parte de Bruñóla á pasar el arroyo con el batallón del regi­ contra la división Souham ; y aunque fue miento 42.®, entre Rieu…</t>
  </si>
  <si>
    <t>Espi, Eulogio</t>
  </si>
  <si>
    <t>Eulogio Espi</t>
  </si>
  <si>
    <t>D. Vicente Laborda. — D. Antonio Vicente.— D. Vicente Puchol. — D. Julián Navarrete. — D. Pedro Yoldi. — D, José Unceta. — D. Fermín de Lusarreta. ~ D. Eulogio Espi­ no.— D. Francisco Barraneche. — D. Cipriano Iturraldé.— D. To­ mas Yoldi.—D. José Sánchez. — D. Luis Manuel de Benavides. — D. Lorenzo de Sobrecosas/ — D. Manuel…</t>
  </si>
  <si>
    <t>Espina, Remigio</t>
  </si>
  <si>
    <t>Remigio Espina</t>
  </si>
  <si>
    <t>avega , del cura de Riocorvo, si todos los súbditos del imperio romano, de Bustamante el oficial de marina, y de siguiendo el exemp’o de su Soberano, D. Remigio Espina. loas horrores y mor­ abrazaron el cristianismo. Este príncipe tandad son tales que aun hasta algunos po­ concedió á los católicos el exercicio libre cos fanát…</t>
  </si>
  <si>
    <t>Espinosa, Antonio</t>
  </si>
  <si>
    <t>Antonio Espinosa</t>
  </si>
  <si>
    <t>nuel Perez, 20 rls. para dos pares de medias. D. Josef Martioejz , 10 rís. para un par de medias. D. Romualdo Ruiz, 20 rls. para dos pares de medias. D. Antonio Espinosa, 10 rls. para un par de medias. D. Vicente Gonza’ez, 20 rls. para dos pares de medias. Doña Gertrudis Redondo , 30 rls. para dos mochilas. D. Manuel Lino Fer…</t>
  </si>
  <si>
    <t>. Mro. Fr. Antonio de Castro , Provincial de Car­ melitas calzados , por una vez , 200 rs. = D. Jcsef Vázquez, y su hijo D. Gabriel, ídem , too rs. = D. Antonio Espinosa, Contador honorario de Exército, y Superintendente substituto de la Rea/ Fábrica del Tabaco, por ídem, 300 rs. =r D. Fran­ cisco Domí nguez é hijo, mensuaime…</t>
  </si>
  <si>
    <t>109</t>
  </si>
  <si>
    <t>pañía de granaderos de Ronda , que- recobró un cañón tomado ya por los enemigos , y lo dexó clavado : todo es­ to mandado por el teniente de la misma D. Antonio Espinosa. La voladura de unos carros de municiones ocurrida sobre la derecha de esta división , espantó la poca caballería que cubria su reta­ guardia : de aqui resul…</t>
  </si>
  <si>
    <t>Espinosa, Carlos</t>
  </si>
  <si>
    <t>Carlos Espinosa</t>
  </si>
  <si>
    <t>mortero á dicho casti­ llo para-, limpiar las alturas. , En esta maniobra manifesta­ ron su , mucha pericia y actividad el comándente de arti­ llería D. Carlos Espinosa y su segundo; y el comodoro in­ gles- se interesó ■ mucho - en ella,. prestando toda especie de auxilios para su mas pronta execudon: se introduxéroa en muy. …</t>
  </si>
  <si>
    <t>Espinosa, Manuel Sixto</t>
  </si>
  <si>
    <t>Manuel Sixto Espinosa</t>
  </si>
  <si>
    <t>se exponían á la plazo , y aun en el intervalo preciso de la junta general varios puntos que el Exctao. convocación ha querido que sus intereses Sr. D. Manuel Sixto Espinosa propuso á la se administrasen por otros individuos que se de gobierno , dirigidos todos ellos á la pros­ hallaban ya revestidos de su confianza. peridad …</t>
  </si>
  <si>
    <t>Gaceta de Madrid n.º 295</t>
  </si>
  <si>
    <t>a que forme una por el juez de la causa, en virtud de sn comisión presidida por el consejero de Es­ propia jurisdicción, guardando en la extrac­ tado D. Manuel Sixto Espinosa, y com­ ción el respeto y la veneración debida á la puesta del director general de contribucio­ santidad del lugar. nes D. Francisco Gallardo, el contad…</t>
  </si>
  <si>
    <t>Espronceda, Juan</t>
  </si>
  <si>
    <t>Juan Espronceda</t>
  </si>
  <si>
    <t>osef Manso, Coronel del re­ gimiento de Farnesio, D. Pedro Gamez , D. Manuel Rizo, el Príncipe de Anglona , D. Manuel Freyre , el Conde, de Bocarmé , D. Juan Espronceda , D. Rodrigo Machuca, y el Capitán Cavaleri , Coroneles , aquellos de los regimien­ tos de España, Sagunto , Pavía, Voluntarios de Madrid, ReyJia , Borbon y P…</t>
  </si>
  <si>
    <t>Esquerra, Francisco</t>
  </si>
  <si>
    <t>Francisco Esquerra</t>
  </si>
  <si>
    <t>216 Mientras la serie de acciones que llevo referidas', la artillería manda­ da por los coroneles X). Manuel del Rio y D. Francisco Esquerra, el te­ niente coronel D. Antonio Moñsalve , oficiales del mismo cuerpo, y D. Antonio Solís, teniente de navio, jugó con el mayor acierto sin la me­ nor intermisión, y constante en su posic</t>
  </si>
  <si>
    <t>Esquiu, Miguel Joaquia</t>
  </si>
  <si>
    <t>Miguel Joaquia Esquiu</t>
  </si>
  <si>
    <t>6334 pesos fuertes. * ________ El 26 de noviembre de 1808 remitió D. Francisco Perez y Alonso , de Madrid , 5 vales reales de 200 pesos , endosados á D. Miguel Joaquia Esquiu , de Zaragoza, que por las ocurrencias desgraciadas de aquellos paises se han extraviado , sin haber te­ nido noticia de ello el interesado hasta 1.° de…</t>
  </si>
  <si>
    <t>Esquivel, José</t>
  </si>
  <si>
    <t>José Esquivel</t>
  </si>
  <si>
    <t>del imperial de Toledo : á D. Juan Montes , cadete de guardias de Corps : á D. José Maldonado , teniente del provincial de Salamanca , y al teniente D. José Esquivel , guardia de Corps. Al brigadier D. José García de Paredes, comandante general de Artillería , y á.D. José Boado , capitán del mismo real cuerpo. Al brigadier D.…</t>
  </si>
  <si>
    <t>Esta, Si</t>
  </si>
  <si>
    <t>Si Esta</t>
  </si>
  <si>
    <t>para una ca— sición de los tribunales, dentro de un mes nongía de la catedral de Patencia; y para de su prisión. la que dexa en la dicha colegiata á D. Si­ Esta junta se llamará junta senatoria món Diez, racionero de la misma iglesia. de libertad individual. art. xli. Todas las personas presas y constitución. Véanse las ¿azet…</t>
  </si>
  <si>
    <t>Estados-Unidos, Ce</t>
  </si>
  <si>
    <t>Ce Estados-Unidos</t>
  </si>
  <si>
    <t>ipotenciario de los Estados-Unidos, parativos para defenderse en las fronteras Mr. Schat, ministro plenipotenciario de los de Noruega, donde manda el general Ce- Estados-Unidos cerca de S. M. el Empe­ derstrow. En Wennersborg hai un exérci­ rador de Rusia. to de reserva mandado por el duque de Su- Por S. E. el conde de Wintzi…</t>
  </si>
  <si>
    <t>Estala, Pedro</t>
  </si>
  <si>
    <t>Pedro Estala</t>
  </si>
  <si>
    <t>El Imparctal, 6 Gazeta política y litera­ relación inmediata con nuestros intereses; ria : obra periódica. pero estos hechos no se presentarán desnu­ D. Pedro Estala, canónigo de la santa dos, sino acompañados de aquellas breves iglesia catedral de Toledo, y bibliotecario reflexiones 6 ilnstraciones que sean necesa­ de los es…</t>
  </si>
  <si>
    <t>Estala, Pedro María</t>
  </si>
  <si>
    <t>Pedro María Estala</t>
  </si>
  <si>
    <t>Nicolás de San Pedro, canónigo; IX Vicente Rodrigo de Mena, canó­ nigo ; D. Josef de Salcedo y Xaramillo, canónigo; D. Pablo Recio y Tcllo, canónigo; D. Pedro María Estala, canónigo. Por la ciudad de Toledo. El Sr. conde de Lerena; D. Manuel Bernardo Roldan; D. Julián Gon­ zález Saez; D. Gil Antonio Laguna; D. Diego María Gal…</t>
  </si>
  <si>
    <t>Estanillo, Juan Antonio</t>
  </si>
  <si>
    <t>Juan Antonio Estanillo</t>
  </si>
  <si>
    <t>.000 El Sr. Marques de Santa Fe de Guardiola. 10.000 El capitán D. Juan Francisco Gallo. 3 ooo D. Luis Escolar. 8.000 D. José Manuel Balbontin. 2.000 D. Juan Antonio Estanillo. 2.000 D. José Bernabé lzita. 16.000 D. Pedro Marcos Gutiérrez. 8.000 D, Francisco Almirante. 10.000 D. Juan Manuel Bustillos. 2.000 D. Manuel Diez Cor…</t>
  </si>
  <si>
    <t>Estanislao</t>
  </si>
  <si>
    <t>a; el á sediciones tan pérfidas como groseras; marques D. Ignacio Muzquiz, ex-embaxaabjurad un frenesí tan vano y ridículo; dor en la corte de París; D. Estanislao dé apreciad vuestra situación, que todos nues­ Lugo, del consejo de Indias-, y director de tros esfuerzos se dirigen á rebalizar el amor los estudios reales; D. Fr…</t>
  </si>
  <si>
    <t>ontenciosos. — Litran ( D. Escolástico) teniente del regimiento-núm. i brigada^ irlandesa. — Lombardi (D. Francisco) oficial dé ordenanza. — Lu­ go ( D. Estanislao) consejero de Estado. — Lucotte, general y primer mayordomo. — Llano (D. Martin) maestro de ceremojiias. — Llórente (D. Juan Antonio) consejero de Estado. — Llobet…</t>
  </si>
  <si>
    <t>Estas</t>
  </si>
  <si>
    <t>ontienda para el momento y sazón rio á las 3 de la tarde con una carta del en que pudiera ser sostenida con ventajas. Principe vice-condestable mayor general Estas disposiciones malignas se conocieron de! exército para S. A. S. el Príncipe ar— con motivo de la guerra contra la Prusia¿ chicanciller del imperio. Esta carta está…</t>
  </si>
  <si>
    <t>Este</t>
  </si>
  <si>
    <t>Canals, á D. Joaquin Tarin , vicario general de aquella diócesi : para la de Canarias, vacante por fallecimiento de D. Femando Hernández Zumbado , á D. Este­ ban Fernandez Salazar , racionero de la misma : para la ración que este dexa , á D. Domingo Miguel de la Cueva ; y para otra ración vacante en aquella catedral por muert…</t>
  </si>
  <si>
    <t>Estéban</t>
  </si>
  <si>
    <t>. Rebonl (D. Carlos), oficial en el ministe­ Bossier (D. Luis), mariscal de logis de ca­ rio de Hacienda. ballos ligeros de la guardia real. Rossicr (D. Estéban ), cabalo ligero de la Boulangcr ( D- Nicolás), caballo ligero de guardia real. la guardia real. Ruiz Pazuengos ( D. Juan), corregidor de Colombiere (D. Luis de la ) …</t>
  </si>
  <si>
    <t>sco), capitán del pro­ St. Albín Durivoire........... comandante de pio regimiento. esqnadron. Kmdelan (D. Josef), capitan del regimien­ Sr. Jullien (D. Estéban ), capitán de gra­ to Josef Napoleón. naderos del regimiento infantería de lí­ Landaburu (D. Agustín), coronel de ca­ nea núm. 2.° ballería. Stoffel ( D. Agustín) , g…</t>
  </si>
  <si>
    <t>Esterhaci</t>
  </si>
  <si>
    <t>; el conde deTolstoi, ídem; el príucipe SchakoíFskoi, general mayor. Por S. E. el conde de Metternich, embaxador de S. M. el Emperador de Austria, El príncipe Esterhaci, agregado á la embaxada,y gentilhombre del Emperador; el conde de Paar, mayor , y gentilhombre de S.. M.; el conde de Ugarte, consejero en el gobierno de Mora…</t>
  </si>
  <si>
    <t>Esterhazi, Pablo</t>
  </si>
  <si>
    <t>Pablo Esterhazi</t>
  </si>
  <si>
    <t>1523</t>
  </si>
  <si>
    <t>s siguien­ bre. Hasta después de su partida no se per­ tes : al conde de S. Julián para Petersburmitió el comercio á los sobrecargos ingleses, go; al príncipe Pablo Esterhazi para Mu­ los quales probaron su inocencia, aseguran­ nich ; al conde Zichi para Dresde * y al do que no tenían absolutamente noticia nin­ conde Apponi p…</t>
  </si>
  <si>
    <t>Esteves, Plácido</t>
  </si>
  <si>
    <t>Plácido Esteves</t>
  </si>
  <si>
    <t>Josef .r.teves , 10 rís. para un par de media?. D. Juan Trigo , 10 rls. para un par de meáiss. P. Angel i ominguez., 10 rl?. para un par de medias.. D. Plácido Esteves , 10 rls. para uri par de medias*. P. Juan Otero 10 rls.-para un par de medias». D. Francisco Retano, 10 rls* para un par de medias.*, D». Manuel Cabrera ^ 20 …</t>
  </si>
  <si>
    <t>Estevez, Luis</t>
  </si>
  <si>
    <t>Luis Estevez</t>
  </si>
  <si>
    <t>ez, D. Cayetano Alonso , D. Mariano Santatíder, D. Simón Durango, D. Francisco Berzosa y D. Tomas Rodríguez. Por S. Basilio P. D. Ignacio Reyezo y P. D. Luis Estevez. Por los Agustinos recoletos Fr. Leonardo García y Fr. Josef Veloso.</t>
  </si>
  <si>
    <t>Estevts, Benito</t>
  </si>
  <si>
    <t>Benito Estevts</t>
  </si>
  <si>
    <t>ríguez , 60 ris. para quatro mochilas. P. Fabian Caehufeiro , 10 rls. para un par de medías. ID. Juan de la Cruz , 20 ris. para dos pares de medias.» D. Benito Estevts , 10 rls. para un semhrero. P. Josef .r.teves , 10 rís. para un par de media?. D. Juan Trigo , 10 rls. para un par de meáiss. P. Angel i ominguez., 10 rl?. par…</t>
  </si>
  <si>
    <t>Estrada, Barbara</t>
  </si>
  <si>
    <t>Barbara Estrada</t>
  </si>
  <si>
    <t>ango á la nación en general.zzcinco caxas de azúcar blanco con 90 arrobas y 9 li­ bras , y tres caxas de azúcar quebrado con 50 arrobas y 1 libra:“De Doña Barbara Estrada ; “tres caxas de azúcar blan­ co con 47 arrobas y 19 libras , y tres caxas ele quebrado con 49 arrobas y 7 Iibras.=De D. Tomás de la Cruz Muñoz. =2 sesenta …</t>
  </si>
  <si>
    <t>Estrada, Joaquín</t>
  </si>
  <si>
    <t>Joaquín Estrada</t>
  </si>
  <si>
    <t>que son el brigadier D. Antonio Her? uandój coronel del de infantería de Mallorca, y el teniente coronel D. Do­ mingo Bereaguel, su sargento mayor, á D. Joaquín Estrada* del de-VelezMaiaga, y á su teniente coronel el coronel D. Domingo de Sierra, por su actividad y zelo, y Con pafticiiliridád recomiendo á V. E. ál teniente co…</t>
  </si>
  <si>
    <t>Étschwítz</t>
  </si>
  <si>
    <t>Rei y el estado pierden ea ciones í las tropas saxoaas que estaa alli de él un general experimentado y Un fiel ser­ guarnición; vidor. : El teniente general Étschwítz distribu­ El euetpó de exército de Wurtemberg yó de parte de S. M. el Rei de Saxonia mu­ ha Salido de Neustadt, y el día 14 se acan­ chas cruces de S. Henríque …</t>
  </si>
  <si>
    <t>Eu, Juan</t>
  </si>
  <si>
    <t>Juan Eu</t>
  </si>
  <si>
    <t>nil por siT vecindario, 18083.-0. Antonio Montenegro, y D. Joséf Fernandez por sí, y en nombre del clero de la parroquia de Sta. Ana de Triana , 720.—D. Juan Eu­ genio de Calzadilla por los vecinos de su quartel con destino á las obras‘de fortificación del .puente^ioS^y.— D. Manuel María de Roxas', 24. —Total : 248939. rls. P…</t>
  </si>
  <si>
    <t>Eugenio</t>
  </si>
  <si>
    <t>*74 ' del príncipe Eugenio, dé la familia imperial y de nuestra augusta vireina, y al feliz alumbramiento de un hijo suyo, digno émulo de las virtudes del mas amado y querido de los príncipes. IMPERIO FRANCES. Parts.</t>
  </si>
  <si>
    <t>tarde. S. M. cientes á personas emigradas ó conventos el Emperador mandaba en persona el cen­ suprimidos, darán aviso de ello en esta cor­ tro con el príncipe Eugenio baxo sus órde­ te al director de bienes del estado , y en nes; el duque Davoust la derecha, y el las provincias á los intendentes ó justicias duque de Rívoli la…</t>
  </si>
  <si>
    <t>Gaceta de Madrid n.º 206</t>
  </si>
  <si>
    <t>hacer una pintura tan triste. Pero he­ ción, el uno, el del archiduque Juan , des­ mos conocido dértfasiado, y sobre todo he­ pués de haber cedido al príncipe Eugenio mos dado á conocer ya bastante á nuestros quatro grandes y ricas provincias, acaba de aliados el peligro de las ilusiones, para que dexar descubierta la Hungría…</t>
  </si>
  <si>
    <t>cuer­ Joan Francisco de Barcena, clérigo del lu­ pos del exército grande francés, acompañado gar de Cuzcurrutilla *. á D. Mariano Fer­ de S. A. I. el príncipe Eugenio. nandez Chicarro, canónigo regular de San Este príncipe ha comprado para el mu­ Isidro de León , para una canongía de la seo de Milán el precioso gabinete de Hi…</t>
  </si>
  <si>
    <t>_ . „ García de la Prada (D. Manac!) , regidor .Lerio BracamonteH D; Gaspar) , jaez de la de Madrid. ,: . j’-tnta de negocios contv-nciieos. Garcl (D. Eugenio) , cirujano del regjipien-! Lirran ( D. Escol i .tico ). teniente del re— to Reai Extranjero. gimiento núm. r.0,:br-gada irandesa. Garrig* ( D. Josef) , alcalde de casa…</t>
  </si>
  <si>
    <t>i , brigada irlandesa. — García Suelto (D. Tomás) médico dél exército de primera clase. — García de la Prada (D. Manuel) regidor de Madrid. — Gard ( D. Eugenio ) cirujano del regi­ miento real extrangero. — Garriga (D. José) comisionado ré-; gio en Cataluña. — Gayé, xefe de escuadrón de caballos ügé-</t>
  </si>
  <si>
    <t>Evah</t>
  </si>
  <si>
    <t>. Los daneses, que en el bían sido hechos prisioneros en Damgarcen asalto habian sido mandados por el mayor y en Tripree por la caballería de Schill. general Evah en persona , han perdido tam­ Viéndose Schill perseguido por mucho bién muchos oficiales, entre los que se cuen­ tiempo» y no pudieudo'ya retirarse» resol­ tan los …</t>
  </si>
  <si>
    <t>Evaris</t>
  </si>
  <si>
    <t>rillas.— D. Francisco Xavier Ochoa.—-D. Joaquin Tamayo. — D. José Compani. — Marques de la Romana.— Conde de Cimera. —; D. Eusebio Bardaxi y Azara. — D. Evaris­ to Perez de Castro.— D. Tadeo Francisco Calomarde.— D. Cris­ tóbal de Góngora. — D. Jacobo Parga. — D. Mateo de Mora y Lomas. — Conde de Vaide Paraiso. — Marques de O…</t>
  </si>
  <si>
    <t>Ewald</t>
  </si>
  <si>
    <t>Nóm. 241* to6^ GAZETA DE MADRID DEL LUNES 28 DE AGOSTO DE 1809. SUECIA. dio esquadron de caballería á las órdenes del general Ewald han pasado el Elba pot Estockolmo 18 de julio* cerca de Gluckstadt, y han ocupado á Cuxhaven. A su llegada los ingleses se han El último diario de nuestro exército retirado á sus buques sin dispa…</t>
  </si>
  <si>
    <t>rangeros de Austria, que se detendrá mui poco tiempo » á fin de ha llegado á Pr¿ga. ir quanto antes á su destino. Leipsick no de octubre. El teniente general Ewald, que se ha distinguido mucho en la toma de Stralsund» Ayer llegó aqui un correo enriado por ha sido nombrado comandante en gefe de S. Mx&gt; y traxo á SS. AA. RR. los…</t>
  </si>
  <si>
    <t>Ewalh</t>
  </si>
  <si>
    <t>toritki levanta nn regimiento á sus expensas, y el príncipe Zamoiski ha ofrecido levan­ DINAMARCA. tar dos. BA VIERA. Copenhague G de junio. El mayor general Ewalh , comandante Munich a de junto. de las tropas danesas que han batido i Schill Desde que los dos exércitos franceses eo Stralsuod, acaba de ser nombrado te­ de Alem…</t>
  </si>
  <si>
    <t>Exc, Gaspar Melchor de Jovellanos</t>
  </si>
  <si>
    <t>Gaspar Melchor de Jovellanos Exc</t>
  </si>
  <si>
    <t>rques de Astorga. Exc. Sr. D. Francisco Revolledo de Palafox Aragón.,.*, •••••*•»•••«• • { y Melci. ^»Exc. Sr. D. Lorenzo Calvo. Asturias... Exc. Sr, D. Gaspar Melchor de Jovellanos* ¿Exc.Sr. Marques de Campo Sagrado. Cataluña..... .*.......... «¿Exc. Sr. Marques del Villel.* *»Exc. Sr. Barón de Sabasona.</t>
  </si>
  <si>
    <t>Exc, Luis Funes y Salido</t>
  </si>
  <si>
    <t>Luis Funes y Salido Exc</t>
  </si>
  <si>
    <t>eñor D. Carlos .Atnatria. SECCION DE HACIENDA* Exc. Señor D. Félix Ovalle. Exc. Señor D. Lorenzo Calvo. Exc. Señor D. Sebastian de Jócano. Exc. Señor D. Luis Funes y Salido* Exc. Señor D. Miguel Balanza Exc. Señor D. Francisco de I *!a Castañedo,</t>
  </si>
  <si>
    <t>Exc, Miguel Balanza</t>
  </si>
  <si>
    <t>Miguel Balanza Exc</t>
  </si>
  <si>
    <t>E HACIENDA* Exc. Señor D. Félix Ovalle. Exc. Señor D. Lorenzo Calvo. Exc. Señor D. Sebastian de Jócano. Exc. Señor D. Luis Funes y Salido* Exc. Señor D. Miguel Balanza Exc. Señor D. Francisco de I *!a Castañedo,</t>
  </si>
  <si>
    <t>Exc, Rodrigo Riquelme</t>
  </si>
  <si>
    <t>Rodrigo Riquelme Exc</t>
  </si>
  <si>
    <t>eñor Conde de Contamina. *% Exc. Señor Marques del VilleL. SECCION DE GRACIA Y JUSTICIA* Exc. Señor Arzobispo Co-Administrador de Sevilla. Exc. Señor D. Rodrigo Riquelme* Exc, Señor D. Francisco Xavier Caro. Exc. Señor D. Gaspar Melchor de J^veüanos. SECCION DE GUERRA* Exc. Señor Marque* de Campo Sagrado. Exc. Señor D* Franci…</t>
  </si>
  <si>
    <t>Exc, Tomas de Veri</t>
  </si>
  <si>
    <t>Tomas de Veri Exc</t>
  </si>
  <si>
    <t>. SECCION DE GUERRA* Exc. Señor Marque* de Campo Sagrado. Exc. Señor D* Francisco Rebolledo de Palafox y Melci. Exc. Señor Conde de Tilly. Exc. Señor D. Tomas de Veri* Exc. Señor D. Josef García de la Torre. Exc. Señor D. Juan de DiosRahé, SECCION DE MARINA. Exc. Señor Barón de Sabasona. Exc* Señor Conde de Ayamans* Exc. Seño…</t>
  </si>
  <si>
    <t>Excmo, Cuesta</t>
  </si>
  <si>
    <t>Cuesta Excmo</t>
  </si>
  <si>
    <t>■Parte Bel General Cuesta* „^Excmo. Sr.j==3Háfeiendo 'contestado' 35. Joaquín María Soteló eñ los té raninos que' V. E. me previno de JReal ordenen 3 del corriente , ha sido aye'r entregada mi carta al Comandante de la gran</t>
  </si>
  <si>
    <t>Excmo, Martin de Garay</t>
  </si>
  <si>
    <t>Martin de Garay Excmo</t>
  </si>
  <si>
    <t>muchos años; Lisboa» de mayo5 dé i 8o9;¡zz.Excmo. Sr;i=:B; D. M. de V. E. su afecto y se'—* guro servidor, nr Evaristo* Perez de-Castro f Excmo. Sr. D. Martin- de- Garay— Excmo.1 Srr—Tengo" la satisfacción déanunciar á V. E.que somos-dueños de Santander :: así me lo ha comuni-* eado • ayer* noche' este-' Almirante inglés Mr. …</t>
  </si>
  <si>
    <t>Extracto, Ma</t>
  </si>
  <si>
    <t>Ma Extracto</t>
  </si>
  <si>
    <t>PAÑA. aRt. ir: Nombramos asimismo por ad­ ministradores provinciales á los siguientes Madrid a y de agosto. individuos. Para la provincia de Madrid 4 D. Ma­ Extracto dé las minutas de la secretaría tías Bayo, con 40© reales de sueldo. Para de Estado. la de Navarra á D. Mateo Barbería, con 22© En nuestro palacio de Madrid á 26…</t>
  </si>
  <si>
    <t>Extracto, Pedro</t>
  </si>
  <si>
    <t>Pedro Extracto</t>
  </si>
  <si>
    <t>de Estado Ma­ S.M. ha venido en nombrar en el regimien­ raño Luis de Urquijo.” to de infantería Real Extrangero para ca­ pitanes á D. Mauricio Gard , D. Pedro Extracto de las minutas de la secretar!» Yung , D. Jorge Dubteuil, D. Josef Forsde Estado. ter y D. Josef Yost. Para tenientes á Don En nuestro palacio de Madrid á 27 d…</t>
  </si>
  <si>
    <t>Extraordinario, Plenipotenciario y Enviado</t>
  </si>
  <si>
    <t>Plenipotenciario y Enviado Extraordinario</t>
  </si>
  <si>
    <t>I, y en su Real nombre la Junta Su­ prema Gubernativa de España é Indias, concederle los ho­ nores del Supremo Consejo de Eatado , y nombrarle por su Ministro Plenipotenciario y Enviado Extraordinario cerca del Príncipe Regente de Portugal con residencia en Rio-Janeiro, debiendo residir en la Corte de Lisboa D. Evaristo Peres…</t>
  </si>
  <si>
    <t>Ezquerra, Joaqoin</t>
  </si>
  <si>
    <t>Joaqoin Ezquerra</t>
  </si>
  <si>
    <t>ederación del Rio. En la mañana del 2 de este mes se exccutó según costumbre la abertura anual de IMPERIO FRANCES. los estudios reales de esta corte. D. Joaqoin Ezquerra, catedrático de sintaxis latina ,y Turin 8 de setiembre. substituto de poética,leyó la oración inau­ gural , en la qne tomando por tema de su dis­ Los habita…</t>
  </si>
  <si>
    <t>F, Francisco</t>
  </si>
  <si>
    <t>Francisco F</t>
  </si>
  <si>
    <t>, núme­ vas; en la inteligencia que ds no hacerlo durante este ros 1867, 4053, 4137, 5583, 5701, 6774, 7532, término, ,sc releva de órden superior á D. Francisco 77*9 F7887 » endosados por segundo endosoá D. Juan Crespo de Tejada de la fianza que ha prestado antes de Josef de Zarraga, del comercio de Bilbao. Se suplica efectu…</t>
  </si>
  <si>
    <t>Fa, Josef</t>
  </si>
  <si>
    <t>Josef Fa</t>
  </si>
  <si>
    <t>esta la Ciudad á recibirlos en paz , juntó el Rector la comunidad, compuesta en aquellos dias de los Preyles D. Ignacio Antonio Pizarro , Rector , de D. Josef Fa­ jardo y Váfgss, y D. Joaquín Ladrón de Guevara. Todos acordarón- unánimes trasladar el Colegio á la Villa del Campo, pueblo perteneciente á la encomienda de Santiba…</t>
  </si>
  <si>
    <t>Fabre</t>
  </si>
  <si>
    <t>cobrar la villa; pero los cazadores del regimien­ to núm. 37.0, que defendían su entrada, y el fuego de dos piezas de artille­ ría , dirigidas por el coronel Fabre, rompieron sn coluna de ataque, y la obligaron á retroceder. Al mismo tiempo otra coluna enemiga, que salió del Hospitalet, inten­ tó rodear la izquierda de la div…</t>
  </si>
  <si>
    <t>cañones con sus caxones.de municiones y demas pertrechos , en fin un tren completo de artillería-de campaña. Ésto ha^e mucho honor i la actividad del coronel Fabre, comandante de-artillería, y manifiesta en al­ gún modo la importancia de Barcelona, cuya plaza es, á mi parecer, una de las mas importantes y de la&amp; mejor, provis…</t>
  </si>
  <si>
    <t>Faic, José</t>
  </si>
  <si>
    <t>José Faic</t>
  </si>
  <si>
    <t>tán del mismo real cuerpo. Al brigadier D. Carlos Lemour, co­ mandante general dé ingenieros al primer-ayudante del quártel-maestre D. Ramón Calvet y D. José Faic, coroneles : á los tenientes coroneles D. José Velarde y D José Fuentepita , el primero mayor de brigada: á ios capitanes D. Pedro Aguado y D. Diego Tolosa; y á los…</t>
  </si>
  <si>
    <t>Falcon, Josef Navarro</t>
  </si>
  <si>
    <t>Josef Navarro Falcon</t>
  </si>
  <si>
    <t>Tomás O-Doncjú, asistieron á mi inmediación durante toda la acción para executar las providencias que yo tomabas : los brigadieres marques de Ariza, D. Josef Navarro Falcon , D. Josef de la Cruz, D. Cárlos González de Barcena y D. Samuel Fourtas , executaron lo mismo: mis ayudantes de campo el brigadier marqués del Malpiea, e…</t>
  </si>
  <si>
    <t>Fane</t>
  </si>
  <si>
    <t>s mayores Napier y Stanhope, del ,o.°, que lian sido muertos.: y heridos el teniente coronel Winck, del 4 i el teniente corone] Maxwel , dei 26.»; el teniente coronel Fane , del 59 *; el teniente .coronel Griflith, de la guardia» y U» tsayores MiUer y Wilíiams, del 8,t.‘ (3). .. . » ¿ • 1 * *' 1. ftadá os1 hablaré acerca de l…</t>
  </si>
  <si>
    <t>inguidos que habéis he-* tase á la cámara una razón del destino que cho en la campaña de Portugal (3).” se habia dado á los 10 millones y medio de El general Fane manifestó entonces su libras en cédulas del eckiquier que se ha­ reconocimiento á la cámara. bían entregado para ios gastos del año 1808. . i El orador dió también …</t>
  </si>
  <si>
    <t>Faultriery</t>
  </si>
  <si>
    <t>que se recojan los detalles de esta memorable ac­ ción , se darán al público. Entre los prisioneros se hallan el general de división Líurósnel, y el general Faultriery primer "Gentil-hombre de la'tmperátrizy conpLó también el general Wurtembergués Ro;cter ^ quien cogió prisionero en Nusdorf el segundó bata‘ifoii' de' }as .ñii…</t>
  </si>
  <si>
    <t>Faus</t>
  </si>
  <si>
    <t>--------- ó«y de Ito. — D. Pedro Balduque. — D. Francisco Carrica. — D. Faus­ tino Lecha. — D, Ramón Robres. — D. Pedro Benisa. — D. Joaquin Manrique de Lara.-- D. Manuel García del Campo.— D. Vi­ cente Aragón. — D. Antonio Viscasillas. — D. Vicente Martínez.— D. Hilario Ximene</t>
  </si>
  <si>
    <t>Fausto</t>
  </si>
  <si>
    <t>real. nisterio secretaría de Estado. Schmidt (D.Jnan María), caballo ligero Fornier (D. Pedro) , capitán de infantería. de la guardia real. Foronda ( D. Fausto) , oficial del ministe­ Sirbiot ( D. Juan), brigadier de caballos rio de lo Interior. ligeros de la gnardia real. Garriga ( D. Josef) , alcalde de corte. Varesse (marq…</t>
  </si>
  <si>
    <t>Fcrjaz, Miguel Pereyra</t>
  </si>
  <si>
    <t>Miguel Pereyra Fcrjaz</t>
  </si>
  <si>
    <t>ula. Por un oficio del brigadier Wiison xefe de la Leal Legión Lusitana con fecha de 3 del corriente en Fuente de S. E stevan, dirigido al Excmo. Sr. D. Miguel Pereyra Fcrjaz, se sabe: Que, sin embargo de haber el enemigo recibi­ do refuerzo en Salamanca, donde había actualmente de infantería y i9 de caballería, conservaba su…</t>
  </si>
  <si>
    <t>Fdiu, D Narciso</t>
  </si>
  <si>
    <t>D Narciso Fdiu</t>
  </si>
  <si>
    <t>lsina, quien después de bul ser muerto seis franceses, y de haber per­ dido su caballo, ha muerto á ot ;o. Es asimismo acreedor á algún grado el otro alférez D„ Narciso Fdiu, que arrojándose en medio de las bayone­ tas y balas , ha cogido 4 prisión*, os de la columna enemiga. Son igualmen­ te recomendables todos los oficíeles…</t>
  </si>
  <si>
    <t>Felez, Mariano</t>
  </si>
  <si>
    <t>Mariano Felez</t>
  </si>
  <si>
    <t>León, contuso el teniente D. Santiago Marton 3 voluntarios de la Corona , heridos los tenientes D. Pedro Perez y B. Benito Salgado , y el subteniente D. Mariano Felez 3 General, contusos el teniente D. José Huertes y el cadete D. Luis Vázquez , y muerto el cadete D. Ramón Luares3 Aragón , herido D. Vicente Jandenes 3 Betanzos…</t>
  </si>
  <si>
    <t>Feli</t>
  </si>
  <si>
    <t>ermana . princesa de Leca y de Piom- los años 1571 y 15 73 Rei Felipe 11; bino, el gobernó general de los departa­ las que en 1598 S£ hicieron al Sr. D. Feli­ mentos de la Toscana, con el título de Gran pe ni en las cortes de Madrid , y DrinciDuquesa, pálmente las que se hicieron al Sr. D. Fe­ ESPAÑA. lipe iv en las cortes de…</t>
  </si>
  <si>
    <t>bién los peligros de ese espíritu de la suprema Inquisición, escribió desde de partido que toma muchas veces el nom­ Toledo una representación al Reí D. Feli­ bre de verdadero espíritu nacional, al que pe in en razón de que no convenia dar li­ es siempre opuesto, qu# no es fuerte sino cencia d los padres capuchinos para fun­ …</t>
  </si>
  <si>
    <t>Felipe</t>
  </si>
  <si>
    <t>ente por el R-igadier D. Luis 'Wunpfeu., D. Fran­ cisco y D. Ramón de Míians., y 'D. Juan Claró.-» , enviaron primero el tercio de 'Talam mandado por D. Felipe tie Fieyres, y ellos mismos .con la gente de su mando se dirigieron-á la Espluga p3ra cortar al enemigo. A las tres y media de la tarde llegaron estos .refuerzos, y el…</t>
  </si>
  <si>
    <t>9 de julio de 1809</t>
  </si>
  <si>
    <t>Gaceta de Madrid n.º 190</t>
  </si>
  <si>
    <t>te mal. En la bien regulada de nuestros Monarcas y de íainosa consulta que el consejo hizo en ÍÓ19 sus rúbditos , se hubieron multiplicado los al Rei D. Felipe m propuso que ,*en atenestablecimientos monacales contra lo preve­ « ciqn á la muchedumbre de clérigos y re— nido en los dos expresados concilios , se co­ «ligiosos qu…</t>
  </si>
  <si>
    <t>ro secular de la corona de Casti­ sa , que escribía en el año 1622 la represen­ lla y León , en una representación que hizo tación ya citada al señor D. Felipe ni para á Felipe iv «n 1634 , se quejó también del que no diese licencia^ á los frailes capuchi­ excesivo número de frailes, y pidió se re­ nos de fundar en la corona …</t>
  </si>
  <si>
    <t>dé ganado mulár cerril y yeguas potrancas , procedentes de los! sotos dé Aranjuez , y apre­ sadas por la valerosa partida del teniente de ingenieros D. Felipe de la Corte; Esta guerrilla se componía dé las com­ pañías de granaderos y cazadores del Alcázar dé S. Juan, con sus dos capitanes , dos tenientes, y dos subtenientes, …</t>
  </si>
  <si>
    <t>a contribución, •n que, según el acreditado cronista Don y otras quedando condenados á él, hasta Fr. Prudencio de Sandoval, se dexaron ver que el Rei D. Felipe 11 , condescendiendo por primera vez copias de él , y en que una con la súplica de la ig'esia de Santiago, le de ellas se remitió á la santa iglesia de Tui concedió ju…</t>
  </si>
  <si>
    <t>á sus heredades, hacer que renazcan la art. ¿i. Quedan nombrados profesores calma y la esperanza del seno mismo de la del mismo real establecimiento D. Felipe turbación y del desaliento, recorrer los cam­ Letona de rudimentos de gramática lati­ pos para conocer las mas urgentes necesi­ na ; D. Santiago Delgado de sintaxis y p…</t>
  </si>
  <si>
    <t>Félix</t>
  </si>
  <si>
    <t>erno justó y prudente para evi­ atías Ollvencia, D. Félix Gilman, cade­ tar tan graves males ? Es bien claro qne no te de reales guardias. Walotias , D. Félix queda otro arbitrio sino forzar la indecisión, Palacios, D. Pedro Cendeja, D. Joaquín cerrar la puerta ’á todo vano efugio ó res­ de Osés, D. Matías de la Torre y D. Fr…</t>
  </si>
  <si>
    <t>fe de batallón de los granaderos Strolz ,' general y primer esendero del ,Réi, de la guardia real. Strolz, gefe de batallón, comandante de la Pavía ( D. Félix), teniente del regimiehto artillería á pie dé la guardia real. : de infantería de línea núm. i.® Suager ( D. Josef) , comandante de bata­ Perez (D. Antonio),sargento i.…</t>
  </si>
  <si>
    <t>ra.—Pazos (D. Domingo) sargento del batallón de infantería ligera núm. 1. — Paisan , xefe de batallón de los granaderos- de la guardia real. — Pavía (D. Félix) teniente del, regimiento infantería de línea núm. 1.—Perez (D. Antonio) sargento pri­ mero del mismo. — Pereyra (D. Luis Marcelino) de la junta ci­ vil.—Piñuela (D. Se…</t>
  </si>
  <si>
    <t>á España. Aguado ( D. Alfonso);, obispo auxiliar de. El cuerpo de tropas wurtcmberguesas Toledo. „ ' está todavía en Passau y. en sos inmedia­ Amat (D. Félix), abatí dt'S. Ildefonso. ciones* Angulo (D. Francisco) ,*consejero de. Es­ D¿l a8. En este momento están pasan­ tado. do por áqui .los equipages ’dé mnchos gene^. Almona…</t>
  </si>
  <si>
    <t>Felnai, Pedro</t>
  </si>
  <si>
    <t>Pedro Felnai</t>
  </si>
  <si>
    <t>los subtenientes cia vuestra sagrada persona. Para colmo :de D. Rafael Sánchez, D. Julio Dufort Dannuestra dicha nos falta ver cumplido uu so­ tist, D. Pedro Felnai, D. Francisco Meor, lo deseo. Aunque tengamos el dulce con­ D.’Pedro Crosal, D. Alexandro Sanz; y á suelo de ser presididos por el excelente D: Miguel de Belgrano…</t>
  </si>
  <si>
    <t>Felónch, Francisco</t>
  </si>
  <si>
    <t>Francisco Felónch</t>
  </si>
  <si>
    <t>españolas que tanto han contribuido h 1» fiefcíisa de la patria, y al honor de su sexo , merece un lugar dis'tjnguido Doña Susana Claretona,muger de D. Francisco Felónch, el qv.al por sus servicios en las partidas.de somatenes , obtuvo an­ teriormente el grado de subteniente de infantería. Por certifica­ ciones de las justici…</t>
  </si>
  <si>
    <t>Fer</t>
  </si>
  <si>
    <t>23 de enero de 1809</t>
  </si>
  <si>
    <t>Gazeta del Gobierno n.º 4 (extraordinaria)</t>
  </si>
  <si>
    <t>D- Martin Alaría Epine, ha brá enterado k V. S. de Ja p^dcipitacion. con que tuve que salir del puerto de Yums lu¿go que recibí la noticia de que el general Fer­ rand marchaba con fuerzas para atacarnos , por Jo qnal me fue imposible contestar k les oficios de V. S. de 21 y 25 de Octubre próximo pasado.” ,, A. no haber sido p…</t>
  </si>
  <si>
    <t>n buen drden, despaché un trozo de caballería al mando de D. Pedro Santana, que hacia de segundo^comandante del cuerpo, para que fuese al alcánce del general Fer­ rand , y de los que le acompañaban; y a poco mas de una legua hallaron que dicho General, d avergonzado de la fea derrota que acababa de padecer , &lt;S desesperado de…</t>
  </si>
  <si>
    <t>vecino dé Atmendralejo , remití di­ cho pliego en diligencia al Sr. Presidente de la Junta Central Gubernativa del Rey nó en nombre: de S. M. el Sr. D. Fer­ nando VII, y con fecha de ayer me dice el Sr. Secretario de Estado y de dicha Suprema Junta lo siguiente. ,, Excmo. Señor. = Al ver la Junta Suprema la carta es­ crita po…</t>
  </si>
  <si>
    <t>rrespondencia con todos los trl— tendente que ha sido en las provincias de -banales y justicias del reino, tanto en lo Avila, Salamanca y Burgos, y á D. Fer­ civil como en !o criminal. mín Remoa, con el sueldo de 6o3 reales, Remite de oficio i los insinuados tri­ y el uso de uniforme de los administrado­ bunales y justicias t…</t>
  </si>
  <si>
    <t>480</t>
  </si>
  <si>
    <t>Champagny. — Visto, por nos,, ¡archicanci11er del estado, Eugenio Napoleón. NOTICIAS DE ESPAÑA. Coru&amp;a 7 de noviembre. En nombre fiel rey nuestro Sr. D. Fer­ nando VIL y de la suprema Junta ceatsal gubernativa del reyno. El tribunal de seguridad pública «de Galicia, habiendo visto, exa­ minado y meditado la causa formada cont…</t>
  </si>
  <si>
    <t>Puerta. — D: Manuel Quintana.D. Ig­ nacio Gardoqui. — Marques de Villamonte. — D Bernardo Gon­ zález. -— D. Francisco Santmez. — D. Luis A ntentas.—&lt; D. Fer­ nando.Gninan-—D. Luís de Qm*~- D.-Félix Colon. — D.Ma*-</t>
  </si>
  <si>
    <t>Fer, Fernando</t>
  </si>
  <si>
    <t>Fernando Fer</t>
  </si>
  <si>
    <t>ia : para las tres capellanías de coro vacan­ tes en la catedral de Granada por fallecimiento de D. Juan Ada­ me, de D. Genaro López del Rincón, y de D. Fernando Fer­ nandez de Padilla, á D. José Garzón Berruezo , á D. José Rafael de Sebastiani, y á D. José Morales Zurita ; y para la ración de la catedral de Murcia, que resul…</t>
  </si>
  <si>
    <t>Fer, Manuel</t>
  </si>
  <si>
    <t>Manuel Fer</t>
  </si>
  <si>
    <t>ridad posible el alistamiento de extraordinario de instrucción religiosa el ca­ los vélites de la guardia real. Los jóvenes ballero seminarista mayor D. Manuel Fer­ aguardan con impaciencia el que la suerte nandez, quien habló de los sacramentos y decida quienes han de tener el honor de de la oración, y manifestó que entendía…</t>
  </si>
  <si>
    <t>Ferguson</t>
  </si>
  <si>
    <t>se dará á la Vela casa batida en brecha ayer con el cañón de para Cádiz al primer viento favorable. Se á 8; pero no hemos podido tomarla. dice que el general Ferguson, y muchos A las 3 de la tarde, quando nuestras oficiales irán á bordo de este buque. tropas de la orilla izquierda del Ebro aca­ Escriben de Liverpool, con fech…</t>
  </si>
  <si>
    <t>Fermín</t>
  </si>
  <si>
    <t>ma. i a legación en Holanda . Maiherer ( D. Carlos) , teniente coronel de González (D. Cesar), teniente coronel de ,iiií.|literla. artillería. Marie (D. Fermín) , general y edecán del Gomales Arnaud ( D. Vicente), secretario Reí. del consejo de Estido. Mariner ( D. Josef) , sargenta t .° del bar Guerrero ( D Joan), capitán de…</t>
  </si>
  <si>
    <t>fie (D. Fermín) general y edecán del rey. — Mariner (D. José) sargento primero del batallón de infantería: ligera núm i.— Mauri (D. Juan). — Marquina (D. José) presidente de la junta de negocios contencio</t>
  </si>
  <si>
    <t>Ferna, Francisco Gallardo</t>
  </si>
  <si>
    <t>Francisco Gallardo Ferna</t>
  </si>
  <si>
    <t>qués de San Adrián, de D. Tomás de Moría , de D. Manuel Sixt o Espinosa, de D.Luis Marcelino Péreyra, de D* Juan Llórente, de D, Pidro de Estála , de D. Francisco Gallardo Ferna ndez , del Duque de ; Mahon , de D. Francisco Xavier Duran, de D. Francisco Amorós , y de D. Josef Navarro Sangr án , cuyos sugeto?, por notoriedad, …</t>
  </si>
  <si>
    <t>Fernán</t>
  </si>
  <si>
    <t>eclaró nulos ) exceptuó aquellos en ción de Alcalá de Henares tenida el año qne hubiese intervenido la dispensa del So­ de 1379: los teólogos del Rti D. Fernán-• berano (4). do v ti católico en 15 08 ; los de Cirios v „Esta leí (confirmada en los concilios en 1526 y 1556; los de Felipe 11 en 1582, y cortes generales de Toledo…</t>
  </si>
  <si>
    <t>Fernan</t>
  </si>
  <si>
    <t>edio del intendente las ñacas, ya parti­ articulo i. „ Nombramos tesorero de culares , ya comunes, con que puedan ser exército del reino de Galicia á D. Fernan­ indemnizados los moradores que mas hu­ do de Ciarán, con el sueldo y honores biesen padecido. anexos á este empleo. art. ni. Si con motivo de las calami­ art. 11. Nue…</t>
  </si>
  <si>
    <t>Fernan, Antonio</t>
  </si>
  <si>
    <t>Antonio Fernan</t>
  </si>
  <si>
    <t>uan O-colgan-, teniente del re­ gimiento del General : á D. Antonio Roselló, coronel del real cuer­ po de .miilerla; al ayudante del quartel-tnaestre D. Antonio Fernan­ dez , teniente coronel del real cuerpo de Ingenieros , y á D. José Boado , capitán del mismo :.á D. Félix Prat, comandante del 1.° de Barcelo­ na : á D. Manue…</t>
  </si>
  <si>
    <t>Fernandez'Cuesta, Cristóbal</t>
  </si>
  <si>
    <t>Cristóbal Fernandez'Cuesta</t>
  </si>
  <si>
    <t>co Laborda y Perez , D. Francisco Perez del Rivero, D. Juan Antonio Melón y D. Andrés Benito Quintana xefes de di­ visión; á D. Juan Joséfde Aspiróz, D. Cristóbal Fernandez'Cuesta, D. Serapio Saviñac , D. Juan Santa-María , D. Josef Antonio Ibarrela., D. Vicente Perez de Hervás, D. Manuel Celestino Carirasco., D. Juan Burand …</t>
  </si>
  <si>
    <t>Fernandez, Antodn</t>
  </si>
  <si>
    <t>Antodn Fernandez</t>
  </si>
  <si>
    <t>a de ción ordinaria en ella, y gozarán por suel­ libro, para la ración de Pa'encía , que. re­ do anual 4C0 ducados el primero, y 300 sulta vacanie: á D. Antodn Fernandez, pro­ el segundo, cuyas cantidades se satisfarán vincial que ha sido de ios agustinos calza­ por el tesoro público. dos, para otra canongía de la dicha cate­…</t>
  </si>
  <si>
    <t>Fernandez, Antonio</t>
  </si>
  <si>
    <t>Antonio Fernandez</t>
  </si>
  <si>
    <t>r S. M. su ministro secretario de Estado Maria­ no Luis de Urquijo.” LIBRO. Reflexiones sobre las calenturas remitentes é intermitentes, escritas por D. Antonio Fernandez, cirujano de familia, y pensionado de mérito por S. M. Esta obra se ha hecho de orden del señor arzobispo de Toledo, ebn ócaSíon de querer saber los párroco…</t>
  </si>
  <si>
    <t>os Pajonas-, León de Sagasta, teniente corregidor de esta villa, y en.gj.! 5. Otra en dicha calle , en 9600. Otra en la pla­ escribanía del número de D. Antonio Fernandez, se zuela del Cura y calle del Rastro, en 8259. Otra en la vende una casa en la villa de Barajas, en la calle real plazuela detras de la carnicería, en 1590…</t>
  </si>
  <si>
    <t>Fernandez, Diego Gil</t>
  </si>
  <si>
    <t>Diego Gil Fernandez</t>
  </si>
  <si>
    <t>lores Quevedo, del consejo de Hacienda; D. Gaspar Lerin de Bracamonte y D. Carlos Simón Pontero, del consejo de las Ordenes; D. Andrés Romero Valdés, D. Diego Gil Fernandez, D. Luis Marcelino Pereira, D. Tomas de Casanova y D. Martin Leonés, alcaldes de Casa y Corte; y á D. Josef Ignacio Joven de Salas, abogado del colegio de…</t>
  </si>
  <si>
    <t>Fernandez, Francisco</t>
  </si>
  <si>
    <t>Francisco Fernandez</t>
  </si>
  <si>
    <t>do relación conforme vayan contribuyendo• D. Teodoro Quínt ro, 373 rls. para un vestuario completo. Doña Feliciana González, 75 rls. para una casaca. D. Francisco Fernandez , 17 rls. para unos zapatos. D. Juan Parra . 48 rls. para unos pantalones. D. Antonio Diaz , 75 r-’s*- pira una casaca. D. Francisco Muñí z , 48 rls. para…</t>
  </si>
  <si>
    <t>Fernandez, Joséf</t>
  </si>
  <si>
    <t>Joséf Fernandez</t>
  </si>
  <si>
    <t>la parroquia de S. Julián, 120. — D. Antonio de León, 12o.— Las justicias del lugar de Miragenil por siT vecindario, 18083.-0. Antonio Montenegro, y D. Joséf Fernandez por sí, y en nombre del clero de la parroquia de Sta. Ana de Triana , 720.—D. Juan Eu­ genio de Calzadilla por los vecinos de su quartel con destino á las obra…</t>
  </si>
  <si>
    <t>Fernandez, Josef Ramón</t>
  </si>
  <si>
    <t>Josef Ramón Fernandez</t>
  </si>
  <si>
    <t>á S. M. leve, les caballeros seminarista mayor Don la Reina. Manuel Fernandez; gefes de sala D. Josef En el mismo dia tuvo la honra de ser Martínez, D. Josef Ramón Fernandez y presentado á SS. MM. S. A. S. el principe D. Manuel Abad; gefe de trozo D. Pa­ de Hesse-Darmstadt. blo Unda; seminaristas D. Andrés Gorvea, En el discu…</t>
  </si>
  <si>
    <t>Fernandez, Manuel</t>
  </si>
  <si>
    <t>Manuel Fernandez</t>
  </si>
  <si>
    <t>77</t>
  </si>
  <si>
    <t>adier JD. Manuel Torra­ do 5 y él teniente coronel D. Juan Serralde , y mis ede­ canes los capitanes de caballería I). Fermín March , y de infáhtería D. Manuel Fernandez , que estuvieron á mi lado, y mostraron la mayor serenidad en medio del mas vivísí oró' fuego : igualmente debo poner en la consideración de W É. el merino d…</t>
  </si>
  <si>
    <t>Fernandez, Manuel Lino</t>
  </si>
  <si>
    <t>Manuel Lino Fernandez</t>
  </si>
  <si>
    <t>o Espinosa, 10 rls. para un par de medias. D. Vicente Gonza’ez, 20 rls. para dos pares de medias. Doña Gertrudis Redondo , 30 rls. para dos mochilas. D. Manuel Lino Fernandez , 20 rls. para dos pares de medias. D. .Manuel Rivero , 10 rls. para un par de: medias. D. Doipingo Vanda , 20 rls. para dos pares de rpsdias. Di Juan F…</t>
  </si>
  <si>
    <t>Fernando</t>
  </si>
  <si>
    <t>ido erf íf* de noviembre. •“ - ,,J; ',:hl •* w'1 ‘t &lt;51 Hoi han salido de aquí todas las tropas francesas, v han entregado las llaves de la ciudad al príncipe Fernando, hermano de réoerico el Grande. Él mariscal Davoust, ducjue.de Averstaedt, ha salido hoi de aquí. El intendente general Mr. Daruyeí administrador general de re…</t>
  </si>
  <si>
    <t>s. Como las tropas deben salir de Berlin el dia 3 de diciembre, vos, poniéndoos al frente de ellas, presentareis las llaves de la ciudad áS. A. R. el príncipe Fernando. El Rei no podrá menos de recibirlas con gusto de manos de esté príncipe , á quien os encargo ofrezcáis de mi parte en esta ocasión mis profundos respetos. Con…</t>
  </si>
  <si>
    <t>mado, el mariscal duque de Averstaedt, general en gefe del exército del Rin. Del $ de diciembre. .El general Saint-Hilaire al presentar á S. A. R. el príncipe Fernando las llavés de la ciudad:, leJdixo entre otras cosas: ,, En el momento de la evacuación definitiva de Berlin, era natural que S. E. el mariscal duque de Aversta…</t>
  </si>
  <si>
    <t>l1, saldrán a encorio trar á SS. MM., y que entonarán en medio de los campos un Te Deum. El día que saliéróa dé aquí las tropas francesas S. A. S. el príncipe Fernando dió un gran banquete , al que asistieron el general Saint- Hilaire y los oficiales superiores 'de su éstado mayor.’ Durante la comida S. A. R. maní» íestó á lo…</t>
  </si>
  <si>
    <t>FERNANDO</t>
  </si>
  <si>
    <t>an escarmentados. Animo, valientes Madrileños, la campaña solo se bate, con sangre, yen la victoria cantemos todos juntos himnos á nuestro idolatrado Rey FERNANDO. Quartel general de;Zaragoza 4 de Ene­ ro de 1809. = Palafox*. Son muy dignos del mayor■ elogio, y de Ja admira-cion de todos los que hemos tenido la fortuna y honr…</t>
  </si>
  <si>
    <t>n que ha sido provocado; pudie­ ra haber desmembrado de la España sus mas ricas provincias; cesión ver-¿ gonzosa que ya le hibia sido ofrecida por el príncipe Fernando á persuasión de sus ineptos-consejeros, d haberla dividido en pequeñas soberanías; pero su genio sublime ha sabido conciliar la satisfacción que reclamaba su a…</t>
  </si>
  <si>
    <t>s acon­ tecimientos de España. En señal del interés que lia:» tomado aquellos fidelísimos naturales á favor de la Metrópoli, y de su legítimo y amado Rey Fernando, tienen prevenidos 16 millones de pesos fuertes, los quatro millones de donativos. Estas nobles y patrióticas demostraciones de Lima, siem­ pre generosa y fiel, y e…</t>
  </si>
  <si>
    <t>tensión! habiendo visto la mala fe y la perfidia con que trató á su Rey Fernando. Bonaparte jamas cumplió pala­ bra alguna como no fuese de desolación : su carácter es el engaño y la perfidia , como conocen ya, aunque tardé ¿ al­ gunos potentados. La anécdota siguiente</t>
  </si>
  <si>
    <t>en este puerto, zr Ha habido cartas de México, y se dá por irmy cierto, que habiendo ido el General Savary, quien tantas veces engañó á nuestro amado Rey Fernando para llevarlo á Bayona , á entrar desde la América del norte por la Provincia de Texa , fue descubierto por un soldado; y al tiempo de irle éste á echar la mano par…</t>
  </si>
  <si>
    <t>431</t>
  </si>
  <si>
    <t>está todavía restablecido de su enfermedad*”, ~ Esta noticia no puede ménos de haber irritado á los es­ pañoles que siguen el partido de su legítimo Rey Fernando, y desean el bien y la libertad de su patria. En los milita­ res dinamarqueses ha hecho tal sensación un tratamiento tan iniquo dado á un hombre valeroso por haber d…</t>
  </si>
  <si>
    <t>146</t>
  </si>
  <si>
    <t>bladas, res desde Felipe n hasta nuestros dias, las mas ricas y mas industriosas, cesión ver­ difunde, y anhela con ansia que se hagan gonzosa que el príncipe Fernando le pro- generales en la nación. Asi pues estamos poma á persuasión de sus ineptos y viles persuadidos que todo el que se precie del consejeros. Mas el héroe ve…</t>
  </si>
  <si>
    <t>rácticas ex­ decreto de S. de _p de este mes. teriores , no escrupulizaban el quebrar y hacer una multitud de víctimas en tantos Antes de la unión de D. Fernando con infelices acreedores del estado , y se puede Doña Isabel se padecían imperfecciones, decir que desde Felipe 11 todos los Reyes aunque menores, en el sistema de h…</t>
  </si>
  <si>
    <t>empos de antes ; é pidiéronme mercet que en los nuevos fueros que concedió á la villa «mande que se faga asi: et otrosí, los hede Sahagun; y su nieto D. Fernando iv la « redamientos que pasaron al abadengo anrenovó repetidas veces, con arreglo á lo «tes de la mortandad é después acá contra mandado y dispuesto en las cortes en…</t>
  </si>
  <si>
    <t>enganza, contra la tiranía, que los oprime.. Las proclamas insidiosas de que aquí hablan los. ministros de Murat , son sin duda las publicadas por el rey Fernando en Palermo, exhortando á los napolitanos á entrar, de nuevo, en su dominación le­ gítima , y sacudir el yugo del usurpador. Con fecha de 1 o de. abril se publicó en…</t>
  </si>
  <si>
    <t>131</t>
  </si>
  <si>
    <t>e.s de tropa, y publicando estos hechos como brillantes victorias contra los con­ siderables exércitos de austríacos (que allí no estaban). El archi­ duque Fernando acudió al socorro de aquel pais, y ya ha tenido que retirarse hácia Lublin la mayor parte del cuerpo polaco. Otro cuerpo, que había pasado el Pilica, ha sido derr…</t>
  </si>
  <si>
    <t>mientos. Ahora recibirán el premio de su infamia. Sevilla 18 de octubre. La Junta suprema central gubernativa del reyno en nombre del rey nuestro Sr. D. Fernando vii , ha veni­ do en nombrar para la regencia de la audiencia de Charcas, va­ cante per fallecimiento de D. Antonio Boeto, al Oidor de la mis­ ma, conde de S. Xavier…</t>
  </si>
  <si>
    <t>o basta decir a los labradores que en bas ; regente de estudios D. Antonio P a- la guerra como en la paz es preciso sem­ lazuelos; directores de Sala D. Fernando brar para no perecer, sino que se requiere Carrasco, ex-religioso de S. Cayetano , y tranquilizar los ánimos, disipar los temores D. Pedro del Rio; capellán D. Santi…</t>
  </si>
  <si>
    <t>estaban se­ agregados al capital de su comercio ó giro. ñalados. El príncipe Augusto dePrusia, hi­ Estos pagarés circularán en las plazas como jo del príncipe Fernando, ha ido á aquella las letras de cambio, y ganarán sus intere­ provincia para pasar revista á las tropas, y ses. Tendrán también la ventaja que asegu­ especialm…</t>
  </si>
  <si>
    <t>ue les dan los interesados, y á fin de fixar las verdaderas atenciones de la secretaría general , según la naturaleza de su instituto ; el rey N. Sr. D. Fernando vil, y á su nombre la Junta suprema gubernativa del reyno , ha decretado. I. Que sea cargo de la secretaría general estender los acuerdos de la Junta suprema , y com…</t>
  </si>
  <si>
    <t>a goleta que tocó en Puerto-Rica, á carga del brigadier de su exército Tavares , con la órden de que quería hacer este servicio á nues­ tro rey y Sr. D. Fernando. VII, deseoso de que se abra el comer­ cio de las dos colonias , respecto á la paz y unión que rey na en­ tre los españoles y haitianos (1) , asegurando la mayor gar…</t>
  </si>
  <si>
    <t>Fernando, Angosto</t>
  </si>
  <si>
    <t>Angosto Fernando</t>
  </si>
  <si>
    <t>) y han mani­ festado á S. M. en todas ocasiones1 Io*“ habi­ v"“ .. r Jlreslau 9 de octubre, tan tes de esta provincia. Os encomiendo y ' S. A. R. et príncipe Angosto Fernando encargo particularmente que deis de mi de Prusia pasó ayer revista a! cuerpo de paite las gracias i la ciudad de BrtSlaU por artilleros y al regimiento…</t>
  </si>
  <si>
    <t>Fernando, Augusto</t>
  </si>
  <si>
    <t>Augusto Fernando</t>
  </si>
  <si>
    <t>eroso Prusia á aquella capital, donde se están concurso que habla acudido á ver la fun­ haciendo los preparativos necesarios para ción. recibirle. El príncipe Augusto Fernando ha El príncipe virei ha tenido hoi la au­ mandado hacer una carroza magnífica para diencia acostumbrada, y en ella ha dado salir á recibir en ella á S.…</t>
  </si>
  <si>
    <t>Fernando, Joaquín</t>
  </si>
  <si>
    <t>Joaquín Fernando</t>
  </si>
  <si>
    <t>*4a D. Joaquín Fernando de £ta. María So rls. para ¡guata» md» chiia» y dos pares de medias. Deña Catalina Hidalgo, 20 rls. para dos pares de medias» D. Juan Tabora , 10 rls» para un par de medias. D. Pedro R uiz, 20 rls</t>
  </si>
  <si>
    <t>Fernando, Juan</t>
  </si>
  <si>
    <t>Juan Fernando</t>
  </si>
  <si>
    <t>ios acostumbrados de esta Ciudad , y se insertará en los periódicos, zz Dido en Sevilla á 15 de abril de i8of.=D. Ramón Navarro. = D. Ramón Caibo. z; D Juan Fernando de , Águirre. zz D. Josef Morales Gallego, zr Por mandado del Tri* bu nal. = D. Manuel Josef de Sousa Ramírez. CON REAL PRIVILEGIO.</t>
  </si>
  <si>
    <t>Fernando, Juque</t>
  </si>
  <si>
    <t>Juque Fernando</t>
  </si>
  <si>
    <t>103</t>
  </si>
  <si>
    <t>103 A L EMANÍA. Brunn 3 de diciembre. El dia .29 del pasado llegaron á esta Ciudad S3. MM. Al día siguiente el Emperador, acompañado del Are d Juque Fernando, Comandante de esta plaza , pasó revista á ks re­ gimientos de infantería de Lindenau y de Wurtcmberg , y al batallón de Milicias ; después marchó d reconocer la íortals…</t>
  </si>
  <si>
    <t>Ferra, Andrés</t>
  </si>
  <si>
    <t>Andrés Ferra</t>
  </si>
  <si>
    <t>ntes Los ingleses se han llevado teda la Por. decreto de. 11 de setiembre.S. JM. artillería, y hasta las plata-formas; pero su ha venido en nombrar á D. Andrés Ferra­ fuga ha sido.tan precipitada, que.no han te­ ri , vólite de la compañía de ia guardia nido tiempo de demoler las fortificaciones real, subteniente del,regimient…</t>
  </si>
  <si>
    <t>Ferran, Marías</t>
  </si>
  <si>
    <t>Marías Ferran</t>
  </si>
  <si>
    <t>5) de nuestros enfermos. Les habríamos escarmentado mas si las „ fuerzas no hubieran sido tan superiores, particularmente quando nos hemos unido con D. Marías Ferran, quien se ha batido .j.con su valor acostumbrado con fuerzas diez veces mayores, „ obligando al enemigo á retroceder con mucha pérdida. — To„ dos los individuos …</t>
  </si>
  <si>
    <t>Ferrand</t>
  </si>
  <si>
    <t>extraordinaria diligencia con que caminé noche y dia con la última remesa de fusiles y municiones, no hubiéramos podido libertarnos del golpe que el general Ferrand creía tan seguro. £1 dia 6 del corriente llegué al arroyo de Margaría , de esta jurisdicción del Seybo , donde se hallaban mis tropas muy mal situadas , en despob…</t>
  </si>
  <si>
    <t>Férrand</t>
  </si>
  <si>
    <t>) , ó algo mas abaxo, y luego se les reunieron los vecinos de aquellos pueblos del ÉSTE, los mas de ellos montados y armados con lanzas. Noticioso el General Férrand de estos movi­ mientos por aquella parte , salió de Santo-Domingo con 6co hombres , entre ellos 400 de sus mejores tropas , creyendo que su presencia y la fuerza…</t>
  </si>
  <si>
    <t>meterlo por la espalda , como lo executaron denodadamente , desordenándole y persiguiéndole; de modo que á una legua de distancia hallaron, muerto ai general en gefe Ferrand, quien sin duda avergonzado de su derrota y por no caer en manos de españoles , se tiró un pistoletazo per la boca que le desbarató la medra cara izquier…</t>
  </si>
  <si>
    <t>Ferrandiz, Francisco Velasco</t>
  </si>
  <si>
    <t>Francisco Velasco Ferrandiz</t>
  </si>
  <si>
    <t>i­ cente Ramos Gurcia. También se ha servido nombrar para la vara de Alcalde ma­ yor primero de la Ciudad de Granada , vacante por falleci­ miento de D. Francisco Velasco Ferrandiz , á D. Josef Sant'oval y Meló, Vocal Secretario de la Junta Provincial de di­ cha Ciudad. Igu .’mente se ha servido conceder Cruz pensionada de la…</t>
  </si>
  <si>
    <t>Ferraz, Joaquín</t>
  </si>
  <si>
    <t>Joaquín Ferraz</t>
  </si>
  <si>
    <t>ar , k D. Alonso San Martin , racionero de la misma: -para la canongia vacante-en la catedral de Valencia por falleci­ miento de 1&gt;. Ramón de Lrra, á D. Joaquín Ferraz v Cornel , ca­ nónigo en la de Avila.- para la de la catedral de Córdoba, vacan-</t>
  </si>
  <si>
    <t>Ferrer, Fernando</t>
  </si>
  <si>
    <t>Fernando Ferrer</t>
  </si>
  <si>
    <t>Hore, los Sargentos mayores D. Joaquin de Carbajal, y D. Miguel de Velasco, aquel de mi división, y este de caballería, el Ayudante de Campo de V. E. D. Fernando Ferrer, el mío D. Sebastian Mantilla, los de di­ visión D. Domingo Gali y D. Josef Falcon, el del Quartel Maestre del Exército de observación D, Manuel de Plaza, y e…</t>
  </si>
  <si>
    <t>Ferrey</t>
  </si>
  <si>
    <t>onspiraciones que se esparcieron. La baxa de la caballería permite suprimir un esquadroa de dragones. El general Loison, que está sin división , ó el general Ferrey pueden substituir á Mermet. Además Habrá que ha­ cer algunas mudanzas en las plazas de generales; Franceschi va en-, cargado de enterar ¡Ae esto á V. M. El bien d…</t>
  </si>
  <si>
    <t>Ferron</t>
  </si>
  <si>
    <t>Gazeta del Gobierno n.º 61 · 2.ª serie</t>
  </si>
  <si>
    <t>594</t>
  </si>
  <si>
    <t>hombres marchase contra los tiroleses por el camino de Saltzburgo, el general Rasca con S3 hombres tuvo orden de avan­ zar desde Italia; miéntras el general Ferron se aproximaba por la Carinthia, y el general Marinont por Baviera y Suábia con mas de 6 á 73 hombres de tropas. Esta fuerza era ciertamente formida­ ble, y hubiera…</t>
  </si>
  <si>
    <t>Fesch</t>
  </si>
  <si>
    <t>mariscal du­ que de Ragusa (Marmont) salió hoy para ponerse ál frente de su cuerpo de exército que ocupará la Dalmacia y las provincias 111ricas.^ El cardenal Fesch continua aliado del emperador en Forttainbleau.— Una carta de Strasburgo del 29 último, dice. “Han llegado aquí varios esquadrones de los regimientes 13 y 14 dedr…</t>
  </si>
  <si>
    <t>607</t>
  </si>
  <si>
    <t>upon, n general­ mente , que la intención de Bonaparte en. reunir en París á los cardenales es la de quitar el Papa , y poner en su lugar á su tío el cardenal Fesch. Ya se..oyeron estas voces mucho antes de ha­ ber sido S. S. privado de su sagrado ministerio, y confinado í Avinon ; pero estamos ahora informados por conducto m…</t>
  </si>
  <si>
    <t>Fíeuri, Esteban</t>
  </si>
  <si>
    <t>Esteban Fíeuri</t>
  </si>
  <si>
    <t>órdenes á este efecto el batallón de Reales Guardias Walonas, mandado por el capitán D. Luis Ga rro , el de Suizos de Aragón al cargo de su co­ ronel D. Esteban Fíeuri, quien, aunque no restablecido de una contusión que recibió en el ataque del Arrabal , se presentó para tener parte en la gloria de este dia , el batallón lige…</t>
  </si>
  <si>
    <t>Figueras, IX Francisca</t>
  </si>
  <si>
    <t>IX Francisca Figueras</t>
  </si>
  <si>
    <t>á mi lado lo restante de la acción. El ayu­ dante de órdenes de mi división el capitán D. Vicente Ancito , y ei del brigadier IX-Gaspar Vigodet,, el capitán IX Francisca Figueras , llevaron, las. órdepgs de que fueron encargados con desprecio de los riesgos ; y en, fui todos á porña los individuos del estado mayor se comporta…</t>
  </si>
  <si>
    <t>Figueroa, Franci VP</t>
  </si>
  <si>
    <t>Franci VP Figueroa</t>
  </si>
  <si>
    <t>o-. E&gt;¿.. J’bíef P’uente , éT capitán dél regimiento' dki -General, gra­ duado de teniente corone!, D- Manuel B' yona, los su te­ niente* de la Union D. Franci^VP- Figueroa, y D. Loren­ zo Borbon y el capitán dei regimiento* dé Lobera D.* An­ tonio Díaz , y elr cadete del mismo' DI. Jbsef Díaz. :•* entre' lbs* contusos eí esp…</t>
  </si>
  <si>
    <t>Figueroa, María</t>
  </si>
  <si>
    <t>María Figueroa</t>
  </si>
  <si>
    <t>nci#a del señor tenien­ Francisco; ,núm. 5, manz. 1*7, perteneciente1 á la fun­ te corregidor ale esta villa D. León de Sagasta, por la dación pia de Doña María Figueroa en él-‘colegio de escribanía del ¡número de D.-Miguel Gonzalo, se han padres Mercenarios descalzos de Salamanca, que renta gtaodado sacar a pública subasta, …</t>
  </si>
  <si>
    <t>Fiorella</t>
  </si>
  <si>
    <t>o para evacuar el sor general, con el mismo sueldo. A Don Tirol italiano. En consecuencia de este avi­ Manuel María Delgado para depositario de lo el general Fiorella ha dado orden para , los efectos que se recojan en Madrid , cui­ que en la noche próxima el cuerpo del ge­ dado de su venta, Con el sueldo de 18S neral Aimard s…</t>
  </si>
  <si>
    <t>Firmón</t>
  </si>
  <si>
    <t>e U tríacos en la jornada del 8 han perdido mas Francia, puedan entrar libremente en Trieste. de 12© hombres entre muertos, heridos ó prisioneros. El general Firmón no ha per­ IMPERIO FRANCES. dido la vida cómo se habia dicho, sino el feld-mariscal Wautrelt, comandante en ge- Parts de mayo. fe de la caballería. En el monitor …</t>
  </si>
  <si>
    <t>Fita, José</t>
  </si>
  <si>
    <t>José Fita</t>
  </si>
  <si>
    <t>faro y Remon oficiales segundos; y á D. Jo­ sé Julián Diez archivero. Por decreto de 31 del mismo ha nombrado en el ministerio secretaría de estado á D. José Fita xefe de división ; k D. Juan Bautista Sauvinet y D. Juan Agustín Ezterripa oficiales primeros, y á D. Francisco Zegers oficial segundo. Por otro decreto de 1:° de s…</t>
  </si>
  <si>
    <t>Fita, Josef</t>
  </si>
  <si>
    <t>Josef Fita</t>
  </si>
  <si>
    <t>creto de 31 del. mismo S. M. ha Se hallaban en sus estados. nombrado en el ministerio secretaría de Es­ ,,Habiéndose mudado ya las circunstan­ tado á D. Josef Fita gefe de división; á cias , y como los pasos que he dado duran­ D. Juan Bautista Sauvinety D. Juan Agus­ te los últimos dias de mi permanencia en tín Ezterripa ofic…</t>
  </si>
  <si>
    <t>Florencio</t>
  </si>
  <si>
    <t>pasado el rio con el agua hasta la provincia de León. La persona que los hu­ cintura. Mas de 180 hombres enemigos que­ biese hallado los entregará á D. Florencio, daron muertos i cuchilladas y á bayoneta- ó en esta corte á D. Juan Miguel Represa, eos: los franceses cogieron ademas 80 pri­ calle de la Encomienda, núm. 22, quar…</t>
  </si>
  <si>
    <t>Flores, Francisco</t>
  </si>
  <si>
    <t>Francisco Flores</t>
  </si>
  <si>
    <t>Peguera, su ayu­ dante de órdenes el teniente de la misma, ciase D. Jacinto Agúilar Tablada , el alferea de navio D. Miguel de Soto, y el de fragata D. Francisco Flores, hasta ei ultimo , inciu* yendo asimismo á los dél- ministerio D. Josef de Aíoé , y‘D. Fermín de Agüete , todos los quales, sin perdonar fatiga, se han presta…</t>
  </si>
  <si>
    <t>Floret</t>
  </si>
  <si>
    <t>á pedir una suspensión de dispensa. ’ armas. ■ -X , „En los combates de los dias 9 y xo . Imperio francés. quedaron muertos en el campo del honor el coronel Floret y el subteniente Zwer- . Botona xo de julio. • ger , del 2° regimiento de caballería ligera - La juventud de esta ciudad solicita con del Rei, y el subteniente Der…</t>
  </si>
  <si>
    <t>Fluxer, Francisco</t>
  </si>
  <si>
    <t>Francisco Fluxer</t>
  </si>
  <si>
    <t>ado con gran valor y serenidad al fren­ te siempre de su tropa , avanzando y retirándose con el mayor orden. Igual mérito han contraido los capitanes D. Francisco Fluxer y li. Josef Moreda, del tercio del Valles, y el capitán I&gt;. Juan Portelb y .-u teniente 1), Juan Serra del tercio de Mauresa , que mandando las guerrillas , …</t>
  </si>
  <si>
    <t>Fock</t>
  </si>
  <si>
    <t>galeota con batidera de tera execucion, y no podrán cometerse á Knifausen , llamada la Estrella del Norte, otro tribunal, sino én' caso de haber sido capitán Fock , procedente de Notden, y anuladas por el tribunal de reposición. art. ciii. El número de los juagados con destino á Londres.:, llevaba una licen­ de pTimera instan…</t>
  </si>
  <si>
    <t>Fogueras, Francisco</t>
  </si>
  <si>
    <t>Francisco Fogueras</t>
  </si>
  <si>
    <t>to de infante­ art. 11. Nuestro ministro de la Justicia ría española de línea núm 2.® ¡ y capit^a de queda encargado de la execucion del pre­ aquel á D. Francisco Fogueras, teniente, sente decreto. = Firmado = YO EL REI.ss con grado de capitán, de este regimiento. Por S. M. su ministro secretario de Esta­ Él mismo dia se ha d…</t>
  </si>
  <si>
    <t>tista Guitart, para juez de primera instancia en Madrid; del teniente del rey José, D. Joaquín Magallon, pa­ ra capitán de su caballería de línea; de D. Francisco Fogueras, para otra capitanía; de- D. Fernandez Salvador, para sargento mayor de caballería de línea;'de D. Bernando Casamayor y •D. José Muntaner, para comisarios …</t>
  </si>
  <si>
    <t>Foncillas, José Angel</t>
  </si>
  <si>
    <t>José Angel Foncillas</t>
  </si>
  <si>
    <t>onde de Montes-claros. — D. Bernardo González Alvarez. — Doña" Francisca Siró de Gre. --El marques de Mo­ nasterio y de Paredes. — D. Rafael Costa. — D. José Angel Foncillas. -- D. Andrés Nuñez de Haro.-~ D. Mateo Cortés.— D. Cos­ me Laredo. — D. Francisco López Pelegrin. — D. Salvador Cam­ pillo. — D. Eusebio Ximenez. — D. P…</t>
  </si>
  <si>
    <t>Fonta</t>
  </si>
  <si>
    <t>vantaron al Instante el sitío'de Sella, y orden dé apoderarse de Palamós adonde se retiraron á toda priesa á bordo de sus llegó en la mañana del 5 el general Fonta­ buques, después de haber dexado en nues­ na. Diez lanchas cañoneras , una media ga­ tro poder muchos centenares de prisioneros» lera y dos bricks enemigos hfciéro…</t>
  </si>
  <si>
    <t>Fontanelli</t>
  </si>
  <si>
    <t>smo una gran porción del equipage del General en xefe Baraguay Hjlliers , quien en el combate de la noche pasada recibió una contusión. Parece que el General Fontanelli salió también herido en un brazo. Eí valle de Ledro está ocupado por nuestras tropas y por la insurrecion del país. Algunas partidas sueltas se han adelantado…</t>
  </si>
  <si>
    <t>Fontanes</t>
  </si>
  <si>
    <t>ge de su alegría, de su celo y de tarán de entusiasmo al escuchar vuestro su amor.” nombre. „Quando la paz, conquistada en las ori­ tscurso del señor conde Fontanes , gran llas del Danubio por nuevas victorias, ha maestro de la Universidad. desarmado al continente, séanos permitido que el padre de la patria fixe por un mo­ Se…</t>
  </si>
  <si>
    <t>Fontenai</t>
  </si>
  <si>
    <t>293</t>
  </si>
  <si>
    <t>propias maños á un oficial ingles, qne en lo mas encendido de la refriega se asió de él para quitarle el águila. El generaide artiileríaBóurgeat v ei coronel Fontenai se han portado con mucho valor. ~ El dia 17 al amanecer vimos darse á la vela el convoi ingles, y el 18 desapareció enteramente. El duque de Dalmacia había mand…</t>
  </si>
  <si>
    <t>Forces, Manuel</t>
  </si>
  <si>
    <t>Manuel Forces</t>
  </si>
  <si>
    <t>hermosa, el marques deiFuerite^ Olivar, él barón de Purroi, Mariano Domínguez, D. Joaquín Ignacio Escala, Miguel^Doíz, secretario, D. Mariano Conesa, D. Manuel Forces, se ha presentado el 20 de febrero, á las 4 de. la tarde, en el quartel general de S. E. monseñor el mariscal du­ que de Mohtehello para ofrecerle la rendición …</t>
  </si>
  <si>
    <t>ForeiJe</t>
  </si>
  <si>
    <t>la Guerra ; el señor de ,, Vamos persiguiendo á los gavachos, Nopfgarten, ministro de lo Interior; el que se retiran apresuradamente y sin opo­ señor general ForeiJe, gran maestre de nernos la menor resistencia; de suerte que SS. AA. RR.; el señor de Bourgoi^g, mi­ para el mes de agosto esperamos que . no nistro de Francia, y…</t>
  </si>
  <si>
    <t>Fornier, Pablo</t>
  </si>
  <si>
    <t>Pablo Fornier</t>
  </si>
  <si>
    <t>o de batalla, y por dexarse gobernar de Valbuena, tenientes de caballería , capita­ nuestros consejos se la ve ahora reducida nes de la misma arma; á D. Pablo Fornier, otra vez á humillarse á los pies del vence­ teniente de infantería, capitán de la misma dor á pedirle la paz. Los ministros de arma ; á D. Ramón Gutiérrez , te…</t>
  </si>
  <si>
    <t>Fornies, Pedro Silves José</t>
  </si>
  <si>
    <t>Pedro Silves José Fornies</t>
  </si>
  <si>
    <t>an, muger é hi­ jo. — Doña Bárbara Garay. — Conde Parsen, marques de Bárboles. — D. Joaquin Heredia. — D. Ildefonso Quartero.--Doña Ven­ tura Lisa. — D. Pedro Silves— José Fornies. -- D. José Latasa. — D. José Marracó. — D. Tomas Castillo Larroy. -- D. Vicente Camacho. -- D. Pablo Pasqual.— D. Juan Ramón Perez. -- D. Xa­ vier…</t>
  </si>
  <si>
    <t>Foronda, Fausto</t>
  </si>
  <si>
    <t>Fausto Foronda</t>
  </si>
  <si>
    <t>- Rafael Tenorio, D. Dónuogo "V'cngoa y.' tua, D* Luis Bellocq y D. Pedro Isla,: ofi­ JD. Gregorio del Castillo, ó á los oficiales-ciales primeros; á D. Fausto Foronda,Don primeros D. Josef de Hueros y D. Camilo Santiago. Torres, D» t Joaquín Cituentes,; Arroyo , según el asunto de que se trate. D. Antonio Tejada, D. Josef Ma…</t>
  </si>
  <si>
    <t>Francisco Antonio Zea y D. Cnstoval Cladera xefes de división ; á D. Joa­ quín Albaytua , D. Luis Bellocq y D. Pedro Isla , oficiales pri­ meros ; á D. Fausto Foronda, D. Santiago Torres, D. Joaquín Cifuentes, D. Antonio Tejada, D. José María Carnerero y D. Ma­ nuel.García Suelto oficiales segundos ; y á D. José Antonio Con­ …</t>
  </si>
  <si>
    <t>Forsde, Josef</t>
  </si>
  <si>
    <t>Josef Forsde</t>
  </si>
  <si>
    <t>.” to de infantería Real Extrangero para ca­ pitanes á D. Mauricio Gard , D. Pedro Extracto de las minutas de la secretar!» Yung , D. Jorge Dubteuil, D. Josef Forsde Estado. ter y D. Josef Yost. Para tenientes á Don En nuestro palacio de Madrid á 27 de Juan Vareche y D. Francisco Kratzer, y •setieiríbre de 1809. para subtenie…</t>
  </si>
  <si>
    <t>Forster</t>
  </si>
  <si>
    <t>e Juan n foca después de una corta resistencia , y de Lichteustein. li fortaleza fue ocupada por el cuerpo del Sin embarga de que se cree aquí que la coronel Forster. paz está mui próxima, se están haciendo ,,H generó Pantschulíedsew por su parte todos los preparativos militares que dicta la derrotó las tropas enemigas que in…</t>
  </si>
  <si>
    <t>Fortuny, Manuel Epifanio</t>
  </si>
  <si>
    <t>Manuel Epifanio Fortuny</t>
  </si>
  <si>
    <t>seguida asaltaron el recinto donde se hallaban ar­ restados , de orden de la Junta Superior de este Principado, el Oidor de la Audiencia de Barcelona D. Manuel Epifanio Fortuny, coi D. Jcsef Rubíes y D. Josef Casals , ámbos veci­ nos de Ba!agu?r ; mataron á los dos primeros, y por la no­ che asesiüaroa igualmente á la mnger d…</t>
  </si>
  <si>
    <t>Fossombroni</t>
  </si>
  <si>
    <t>-gran elector, mas inteligentes. Aseguran que durante las los señores conde de Apparent, principé heladas del invierno la guarnición no pue­ Corsini, conde Fossombroni, conde Ande contar con la protección de la marina. guissola, conde Veuturi, y el conde CarY aun quando los hielos no sean mui fuer­ bonara, todos senadores. te…</t>
  </si>
  <si>
    <t>Fraeer</t>
  </si>
  <si>
    <t>el primer batallen del 52, arrolló al enemigo, y amenazó la izquierda de su posición. Esta circunstancia , y la posición de la división del Teniente general Fraeer con el objeto , cíe .dar aun mas seguridad á la derecha da la línea, forzaron al enemigo á disminuir sus esfuerzos por aquella parte. • Pero en desquite los dirigí…</t>
  </si>
  <si>
    <t>Fraftcesehi</t>
  </si>
  <si>
    <t>posible %at cuerpo del exército. Otra del mismo Soult á Josef Napoleón de ¡a Puebla de Sanabria ¿125 de junio. Comunica á Josef, haber dado orden al general Fraftcesehi para pasar á Zamora;coh su división, (deí modo que se dixo en la carta antecedente) y al misino tiempo le significa , qué el i de julio en-</t>
  </si>
  <si>
    <t>Fraguas, Manuel</t>
  </si>
  <si>
    <t>Manuel Fraguas</t>
  </si>
  <si>
    <t>277</t>
  </si>
  <si>
    <t>guel, el sargento segundo Simón Caballero, y los soldados José Roura y Francisco Oriách; de dragonesdel Rey, el sar­ gento primero Juan de Mora, y el soldado Manuel Fraguas, y de la caballería de San Narciso, los carabineros Pedro Berdeguer^ y el sol­ dado Toribio Alonso. Estos individuos recomiendo particularmente á la justi…</t>
  </si>
  <si>
    <t>Fragueijido, Josef</t>
  </si>
  <si>
    <t>Josef Fragueijido</t>
  </si>
  <si>
    <t>les; su patriotismo es todavía mayor teniente del regimiento de infantería espa­ que sus luces: verdad es que no han que­ ñola de linea núin. i.'*; á D. Josef Fragueijido elevar á la Francia al grado mas emi­ ro, sargento i.® del brtallon de infantería nente de gloria á que ha llegado jamas na­ ligera num. 1 subteniente del m…</t>
  </si>
  <si>
    <t>Fraiiei</t>
  </si>
  <si>
    <t>teadores de la guar­ Marquiua (L). Jo^ef), presidente de la jun­ dia real. ta de negocios contenciosos. Gaznan (conde) , consejero de Estado. M azo ( D. Fraiiei co) , aj udmte del regi­ Herirte (D. Luis), mayor del Real Extrao- miento núm. i.°, iiifanteiía de línea. gero. Mer.ch ( D. Luis), intendente. de Aragón. Hetas(D. Man…</t>
  </si>
  <si>
    <t>Fran</t>
  </si>
  <si>
    <t>ero, sin que de nuestra par­ te haya habido mas que tres contusos. Se debió esta bizarra de­ fensa- á ios esforzados,naturales del Pais mandados1 por D. Fran­ cisco Kstivill, D. Francisco Robira, y D. Joset Puig, y ayuda­ dos de una partida del .Batallón de Voluntarios de Tarragona. Con licencia, en la Imprenta de la calle de…</t>
  </si>
  <si>
    <t>de Sa­ las. Para las cinco plazas que resultan vacantes en la sala de Corte nombra­ mos á D. Diego Cosío, fiscal de la chancillería de Valladolid, á D. Fran­ cisco Remon, D. Manuel Saravia, D. Laureano Jado y D. Domingo Ri­ co Villa de Moros, abogados del colegio de la corte; y para la fiscalía de Valladolid, que resulta tamb…</t>
  </si>
  <si>
    <t>dem , too rs. = D. Antonio Espinosa, Contador honorario de Exército, y Superintendente substituto de la Rea/ Fábrica del Tabaco, por ídem, 300 rs. =r D. Fran­ cisco Domí nguez é hijo, mensuaimente, 100 rs. = D. Juan Antonio Hen riquez , Intendente de Marina , 528 rs. = Varici vecinos de la Parroquia de S. Julián , por una vez…</t>
  </si>
  <si>
    <t>ión se hicieron fuego recíprocamente mas de 4 horas esperando socorros ambas partes ; pero avisados oportunamente por el R-igadier D. Luis 'Wunpfeu., D. Fran­ cisco y D. Ramón de Míians., y 'D. Juan Claró.-» , enviaron primero el tercio de 'Talam mandado por D. Felipe tie Fieyres, y ellos mismos .con la gente de su mando se d…</t>
  </si>
  <si>
    <t>21 de mayo de 1809</t>
  </si>
  <si>
    <t>Gaceta de Madrid n.º 141</t>
  </si>
  <si>
    <t>667</t>
  </si>
  <si>
    <t>la mejor política. Confíeme V. A/. s:;s vuestra magnanimidad volvió á poner ¡a co­ inquietudesj quando consigan infundírse­ rona sobre la cabeza del Emperador Fran­ las, )~o las disiparé- en un instante........ cisco. ,, V. Al. tampoco pide i sus pueblos ,,Este Soberano olvidó bien pronto los ■ nincuna'contribución nueva para…</t>
  </si>
  <si>
    <t>Campo de*Atange , del Duque de Frías, del Conde dé Cabarrits , de D. Josef Maz arredo ^ de D. Ma­ riano Luis dé Urquijo , del Conde de M ontarco, de D. Fran­ cisco Xavier de Nígrete, dé los Marqueses de Casa-calvo, de Vendaya , de Casa Palacios , y de Monte hermoso , de D¿ Manuel Romero , de D. Pablo de Ar ribas , de' D. Jose…</t>
  </si>
  <si>
    <t>ficios. Pero los furiosos aristócratas Asimismo ha conferido S. M. el corre­ que dominan alli no cesan de dar provi­ gimiento de la ciudad de Soria á D. Fran­ dencias opresoras , y de envolver cada día cisco María de Roxas; el de la de Cala­ en mayores males á los infelices que girnen horra á D. Fernando Gutiérrez, y el de ba…</t>
  </si>
  <si>
    <t>e' nsví j D. \ .Aod«es de ja Fuerte, D. Manuel de¿- Echeverría y D* Vi*cetite¿ Eúr-raggi , cuya,* Órdenes ifía el teniente'. de- volúntanos de Eípaoa D. Fran­ cisco Pulgar , pues tanto á bala rasa-cuno- á m-.trai'a bar­ rían el cempo de coeiTiigcs , "limpiabán los .picares donde se ocultaban , .dispersaban su caballería-, que…</t>
  </si>
  <si>
    <t>de V. E. para mi inteligencia^ y que deter­ mine lo mas conveniente. =r Calzada de Cilatrava 29 de junio de 1809.» Excmo. Sr. Luis Lhcy. = Excmo. Sr. D. Fran­ cisco Xavier Veñfg^s. ,, No puedo inénos de recomendar i V. E. muy par ticalame r te la unibidóo de gloria de que se hallan poseído» : los tres x¿fes del regimiento dé …</t>
  </si>
  <si>
    <t>tes económicos con que la brindan sn Por reales decretos de 6 del corriente natural feracidad y situación. Duplicado sn se ha servido S. M. nombrar á D. Fran­ vecindario, seria doble 'también el consu­ cisco Juan Diaz Lavandero, oidor de la mo de trigo ; el qual si hoi día , facilitada chanciilería de Valladolid , para la pla…</t>
  </si>
  <si>
    <t>rdos de la real Audien­ cia los Señores Ministros de dicho Supremo Tribunal que se hallan; en esta ciudad , D. Manuel de Lardizabal, Conde del Pinar, D. Fran­ cisco Requena , D. Josef Pablo Valiente , D. Sebastian de Torres,D. Ignacio Martínez de Villela , D. Miguel Alfonso Villagomez, D. Tomás Moyano, D. Pasqual Quiíez y Tal…</t>
  </si>
  <si>
    <t>/ •"7&amp;S y el teniente de infantería de voluntarios de España D. Fran­ cisco del Pulgar, por lo qual fueron inútiles sus esfuerzos. - Este dia fue mucho mas vivo el fuego de fusil y enarde­ cidos los soldados se salían de las débiles tapias que los cubrían, y se fogueaban con</t>
  </si>
  <si>
    <t>1200</t>
  </si>
  <si>
    <t>on que se han distinguido varios españoles amantes de la nación y de la justa causa que defiende, merecen particular mención los servicios hechos por D. Fran­ cisco de ívíazarredo, coronel dei regimiento de infantería de volunta­ rios de la Patria. Hallábase en el barco de Avila quando el lamentable suceso'de Madrid del día 2…</t>
  </si>
  <si>
    <t>s de 10 millones de esterli­ Extrangero, capitán de la 4.* compañía del nas, he aquí los sacrificios que estamos ha­ a.° batallón del mismo cuerpo; á D. Fran­ ciendo actaalmeute, enormes por cierto. cisco Kosty á D. Pedro Mulot, subtenien­ ¿Mas qué conseguiremos coa todo ello? La tes del regimiento de infantería Real Extran­ …</t>
  </si>
  <si>
    <t>rles el curso cor­ presupuestos de gastos mensuales, la expe­ respondiente. dición de los libramientos , y quanto con­ El gefe de la segunda división D. Fran­ cierne á la liquidación de créditos, y á los cisco Antonio Zea qnanto pertenece á la pagos que se hayan de hacer por el minis­ instrucción pública, desde las escuelas d…</t>
  </si>
  <si>
    <t>grégase á esto el que otros suGenaro Jaccariní, D. Nicolás Astuti, Don getos que se ven excluidos del gobierno, y Rafael Bustamante , y á los vélites D. Fran­ que quisieran tener en él influencia, no ce­ cisco Prina , D. Leonardo Vila, D. Hen- san de sembrar-cizaña ; y arrimándose á al­ sique Víctor, D. Josef Cabanellas, D. T…</t>
  </si>
  <si>
    <t>que todavía están dominados por lo* franceses, y que no nombro para no comprometerlos , cuyo nú­ mero total ascendia á 13.hombres, todos al mando de D. Fran­ cisco de Paula Clarós, mayor del tercio de Figueras. Dispuse también que el teniente coronel D. Ramón de Foyxá, eoQ la caballería de S, Narciso de sumando , y con 70 mig…</t>
  </si>
  <si>
    <t>yudante del baral j | está acomodado para la residencia de la cor­ de infantería ligera núm. 1." te. Se asegura que S M. la E nperatriz lle­ Arribas (D. Fran- i-co) , arcediano de Burgo, gará hoi mismo, y que esperará aqbi á .S. M. Astigarrag.i (D. Josef). espitan de navin,1 e¡ Emperador , cuyo regreso se mira como Bdlesrrier…</t>
  </si>
  <si>
    <t>El censor de estudios formará nardo Ulloa, presbítero ex-cisterciense, pa­ cada año el estado general de los alumnos ra otra canongía de la de Tui: á D. Fran­ y escolares, y á su tiempo el de los que cisco de Perejon y Castro, canónigo deca­ salgan del liceo concluida su carrera ; uno no de la de Santander, para la dignidad d…</t>
  </si>
  <si>
    <t>comisión. NOTICIAS DE ESPAÑA. Manresa 22 de octubre. — Copia de los partes dados al gobernardor de Matai ó y comandante general de agüella costa, por D. Fran­ cisco de Deu,, comandante del campamento de la Conrería. — “ Se­ ñor: infatigable la gente de mi mando , deseosos de batirse con el enemigo los valerosos capitanes , y …</t>
  </si>
  <si>
    <t>lería y otras demostra­ ciones de alegría. Nada se sabe de fixo acerca de ios términos de este tratado sino que son muy duros é ignosiinioscs para él emperador Fran­ cisco , pero siendo los que se han aiiuuciado ya , la Bohemia y Hungría es todo lo que le queda. -Nada podemos decir acerca de esto hasta que lo sepamos mas auté…</t>
  </si>
  <si>
    <t>, brigada irlandesa. — Deslandes, se­ cretario de gabinete. — Despres , teniente coronel y edecán. ~ Donna, general y gobernador del palacio.—Duran (D. Fran­ cisco Xavier) consejero de Estado.” “Echague (D. Francisco Antonio). -- Echegaraya (D.Jacobo ) capitán del regimiento núm. 2 , infantería de línea. — Echeverría ( D. Ped…</t>
  </si>
  <si>
    <t>confederación helvética , ha hecho saber es­ tivo del fallecimiento de la archiduquesa to al landamman, pidiendo una pronta y María Ana, hermana del Emperador Fran­ completa satisfacción , y el castigo rigurosa cisco ii. Esta princesa vivid muchos años de ias personas acusadas de este delito con­ en Roma, y en el actual había…</t>
  </si>
  <si>
    <t>D. Manuel García del Campo.— D. Vi­ cente Aragón. — D. Antonio Viscasillas. — D. Vicente Martínez.— D. Hilario Ximenez.— Angel Blanque.— Juan Domec.- D. Fran­ cisco Gantolaria — D. Francisco de Paula Perpiñan, muger é hi­ jo. — Doña Bárbara Garay. — Conde Parsen, marques de Bárboles. — D. Joaquin Heredia. — D. Ildefonso Quart…</t>
  </si>
  <si>
    <t>po de españoles que ocupaban la antigüedad de 29 de agosto último en los desfiladeros de Villar del Salz , y en el que fue admitido á su servicio*, í D. Fran­ siguiente avanzó hasta llegar ai frente del cisco Cabrol capitán efectivo de infanteria santuario de nuestra señora del Tremedal, de línea; á D. María de Cutoli capitán…</t>
  </si>
  <si>
    <t>Fran, Pedro</t>
  </si>
  <si>
    <t>Pedro Fran</t>
  </si>
  <si>
    <t>ban también otras dos divisiones con las que entraban por los puntos de Salvatierra y Fago, mandados to­ dos por los oficiales D. José Fermín Gonget, D. Pedro Fran-. cisco de Cambra , D. Sebastian de Gambra , D. Genaro Mar­ tin , D. Matías de Aras , D. Tomás de Renovales , D. Ale-* ¿andró Amigot, D. Juan Casao, y los cadetes …</t>
  </si>
  <si>
    <t>FRANCES, GENERAD de INGENIEROS del EXERCITO</t>
  </si>
  <si>
    <t>GENERAD de INGENIEROS del EXERCITO FRANCES</t>
  </si>
  <si>
    <t>dirigido contra los enemigos en di­ ferentes puntos, para la defensa y socorro de aquella importante plaza y sus castillos exteriores. MENSAGE QUE EL COMANDANTE GENERAD DE INGENIEROS DEL EXERCITO FRANCES , SITIADOR DE GERONA, ENVIA AL GOBERNADOR DE LA PLAZA, X CONTESTACION DE ESTE. Campo delante de Gerona 2 de julio de 1809. …</t>
  </si>
  <si>
    <t>FRANCES, IMPERIO</t>
  </si>
  <si>
    <t>IMPERIO FRANCES</t>
  </si>
  <si>
    <t>661</t>
  </si>
  <si>
    <t>es co­ El embaxador. Tengo también órden mandante en gefe el Rei de Westfalia. de prevenir á V. E. que, como yo me lo habia figurado, el regreso del Emperador IMPERIO FRANCES. Napoleón ; la orden que pasó á los prínci­ pes de la confederación del Rin , y, por París g de mayo. último, varios artículos de los periódicos frances…</t>
  </si>
  <si>
    <t>licitado á Sehace paaatrpor Kufstein nna cantidad porfia hacer este servicio. cpOiidarablc ¿envere* para las tropas que bal enelTitoláU» órdenes, del mariscal IMPERIO FRANCES. duque de Dantfick. Algunas casas, de comercio de Trieste Lila 21 de agosto. ha»' suspendido sus pagos. De 1 f dias i esta parte no cesan de pe­ La esqu…</t>
  </si>
  <si>
    <t>Franceschi</t>
  </si>
  <si>
    <t>silla , donde se hallaba la izquierda de los enemigos ocupada por los españoles, al cargo del general la Romana; fueron batidos inmediatamente por el general Franceschi, quien hizo grande estrago en ellos, cogiéndoles ademas 2 banderas, un coronel, 2 tenientes' coroneles , 50 oficiales y 1 f00-soldados. ■ * El 31 entró en Leó…</t>
  </si>
  <si>
    <t>de los españoles, la vergüenza y el deshonor. La flor de su exército, com­ puesta de escoceses, ha perecido entre muertos, heridos ó prisioneros. El general Franceschi ha entrado en Santiago de Compostela, donde en­ contró algunos almacenes, y una guardia inglesa, que ha hecho prisionera. Ha marchado inmediatamente sobre Vigo…</t>
  </si>
  <si>
    <t>2 de Betanzos. Habiendo llegado á las orillas del Mero encontró cortado el puente de Burgo. El enemigo fue desalojado de este lugar. En el ínterin el general Franceschi subió por la orilla del rio, y lo pasó por el puente de Sela. Cortó el camino real de la Coruña á Santiago, é hizo prisioneros 6 oficiales y 60 soldados. En e…</t>
  </si>
  <si>
    <t>4 ahogándose 1200 hombres que lleva­ ques de Almenara , embaxador de S. M. C. en Constantinopia. ban á bordo. El día 14 cayó un rayo en un molino El general Franceschi ha entrado en Tui. El duque de Dalmacia marcha á Oporto. de viento, situado junto á ia iglesia de San En Lisboa hai 400 transportes destina­ Dionisio; hizo ped…</t>
  </si>
  <si>
    <t>743</t>
  </si>
  <si>
    <t>indudable, pues as^í resulta de los papeles que se hallaron em la cartera de dicho General. La vanguardia del exército de Soult, que mandaba el mismo General Franceschi, y entró en Zamora, consta de 6 regimientos de infantería y otros 6 de caballe­ ría, componiendo en todo unos 4 ó hombres, por te­ ner ya los regimientos muy …</t>
  </si>
  <si>
    <t>364</t>
  </si>
  <si>
    <t>a nación tan gloriosamente sostiene.”—El capuchino Fr. Julián de Delica , comandante de una guerrilla de 70 hom­ bres , y conocido por la prisión del general Franceschi, parece que últimamente entre Tordesillas y Simancas , ha hecho prisio­ nero á un edecán de Kellerman que presentó en el quartel gene­ ral español de Fuentegu…</t>
  </si>
  <si>
    <t>Francis</t>
  </si>
  <si>
    <t>Por su empleo Drt,p. Serafín Domínguez, teniente vicario eclesiástico. Por la universidad Dr. D. Manuel Carralero, rector de la real universidad, Dr. D. Francis­ co^ Mariano Lebrón, Di”. D. Bernardo Merino y Dr. D. Manuel Esperanza. ' Por rentas dirímale* D.‘ Francisco Paula Sánchez Roldan. Por el comercio D. Manuel Urrutia y…</t>
  </si>
  <si>
    <t>la orilla del Ebro , para oponerse á caldes del crimen del propio tribunal á las que los enemigos podrian levantar entre D. Nicolás de Achútegui, y á D. Francis­ el embocadero del Gallego y el arrabal. co Xavier de Arana. Ataque del centro. Se ha ensanchado la S. M. ha nombrado asimismo al Dr. Don izquierda de la tercera para…</t>
  </si>
  <si>
    <t>menos de recomendar el distinguido valor que han acreditado , ademas del citado Capitán González , los de la misma clase del batallón de la Victoria D. Francis­ co Colombo , D. Manuel Benedicto , el Alférez de Navio del propio cuerpo D. Josef María Sierra , el Capitán deí regimiento de Zamora D. Josef Tomaseo , el Teniente de…</t>
  </si>
  <si>
    <t>724</t>
  </si>
  <si>
    <t>o eterno por parte del Empera­ miento de fundar una declaración de guerra so­ dor de Austria era la única conquista que le bre semejantes asertos. El Emperador Francis­ quedaba que hacer al Emperador de los france­ co u, al dia siguiente á aquella jornada en que ses; y finalmente, que la existencia de la mo­ su cetro quedó en…</t>
  </si>
  <si>
    <t>mpresas hostiles del conde de Metternich. gabinete de las Tuberías contra la dignidad y la independencia de la monarquía aus­ ,,Señor conde: el señor conde Francis­ tríaca. S. M. I. no puede resolverse á hacer co de Palfi ha llegado aquí el 2$ con plie­ depender su seguridad de semejantes pro­ gos del 16 del corriente. mesas,…</t>
  </si>
  <si>
    <t>endable el mérito de los teniente» coroneles D. Ramón de Foyxá, por haber sostenido con bizarría exemplar la arriesgada posición de Tayalá , y el Sr. D. Francis­ co Ferrer y Pons , por la serenidad y táctica que manifestó , ha­ ciendo adelantar las colanas de reserva al paso que iban retiran­ do los enemigos , y enviando á su…</t>
  </si>
  <si>
    <t>adas por los insurgentes; pero á ra otro beneficio del templo de nuestra se­ pesar de haber sobrevenido la noche á po­ ñora del Pilar, en Zaragoza, á D. Francis­ co después de su Llegada , se determinó á co Tomas de Torrecilla , presbítero ex-reli- atacarlos, los arrolló efectivamente, y se gioso de la orden de S. Gerónimo. s…</t>
  </si>
  <si>
    <t>Francisco</t>
  </si>
  <si>
    <t>far en España, ¿ quien podrá dudar de que inme­ diatamente convertiría todas sus fuerzas contra el Austria ? Asi que., seria necesario suponer que el Emperador Francisco no tiene todas las noticias que pueden interesar á su Estado, y que ig­ nora los designios de Bonaparte para creerle capaz de perder la ocasión favorable de …</t>
  </si>
  <si>
    <t>no hace á la España sepulcro de ledos sus habitantes , es hombre perdido. Quiere aniquilar el Austria, porque no puede conseguir que je sosiegue. El Emperador Francisco y toda su familia están en ei corazón de Bonaparte sentenciados á muerte , porque los te­ me. En los húngaros divisa este tirano otros vengadores de- la Europ…</t>
  </si>
  <si>
    <t>grande estrago ai enemigo á pesar d# la desigualdad deí mianro. Aquí se ha publicado una proclama por el Gühr&gt;-nadar interino' de esta "provincia el Brigadier Francisco de'Süveyra, dirigida á los fieles y valerosos Trasmontanos, á quie­ nes., entre otras eloqüentes y persuasivas reflexiones que ha­ cen interesante su lectura,…</t>
  </si>
  <si>
    <t>mino de la villa de Linares, reino y obispado de Jaeri; guido monasterio de monjas Trinitarias, extramuros de todo lo qual lleva en arriendo el L)r. D. Francisco de la ciudad deBúrgos; á saber; el citado monasterio, con la Torre, médico'titular de dicha villa, por la renta su iglesia, claustro, corrales, huerta, y demas habit…</t>
  </si>
  <si>
    <t>tríaco,, recibirán sus pagas en dinero de contado : culpa á la In­ glaterra de haber trastornado con su oro el sistema pacífico que había adoptado el Emperador Francisco , y la hace res­ ponsable de un millón de hombres que pueden perecer,— Hace ya mucho tiempo que se sabe en Alemania que Na­ poleón habla decretado en el. sil…</t>
  </si>
  <si>
    <t>os sa­ no me ha dicho nunca cosa alguna sobre tisfacción ; el Emperador Napoleón cree po­ este punto, y en Viena tampoco se ha di­ der aguardarla del Emperador Francisco, cho nada de ello al general Andreossi,' y tan cumplida , qual gustaría de daría , si ¿Quiere el Austria tranquilizarse en or­ un caso semejante hubiese suce…</t>
  </si>
  <si>
    <t>enso poder ,,¿Cómose ha podido olvidar, señor, de V. M.; y en una carta digna de eterna las veces que ha estado en vuestras manos memoria ha dicho al Emperador Francisco victoriosas la suerte de! Austria? estas palabras tan notables: manifiesten coit,, Dueño de Viena y de la mayor par­ fianza las acciones de V. A/, y la inspi…</t>
  </si>
  <si>
    <t>oda condición y de dos ramos, abrir y fomentar los manantia­ todas las provincias conocen y confiesan que les de la prosperidad pública, animar la el Emperador Francisco 11 ha sido el agre­ agricultura, alentar el comercio y las ar­ sor: todos ellos aguardan grandes mudan­ tes , y dirigir todas sus ideas y todos sus zas , y c…</t>
  </si>
  <si>
    <t>sto después potencia. Y en esta suposición ¿cómo he­ que el exército austríaco había pasado el mos de poder mantener el bloqueo en una Inii, y qúe el Emperador Francisco n se extensión tan grande de costas? Si esto su­ había hecho reo de un perjurio, señal de cediese, es preciso creer que el consejo mo­ su ruina. dificarla au…</t>
  </si>
  <si>
    <t>ca­ combate son 1500 prisioneros, y entre ellos pital luego que supo las providencias revo­ 26. oficiales, un coronel y un mayor: un lucionarias del Emperador Francisco. En su batallón entero del regimiento de Rieski con lugar fue nombrado el archiduque Maxi­ su bandera fue envuelto por nuestros vol­ miliano, que se rodeó de …</t>
  </si>
  <si>
    <t>y luego que supo las que prueba hasta qué punto ha llegado el providencias revolucionarias ordenadas por desvarío de los austríacos. Al entrar en el Emperador Francisco 11 no quiso per­ campaña se les aseguró tan solemnemente manecer en el gobierno. Fue nombrado en que no había ni siquiera un francés en Ale­ su logar el archi…</t>
  </si>
  <si>
    <t>. . El Emperador Francisco os presenta tan híerm ¿xa y biiüáuto perspectivá; y la Europa sabe Ja pureza d*.* suqgr intenciones, y la exactitud de sus palabras. Dispertad;, pues, y levantaos .; en la segura confianza de que* quálquiera que sea; éí partido que hubier</t>
  </si>
  <si>
    <t>­ sino en el último extremo, de los prefectos cernos esperar lo venidero con tranquilidad; de nuestros círculos , porque prefiero em­ ¡para Dios y el Emperador Francisco nada plear á los sugetos del pais, á los quaUs hai imposible! ¡Penetrémonos de esta idea; podré conceder con seguridad una influen­ sea ella nuestra mas liso…</t>
  </si>
  <si>
    <t>simo Señor*. S. M. ei Emperador ha saliera una diputación para el quartel gene­ tenido noticia de una orden dada por el ral del Emperador de Austria. Emperador Francisco , que declara que los Esta diputación se halla ya de vuelta. generales franceses Durosnel y Foulers , á El Emperador Francisco ha respondido á quienes los su…</t>
  </si>
  <si>
    <t>ante la guerra de la. revelación de iedia la paz; y rogaba encarecidamente á América, la Francia , constante siempre en fos diputados que hablasen al Emperador Francisco en favor de la paz. También han sus principios generosos sobre la neutrali­ dad marítima, propuso muchas veces que referido los diputados que la conducta del…</t>
  </si>
  <si>
    <t>Nosotros por mu©ítra­ par re hemos reñido- 20 muertos r 67 heridos- y y con tu &gt;. sos ; entre* los* heridos eü espitan déF Real cuerpo de arri-Hería D. Francisco. t i Car mona-r ^ • e! subteniente dei mismo-. E&gt;¿.. J’bíef P’uente , éT capitán dél regimiento' dki -General, gra­ duado de teniente corone!, D- Manuel B' yona, los…</t>
  </si>
  <si>
    <t>l.día 8 4 los meafetameute junte un ¿uerpo de aoSJ habitantes de Bruna una. proclama'» &gt;n: que hombres en la Bosnia , y que marche con declara que el Emperador Francisco le ha­ él hácia el Drina y ti Buzawa. bía escrito una carta toda de propio puño, El día 14 se cerébro’eri Belgrado nn avisándole deqnehabiendo alcanzado los …</t>
  </si>
  <si>
    <t>1020</t>
  </si>
  <si>
    <t>noticia. Viena 24 de julio. La isla de Vising, en donde ha de es­ Acaba de publicarse aquí la carta que tar Gustavo Adolfo iv con su familia has­ el Emperador Francisco dirigió al presiden­ ta nueva orden , tiene una milla de longi­ te de la regencia del Austria inferior, quantud y media de latitud. Está situada á una do los …</t>
  </si>
  <si>
    <t>Gazeta del Gobierno n.º 11 · 2.ª serie (extraordinaria)</t>
  </si>
  <si>
    <t>93</t>
  </si>
  <si>
    <t>neros austríacos, resulta siempre que la campaña ha estado muy lejos de ser tan favorable á nuestros enemigos , como lo cuentan en sus boletines . El emperador Francisco ha desaprobado el armisti­ cio de Znaim , dando á conocer del modo mas solemne su des­ agrado ; en lo qual ha seguido la opinión general de Alema­ nia , que …</t>
  </si>
  <si>
    <t>o á su ignorancia es consiguiente la des­ tino dei Rincón , á De Lorenz &gt; d-J Iruegas, gracia común y la oprobiosa dependencia á D. Dámaso Hermo&amp;o, á D Francisco de los extraños en las cosas mas necesarias Iturmcndi, á D. Miguel O juendo , á L&gt;on á la vida, y debe por consiguiente diri­ Juan Manuel de Gavina, á D. Antonio gir…</t>
  </si>
  <si>
    <t>1102</t>
  </si>
  <si>
    <t>n ciertamente nosotros. Las cartas de Petersburgo-dicen de tanta importancia , que hubiesen de de.- que no.hai que esperar el que el Empera­ cidir al Emperador Francisco á pedir un ar­ dor Alexandro mude de sistema político. misticio, y sobre todo á hacerle aceptar las El embalador francés Caulincourt y el pri­ condiciones hu…</t>
  </si>
  <si>
    <t>lante de Znaim, que tan profutir da sensación ha debido producir en Europa. No hay condición al­ guna en sus artículos que no sea degradante para 'el emperador Francisco. La línea de demarcación que incluye toda la Austria comienza en la frontera meridional de Bohemia, abráza los círcu­ los de Znaim y Brann en Moravia, y baxa…</t>
  </si>
  <si>
    <t>cierto que el emperador Francisco no ha tenido parte en él, y que le ha sorprehenclido completamente ; pero habiendo ya pro­ cedido el archiduque generalísimo al cumplimiento de los artícu­ los principales, poniéndose en marcha para evacuar el pais</t>
  </si>
  <si>
    <t>res esta apastado desde las cercanías de K ircze w Krauzberg y Hulelis. El señor Lambertie, Basta Bug. El punojpV :Phhii.fóTV~ki-tiene sil edecán del Emperador Francisco s pareep qmrtcl general en; Cracovia.' T un cuerpo que ha vuelto á recobrar su antigua influen­ Üí 69'rusos ocupa á Bochñia', en donde esa cia para con el Em…</t>
  </si>
  <si>
    <t>20 canelas inglesas, como también todos los blico de que están animados. Mis plenipo­ demas buques que llegaren en la misma si­ tenciarios, añade el Emperador Francisco, tuación , habiéndose hecho á la vela para han entablado conferencias con los del Em­ los Estados-Unidos antes de que se tuviera perador Napoleón. Repito que …</t>
  </si>
  <si>
    <t>á. nuestros enemi­ ros y malas para transportar nuestros en— gos como lo cnentan en. sus boletines (1). fermos 4 heridos. Soi de parecer que esto El Emperador Francisco ha desaprobado el solo será bastante para que nuestros minis­ armisticio de Znaim, dando á conocer del tres se curen de la locura de enviar expe­ modo mas sol…</t>
  </si>
  <si>
    <t>estaba en Presburgo, es decir, á quatro conclusión de este tratado tan extraño , pa­ postas de la posición del generalísimo, ape­ rece cierto que el Emperador Francisco no nas puede concebirse cómo el Austria subs­ ha tenido parte en él, y que Je ha sorprecribió al armisticio vergonzoso del. dia 12 hendido completamente; pero…</t>
  </si>
  <si>
    <t>507</t>
  </si>
  <si>
    <t>establecerse en Piisen , donde permanecerán durante la guerra. — Se dice que el archiduque Juan , que parece goza en el día la primera confianza del emperador Francisco, lia recibido poderes ilimita­ dos de S. M. para organizar dos exércilos delante de Praga y Olmutz. El general austríaco Kienmayer tiene un cuerpo de 253 homb…</t>
  </si>
  <si>
    <t>. Csnon) , ídem. ' IMPERIO FRANCES. Alonso ( D. Mmnel), oficial i.° del mili!—. terio de Negocios ex*rangeros. JFontaineblean 10 de octubre. Amorós ( D. Francisco) , consejero de Í!--» Están concluidos todos los preparativos tado. dispuestos en este palacio para recibir la casa Angulo ( D. Francisco) , ídem. imperial. Anteaye…</t>
  </si>
  <si>
    <t>Escol i .tico ). teniente del re— to Reai Extranjero. gimiento núm. r.0,:br-gada irandesa. Garrig* ( D. Josef) , alcalde de casa y corre* Lomb-rdi ( D. Francisco), oficial de orde— Gayé, gefe de esquadioa de caballos lige­ fie) fl Zd • ros de ía guardia. Í.P- Estanislao)., cons.-jero de Estado, Gómez ( D. Valerio)^ sargento i…</t>
  </si>
  <si>
    <t>1320 - ... . Osorno (D. Francisco) , comandante dé ba­ Santa María ( D. Pedro), asistente al con­ tallen del regimiento núm. x infante­ sejo, de Estado.. .. . ría de línea. Sergéan (‘D. Bernardo ), teniente del bata­ Pages,</t>
  </si>
  <si>
    <t>1368 bastante considerable, ha seguido la direc­ bela y D. Francisco, Iturribarria quedan ción que se le habla dado, y ha caido en nombrados alcaldes de nuestta real casa y el mismo punto indicado, en donde ha he­ corte. cho una explosión tetrible. i . art.</t>
  </si>
  <si>
    <t>13 de noviembre de 1809</t>
  </si>
  <si>
    <t>Gaceta de Madrid n.º 318</t>
  </si>
  <si>
    <t>o acaba de impouer un tri­ buto de dos rixdalers y 21 schelines sobre Iloi se han celebrado aqui los dias del cada res que se exporte de los ducados. Emperador Francisco 11 con una ilumina­ ción general. S. E. el mariscal Macdonald, PRUSIA. duque do Tarento, apreciando los senti­ mientos que animaban á les habitantes, ba Koen…</t>
  </si>
  <si>
    <t>e de Urbna , el pues se va consumiendo insensiblemente el qual ha sido nombrado gobernador de ella exército, el qual si no recibe grandes re­ por ‘el Emperador Francisco. S. E. ilegó fuerzos antes que entre el invierno, y se ayer aquí , é inmediatamente fue á verse hielen los brazos del Escalda, no podrá ab­ con el duque de C…</t>
  </si>
  <si>
    <t>ei­ que la dicha tropa marchaba para auxiliar ré» general de la caballería nuestra* no bas­ á Cataluña). taron púa contenerlos, y asi todo el exér­ ,,D. Francisco está ahora en casa de so cito fue presa del enemigo ; tal infortunio habilitado, quien le mandó ayer se dexase no solo es sensible y doloroso en sí mismo» ver por e…</t>
  </si>
  <si>
    <t>a ( marques) consejero de Estado. — Alonso (D. Cenon) -id. — Alonso ( D. Manuel ) oficial primero del ministerio de Ne.gocios extrangeros. — Amor.ós (D. Francisco) conse ero dé Es¡tado. — Angulo ( D. Francisco ) id. — Aranza ( D. Blas ) id. — Ardanaz (D. Cleto) comandante del batallón de infantería ligera, núm. 1. — Arias (D.…</t>
  </si>
  <si>
    <t>mer montero. — Beraza (D. An­ tonio ) administrador general de Correos. — Beunza (D. Fermín Ignacio). — Bigaré, general y edecán del rey. — Bouligni (D. Francisco ) xefe de batallón. -- Bouvard , mayor de volteadores de la guardia real. — Bravo (D. Tadeo) regidor de Madrid. — Brousse , mayor de caballos ligeros de la guardia …</t>
  </si>
  <si>
    <t>onte (D. Gaspar) juez de la junta de negocios contenciosos. — Litran ( D. Escolástico) teniente del regimiento-núm. i brigada^ irlandesa. — Lombardi (D. Francisco) oficial dé ordenanza. — Lu­ go ( D. Estanislao) consejero de Estado. — Lucotte, general y primer mayordomo. — Llano (D. Martin) maestro de ceremojiias. — Llórente …</t>
  </si>
  <si>
    <t>nto primero del batallón de infantería: ligera núm i.— Mauri (D. Juan). — Marquina (D. José) presidente de la junta de negocios contenciosos. — Mazo (D. Francisco) ayudante del re­ gimiento número i infantería de línea. — Mench (D. Luis) in­ tendente de Aragón. — Melito (conde) superintendente general de la casa real. — Melón…</t>
  </si>
  <si>
    <t>536</t>
  </si>
  <si>
    <t>aciones, y no ha querido continuar una guerra que podia llevar al Austria á la última desesperación , y volverla guerra nacional. — Por otra parte el emperador Francisco prometió no hacer sino una paz honrosa, y que pareciese perma­ nente. Pero i cómo será permanente una paz en que el Austria queda como el año pasado , cercad…</t>
  </si>
  <si>
    <t>alde de corte. Varesse (marques de), intendente de AranGardasse ( D. Juan ) , mariscai de logis de juez. caballos ligeros de la guardia real. Vargas (D. Francisco de), teniente coro­ González ( D. Manuel), capitán de caba­ nel de artillería. llería. Vieuls (D. Estéban), mariscal de logis de Heros (D. Nicolás de los). caballos…</t>
  </si>
  <si>
    <t>574</t>
  </si>
  <si>
    <t>pero hay pocas esperanzas de que viva. — El 21 de octubre, se­ gún una carta particid ir, se publicó en Viena la ratificación de la paz por parte del emperador Francisco ¡ quien aunque los franceses sal­ gan de aquella capital el 13 de noviembre, como se supone , no vuel­ ve á ella , sino que se dirige á Praga. Andreosi queda…</t>
  </si>
  <si>
    <t>grie­ Duhart (D. Armando Pedro), gefe de ba­ go oriental. Estos nuevos súbditos serán tallón. también, Señor, fieles y adictos á vuestra Favechemps (D. Francisco) , capitán de ca= sagrada persona, para hacerse dignos de ballena. vuestro f.vor , y de aquellas benéficas pro­ Francescchi-Delonne, teniente general, y videncias qu…</t>
  </si>
  <si>
    <t>Hussóo (D. Francisco), (obteniente del re­ Rivas (D. Antonio Martin), corregidor de . gimiento Real Extrangero. Truxillo. Janoski (Alexandro), granadero del mis­ Roxas y Hierro ( D. Josef de) , del extin­ mo re</t>
  </si>
  <si>
    <t>594 das y tambor batiente , resonando por los ayres aclamaciones de viva nuestro amado emperador Francisco. Los que conocen- la dulzura del temperamento de Bonaparte podrán formarse idea de la impresión que estas noticias le hicie­ ron. Mandó inmediatamente que el mariscal Lefebre, auxiliado por</t>
  </si>
  <si>
    <t>de. El cuerpo de tropas wurtcmberguesas Toledo. „ ' está todavía en Passau y. en sos inmedia­ Amat (D. Félix), abatí dt'S. Ildefonso. ciones* Angulo (D. Francisco) ,*consejero de. Es­ D¿l a8. En este momento están pasan­ tado. do por áqui .los equipages ’dé mnchos gene^. Almonacid (D. Francisco; Xavier), obispo ,aÍes francese…</t>
  </si>
  <si>
    <t>615</t>
  </si>
  <si>
    <t>aquella corte á la mas miserable esclavitud. Se dice que á mas de quedar demolidas (como ya lo están) las fortificaciones de Viena y otras plazas el emperador Francisco debe reducir su exército á un número limitado de tropas que no podrá exceder de 60.000 hombres , y pagar al francés pesadas contribuciones.— Esta es la mínima…</t>
  </si>
  <si>
    <t>ia salido de Viena para. Francia. Davoust toma ahora eL mando en xefe de las tropas situadas en el, Austria inferior. -—Se esperaba en Viena el 22 al emperador Francisco.. — Por Augsburgo Irán pasado varios cuerpas-de-la guaídia imperial francesa que siguen hacia París..— En. SaAsaharge se están construyendo nuevas fortihcaci…</t>
  </si>
  <si>
    <t>Francisco, Claudio</t>
  </si>
  <si>
    <t>Claudio Francisco</t>
  </si>
  <si>
    <t>Ripert y á Don caballero de la orden real de Holanda, Gabriel Hipólito Brun tenientes; á Don miembro de la magistratura de Amster- Reuaido Rigoine yá D. Claudio Francisco dan, y Wendr, consejero íntimo de lega­ Ladurelle, subtenientes , pertenecientes los ción de S. M. el Rei de Saxonia. quatro al expresado regimiento de caba…</t>
  </si>
  <si>
    <t>Franco, Josef</t>
  </si>
  <si>
    <t>Josef Franco</t>
  </si>
  <si>
    <t>,,Tiroleses! si vuestras quejas y vues­ del regimiento nútn. i.*de infantería de lí­ tras reclamaciones son fundadas, os protes­ nea en reemplazo de D. Josef Franco, que to que se os hará justicia. pasa á servir su actual empleo en el regi­ ,,En el quartel general de Villach á 26 miento núm. 2.a de octubre de 1809.” Por otro …</t>
  </si>
  <si>
    <t>Franco, Jostf</t>
  </si>
  <si>
    <t>Jostf Franco</t>
  </si>
  <si>
    <t>, capitán , es­ trangero D. Pedro del Giudice, vélite de tá nombrado comandante de batallón por nuestra real guardia, está nombrado subte­ ascenso de D. Jostf Franco que lo obtenía. niente. D. Josef Díaz , teniente di granaderos, D. Emilio del Giudice, vélite de nues­ está nombrado capitán en reemplazo de tra real guaidia, es…</t>
  </si>
  <si>
    <t>Franco, Juan Diaz</t>
  </si>
  <si>
    <t>Juan Diaz Franco</t>
  </si>
  <si>
    <t>astroverde , cura párroco de Sta.* María de aquella ciudad : para otra vacante en la misma co­ legiata por muerte de D. Francisco Fernandez Zavala, á D. Juan Diaz Franco, fiscal de la curia eclesiástica de Cádiz : para el deanato de la colegial de Alicante, vacante por muerte de D. An­ tonio Sala , á D. Diego Flores Avellan ,…</t>
  </si>
  <si>
    <t>Franteschi</t>
  </si>
  <si>
    <t>21 de enero de 1809</t>
  </si>
  <si>
    <t>Gaceta de Madrid n.º 21</t>
  </si>
  <si>
    <t>able porción de rezagados y de destacamentos sueltos. Habiendo llegado el dia 12 á Burgo, cerca de la Coruña, encontró cortado el puente del Mero. El general Franteschi subió la orilla de este rio, y lo pasó por el puente dé Sela. El enemigo sé ha visto precisado á abandonar á Burgo, y retirarse sobre la Coruña. El mariscal d…</t>
  </si>
  <si>
    <t>Fraomentales</t>
  </si>
  <si>
    <t>eralmente se cree que los dos gobiernos ya no hit pretexto para continuar una re­ están ya convenidos en ios artículos funda- sistencia, que ei mismo Emperador Fraomentales de la paz. Según noticias , que pa-' cisco prohíbe á sus propias tropas. Recurri­ recen fidedignas, el Emperador de Austria mos pues ahora á lo que ya ten…</t>
  </si>
  <si>
    <t>Fraoquemont</t>
  </si>
  <si>
    <t>nos promete triunfos seguros; hoi dia, que solamente el dudar del feliz e'xito Stuttgardt IO de mayo. de la guerra seria pusilanimidad y cobardía; El general Fraoquemont ha sido nom­ ¡ le abandonaríamos hoi sin resistencia esta brado provisionalmente gobernador de Lints, ciudad respetable, centró de la monarquía, y el tenient…</t>
  </si>
  <si>
    <t>Fraser</t>
  </si>
  <si>
    <t>ón. Esta circunstancia, y la seguridad en. que estaba la derecha de maestra línea, defendida por la po­ sición dé lá diviéion mandada por el teníepte'general Fraser, obligaron al |pemigó á desistir de sus ataques por aquella parte; pero los dirigió con mayor vígbr contra el centro, donde resistieron también con ventaja la bri…</t>
  </si>
  <si>
    <t>o á la cámara. bían entregado para ios gastos del año 1808. . i El orador dió también gracias al tenien-&lt; La cámara aprobó y decretó la propuesta. te general Fraser por-sU'buena conducta en Mr. Wharton hizo un informe sobre los la batalla de la Coruñat ,, donde las tropas negocios de que está tratando la comisión inglesas , d…</t>
  </si>
  <si>
    <t>Inglaterra alíufiss cortas -fétíqu’ras de su exérci­ tes de la nación. Dense en buen hora gracias al to. ¡Extraña gloria por cierro! Pero á buen se­ general Fraser por su conducta particular, por­ guro que en Esparta no habrían sido celebrados que puede mui bien haberlas merecido. Kstc semejantes triunfos. . general, á quien …</t>
  </si>
  <si>
    <t>neral dero ingles. Toda la esquadra , y en espe­ Montresór, que ha tomado el mando de la ciar él almirante, se puso en movimiento. ciudad después del general Fraser, ha caí­ Un recio huracán volcó un navio de 74 ca­ do también enfermo. Ninguna embarcación</t>
  </si>
  <si>
    <t>Frasscr</t>
  </si>
  <si>
    <t>177</t>
  </si>
  <si>
    <t>177 del general Frasscr, mandado por el teniente coronel Pací:, Iíh» tomó una batería á bayoneta calada.” “En la tarde anterior fué tomado con la misma intrepidez un atrincheramiento que tenia el enemigo delante d</t>
  </si>
  <si>
    <t>Fráticlscé</t>
  </si>
  <si>
    <t>Por D Fráticlscé &lt;jár’eía Romírü, jóez comiaioñado regio en Ia_ diócesis de Búrgds; ’eé han mandado sacar á eifKa • I ' Rncas siguientes, á ..m-nta de las que tengan cabimiento en la séptima respectiva á la mesa capitular</t>
  </si>
  <si>
    <t>Frayle, Manuel</t>
  </si>
  <si>
    <t>Manuel Frayle</t>
  </si>
  <si>
    <t>ron El diputado de b ciudad D. Luis To­ los señores D. Francisco de 'AVribas, arce­ mé dirigió en seguida á S.M.el discurso diano titul arde Bú rgos; D. Manuel Frayle- que sigue : _-yPrior, canónigo penitenciario; D. Rampa „Se»or : Tenemos la honra de presen­ María de Adurriaga , canónigo; D. Vicen­ tar á V.-M, 4 nombre de. l…</t>
  </si>
  <si>
    <t>Frazer, Makensie</t>
  </si>
  <si>
    <t>Makensie Frazer</t>
  </si>
  <si>
    <t>oras caído en poder del exército francés. después de haber acometido á un'hombre comienza este á delirar , y ordinariamente muere á las 24 horas.. El general Makensie Frazer, que mandaba en Flésinga , ha muer­ En la extracción de la real lotería ce­ to pocos días después de su vuelta á ln- lebrada en Madrid en la tarde del 16…</t>
  </si>
  <si>
    <t>Fressou</t>
  </si>
  <si>
    <t>366</t>
  </si>
  <si>
    <t>y á 696. Y el tercer regimiento de cazadores fue apresada por el corsario francés el Ave, ha ofrecido igualmente el prest de un día. de Etaples , su capitán Fressou. El dia 18 éñtíó también en el mismo IMPERIO FRANCES. puerto el bergantín ingles Margaret, de Watterford , de 160 toneladas , armado con Nanci /p de febrero. 4 ca…</t>
  </si>
  <si>
    <t>Freyre</t>
  </si>
  <si>
    <t>421</t>
  </si>
  <si>
    <t>ito de la Mancha dice entre otras co­ sas al Sr. ministro de la Guerra con fecha de 9 del corriente lo que sigue. “Por la adjunta copia del parte del general Freyre verá V.E. los resultados de la acción que ayer tuvo la caballería con los enemigos , y aunque por los ulteriores dará conocimientos mas detallados este general, d…</t>
  </si>
  <si>
    <t>Freyre, Manuel</t>
  </si>
  <si>
    <t>Manuel Freyre</t>
  </si>
  <si>
    <t>andaba la bri­ gada de Carabineros, y D. Josef Manso, Coronel del re­ gimiento de Farnesio, D. Pedro Gamez , D. Manuel Rizo, el Príncipe de Anglona , D. Manuel Freyre , el Conde, de Bocarmé , D. Juan Espronceda , D. Rodrigo Machuca, y el Capitán Cavaleri , Coroneles , aquellos de los regimien­ tos de España, Sagunto , Pavía, …</t>
  </si>
  <si>
    <t>Friant</t>
  </si>
  <si>
    <t>ada de qne los austríacos han declarado y comenzado la guerra el dia 9 Louisbourg zS de abril. del corriente. Inmediatamente se ha envia­ do aviso al general Friant, comandante de Luego que nuestro Soberano ha tenido los puestos avanzados en el Palatinado su­ noticia de la llegada próxima de S. M. el perior , y á los demas ge…</t>
  </si>
  <si>
    <t>Frias, Joaquin</t>
  </si>
  <si>
    <t>Joaquin Frias</t>
  </si>
  <si>
    <t>D. Gerónimo Miro , D. Jo­ articulo 1. Andrés Alfonso Cho­ sef Pazos, D. Antonio Bodoi, D. Josef ya , D. Martín de V ¡líala*» D. Manuel Síl­ Barrera y D. Joaquin Frias. EN LA IMPRENTA REAL.</t>
  </si>
  <si>
    <t>Frimont</t>
  </si>
  <si>
    <t>Gaceta de Madrid n.º 148</t>
  </si>
  <si>
    <t>entre nuestros súbditos hombres pérfidos Los partes anuncian que Ja retaguardia capaces de violar sus deberes hacia Nos, austriaca , m andada por el general Frimont, no podrán escapar ni del justo castigo de no constaba sino de re© hombres, y qué su crimen» ni de la abominación de sus lo restante de su exército desfilaba háci…</t>
  </si>
  <si>
    <t>Frochot</t>
  </si>
  <si>
    <t>12 de diciembre de 1809</t>
  </si>
  <si>
    <t>Gaceta de Madrid n.º 347</t>
  </si>
  <si>
    <t>estros súbditos una pronta 6 memorable en la historia del reinado de impardal justicia.’* V. M. „ En vano ha intentado el gobierno Discurso del señor conde Frochot, prefec­ ingles perpetuar la guerra del continente to del Sena , d nombre del consejo Mu­ con una expedición tardía y mal combina­ nicipal, da. V. M. ha desvaratad…</t>
  </si>
  <si>
    <t>Frutos</t>
  </si>
  <si>
    <t>rción y de armonía que en todas las - artículo i. n Nombramos regidores de c das humanas se requieren. La educación i»-«nunicipatidad.de esta villa á D. Frutos debe ser una, pues debe estrechar las rela­ Alváro Bmito , á D. Martin de Huici, á ciones esenciales del hombre , y las que so­ D. Manuel García de la Prada , á D. Ta-…</t>
  </si>
  <si>
    <t>voltea­ no de la municipalidad. dores de nuestra g»i'dia. ;r Aulaquier, médico de nuestra real casa. Hugó'(D. Josef Leopoldo)* mariscal de Cherville (D. Frutos) , comandante de cs- campo, y nuestro «dedat». - quadroo, y ayudante de palacio. Le Capitaine , coronel de granaderos de Darrigol ( D. Salvador ), pagador de la co­ nu…</t>
  </si>
  <si>
    <t>Fuentepita, José Velarde y D José</t>
  </si>
  <si>
    <t>José Velarde y D José Fuentepita</t>
  </si>
  <si>
    <t>mour, co­ mandante general dé ingenieros al primer-ayudante del quártel-maestre D. Ramón Calvet y D. José Faic, coroneles : á los tenientes coroneles D. José Velarde y D José Fuentepita , el primero mayor de brigada: á ios capitanes D. Pedro Aguado y D. Diego Tolosa; y á los subtenienfes D. Valentín Ampudia , D. Miguel Ugarte…</t>
  </si>
  <si>
    <t>Fuertes, Miguel</t>
  </si>
  <si>
    <t>Miguel Fuertes</t>
  </si>
  <si>
    <t>489.907 , y 3 de setiembre, nú­ meros 468.020, 682.024,693.093. La persona que sepa de su para­ dero se servirá entregarlos ó dar razón en Valencia á D. Miguel Fuertes, y en Sevilla á-D. Manuel Barraca. SEVILLA: EN LA IMPRENTA REAL.</t>
  </si>
  <si>
    <t>Ful</t>
  </si>
  <si>
    <t>nco Gremios mayores. Consejo de Estado. Excmo. Sr. conde de Montarco. Consejo de Indias. Sr. D. Bernardo Iriarte, Sr. D. Josef Antonio de Ürrlza, Sr. D. Ful­ gencio de la Riva y Sr. conde de Torremuzquiz. Consejo de Hacienda. Sr. D. Manuel de Valenzuela y Sr. D. Francisco Xavier Carrasco. Junta de Comercio y Moneda. Excmo. Sr…</t>
  </si>
  <si>
    <t>Fulgen</t>
  </si>
  <si>
    <t>del mismo real establecimiento D. Fulgen­ sante, ex-religioso escolapio, de retórica y cio Palet, ex-religioso de S."Cayetano, poética; D. Francisco Verdejo y Paez y de rudimentos de gramática latina; D. Ba­ D. Eugenio Roldan de aritméti</t>
  </si>
  <si>
    <t>Funck</t>
  </si>
  <si>
    <t>sposición de hacer el servicio ‘se contentó con honrar el uniforme de una con los batallones veteranos. profesión tan útil , sino que quisó infor­ El general Funck, edecán del Rei, ha marse con suma complacencia é ínteres de vuelto aquí el día 3 de Schoembrann , de todos los pormenores de la extracción y pre­ donde salió el 2…</t>
  </si>
  <si>
    <t>Funk</t>
  </si>
  <si>
    <t>deración del Rin, el armisticio. BAVIERA. CONFEDERACION DEL UN. Augsburgo 2 de agosto. Francfort 4 de agosto. Por cartas de Presburgo se ha sabido El general Funk, que ha llegado aquí que en la parte meridional de la Gallitaía en la noche del a al 3 , ha traído la noticia no se tenia aun noticia del armisticio en el de que el…</t>
  </si>
  <si>
    <t>Furumark</t>
  </si>
  <si>
    <t>el número de enemigos. bres ha sido hecho prisionero en Ostrobot- Se teme que el pequeño cuerpo del te­ nia por el general Schwalow, que le ha niente coronel Furumark haya sido cortado» cogido también 12 piezas de cañón. y caído en poder del enemigo. El señor de Speranski, consejero de Es­ tado , acaba de ser nombrado cancill…</t>
  </si>
  <si>
    <t>Ga, Josef Marquina</t>
  </si>
  <si>
    <t>Josef Marquina Ga</t>
  </si>
  <si>
    <t>que Hemos decretado y decretamos lo si­ -les contribuían por ello sus monasterios ó guiente r conventos les será pagada del tesoro pú­ articulo i» ,, D. Josef Marquina Ga­ blico mientras permanezcan en el expre­ lludo queda nombrado juez de las juntas sado destino. que conocen de -los negocios contenciosos Nuestros ministros …</t>
  </si>
  <si>
    <t>Gab</t>
  </si>
  <si>
    <t>nto se ha portado del mejor de Napoleón el Grande. modo posible; y con especialidad los hú­ sares y las acertadas disposiciones del te­ SUIZA. niente coronel Gab’.entz merecen los mayo­ Trihurgo t.° de junio. res elogios. En estos últimos dias se han conducido Leipsick 3 de junto. por esta ciudad algunos centenares de pri­ Ay…</t>
  </si>
  <si>
    <t>Gabriel</t>
  </si>
  <si>
    <t>uan Muuoz Psbon, 328 rs. El P. Mro. Fr. Antonio de Castro , Provincial de Car­ melitas calzados , por una vez , 200 rs. = D. Jcsef Vázquez, y su hijo D. Gabriel, ídem , too rs. = D. Antonio Espinosa, Contador honorario de Exército, y Superintendente substituto de la Rea/ Fábrica del Tabaco, por ídem, 300 rs. =r D. Fran­ cisco…</t>
  </si>
  <si>
    <t>a diputación sé compone de los señores duque de Br.-rschíj Amsterdan 12 de agosto. -presidente, príncipe Aldobrandini, prínci­ pe Colohna de Avelia , príncipe Gabriel!/, Las providencias tomadas hasta el día príncipe santa Croce, príncipe Spada, duponen á nuestras tropas en disposición de ique de Bracciano , conde Maréscolri,…</t>
  </si>
  <si>
    <t>eros de la C4 sá* guardia real. Obregon (D. redro), teniente general de Lcb e, gefe de batallón de volteadores de niaruii. la guardia real. Orb.guzo (D. Gabriel).</t>
  </si>
  <si>
    <t>enrie (D. Luis) mayor del real extrangero. — Heras (D. Manuel) consejero de Estado. — Heredia (D.Juan) sargento se­ gundo de caballería. — Hernández (D. Gabriel) teniente del re­ gimiento de infantería núm. 2. —Hervas (D. Manuel) adminis­ trador general de correos. — Hidalgo (D. Gregorio) subteniente del regimiento de infante…</t>
  </si>
  <si>
    <t>án del regimiento núm 1 infantería de línea. — Novella (D. Roque) corregidor de Alcalá.” “Obregori (D. Pedro) teniente general de marina. — Orbegozo (D. Gabriel). — Osorno (D. Francisco) comandante de bata­ llón del regimiento núm. 1 infantería de línea.” “Pages , xefe de esquadron de los caballos ligeros de la guar­ dia real…</t>
  </si>
  <si>
    <t>Gagarin</t>
  </si>
  <si>
    <t>hechas ahora en el Danubio son las mas hermosas obras de campaña que TITULO TERCERO. se han construido jamas. De los sueldos de retiro anteriores Ei príncipe Gagarin, edecán general del d esta lei. Emperador de Rusia, ha llegado anteayer á las quatro de la mañana á Schoenbrnnn i ARTICULO PRIMERO. la sazón que el Emperador mon…</t>
  </si>
  <si>
    <t>e tierra. Si el general Adíes— pare, que ha sido enviado a! socorro del Ayer por la mañana pasó por aqui el general Wrede , no llega prontamente á su príncipe Gagarin que venia del quartel ge­ destino, el exército ruso podrá concluir en neral del E operador Napoleón, y vueive todo el verano la couquista de las provin­ á Rusia…</t>
  </si>
  <si>
    <t>Gago, Juan Antonio</t>
  </si>
  <si>
    <t>Juan Antonio Gago</t>
  </si>
  <si>
    <t>r aquel impor­ tante punto , y ponerle en el mejor estado de ' defensa^,1 como después, de. desvanecer:) algunas r-desavefienciasy)lo’hi^e pidiendo á D. Juan Antonio Gago : vecino:: de: iVfárih, qúe * manda quinientos paysanos, dos piezas ^de artillería dé =á 8, y á la villa de Redoridela tres 1 cañones, uno de á 2* y 2 de á …</t>
  </si>
  <si>
    <t>GaHemos, Bernardo</t>
  </si>
  <si>
    <t>Bernardo GaHemos</t>
  </si>
  <si>
    <t>suel­ Dios y por iá constitución del estado, REI do de reformado 5 y nombrar comisarios de de las Españas y de las Indias. guerra.de primera clase á D. Bernardo GaHemos decretado y decretamos lo si­ lamayór y D. Josef Muntaner, y d« se­ guiente : , . gunda clase á D. Gerónimo Miro , D. Jo­ articulo 1. Andrés Alfonso Cho­ sef …</t>
  </si>
  <si>
    <t>Galarza, Justo</t>
  </si>
  <si>
    <t>Justo Galarza</t>
  </si>
  <si>
    <t>unicación con la paralela. corregidor interino de la ciudad de S. Se­ bastian , con retención por ahora de este Noche del 2.4 al 25. corregimiento; á D. Justo Galarza , audi­ r Ataque de la derecha. Se han comen­ tor de Guerra de Pamplona, y á D. Jcsef zado dos baterías detras de la tercera para­ Carafa. Igualmente ha nombrad…</t>
  </si>
  <si>
    <t>Galaylena, Juan Bautista</t>
  </si>
  <si>
    <t>Juan Bautista Galaylena</t>
  </si>
  <si>
    <t>bras,=De D. Ma­ nuel Diaz Guerra : ~ cincuenta caxas de azúcar blanco con 805 arrobas y 19 libras, y cincuenta caxas de quebrado con 978 arrobas.=rDe D. Juan Bautista Galaylena:rzveinte caxas de azúcar blanco con 312 arrobas, y diez caxas de quebrado con 173 arrobas y 7 ]ibras.=:De D. Rafael Ofarrill:= sesenta ca­ xas de azúc…</t>
  </si>
  <si>
    <t>Galdos, Antonia</t>
  </si>
  <si>
    <t>Antonia Galdos</t>
  </si>
  <si>
    <t>zo, de la fundación de Lope García, al contado 10383 , y 15 424 al fiado: una casa , borda , era , rain, y 23 he­ redades en el.de Narbaja , de la,de Doña Antonia Galdos , al contado 1047 a, y 15708 al fiado: media casa en la calle Mayor de dicha-villa, 2 bordas , 2 huertas, una rain y 4 heredades en sus términos, y otras 42.…</t>
  </si>
  <si>
    <t>Galhecho, Josef María</t>
  </si>
  <si>
    <t>Josef María Galhecho</t>
  </si>
  <si>
    <t>corriente Ataque de la derecha. Se han perfec­ se ha servido el REI nombrar regente del cionado las obras comenzadas , y se han tribunal de Navarra á D. Josef María Galhecho banquetas en los alojamientos y en diano, oidor del mismo: para fiscal del la plaza de armas. propio tribunal á O. Domingo Rodríguez Ataque del centro. S…</t>
  </si>
  <si>
    <t>Galiano, Antonio Alcalá</t>
  </si>
  <si>
    <t>Antonio Alcalá Galiano</t>
  </si>
  <si>
    <t>como víctimas de su noWe y virtuosa conducta. — “Lista de 'personas, cuyas casas y propiedades están. mandadas confiscar.-—D.Vicente Aica á Gabano.— D. Antonio Alcalá Galiano. — Conde de Orgaz-. — Arzobispo de Toledo. — Conde de Ruño en rostro.—- Duquesa; viuda de Osu­ na , condesa de Benavente. — Marques de A riza, Marques d…</t>
  </si>
  <si>
    <t>Galisteo, Tadeo</t>
  </si>
  <si>
    <t>Tadeo Galisteo</t>
  </si>
  <si>
    <t>Rafael Delgado. — D. Vicente Delgado. D. Manuel González Montaos. — D. Vicente Perez Cañizares. — El conde de Torre Muzqui^. -- D. Lope Peñaranda. — D. Tadeo Galisteo. — La condesa de S.Román, viuda, con sus hijos. — El marques de Melgarejo. El marques de Camarera y su padre. -- El conde de Canillas.— El marques de Villamejqr…</t>
  </si>
  <si>
    <t>Gallano, Vicente Aléala</t>
  </si>
  <si>
    <t>Vicente Aléala Gallano</t>
  </si>
  <si>
    <t>6 ,de junio ul­ timo 4 . vales reales de 1 y ó pesos de la creación de enero, pertenecientes á la Real Hacienda , endosados por el Sr. tesorero mayor D. Vicente Aléala Gallano a D. Francisco Bicolas y BadilJo, administrador de realas de Jaén, cuyos temeros son 2 joq 54, 251382, 278103, 3688.947 y se ha- , saber al publico par…</t>
  </si>
  <si>
    <t>Gallar, Diego María</t>
  </si>
  <si>
    <t>Diego María Gallar</t>
  </si>
  <si>
    <t>María Estala, canónigo. Por la ciudad de Toledo. El Sr. conde de Lerena; D. Manuel Bernardo Roldan; D. Julián Gon­ zález Saez; D. Gil Antonio Laguna; D. Diego María Gallar; D. Francisco Ruano Santos; D. Joan Manuel Martínez;. D. Santiago Felipe Barrundos y D. Félix Lorenzo Sanz. Comunidades. R. P. Fr. Domingo Coronado y Fr. J…</t>
  </si>
  <si>
    <t>Gallar, Tiburcio García</t>
  </si>
  <si>
    <t>Tiburcio García Gallar</t>
  </si>
  <si>
    <t>de ios cieron á la mar con precipitación , y fue­ mayores elogios la diputación del señorío, ron cogidas por los ingleses una corbeta y su corregidor D. Tiburcio García Gallar­ tres buques menores de guerra franceses. do, la viiia y demas justicias y autorida­ Todo aquel dia lo señalaron estos feroces des de la Vizcaya , dond…</t>
  </si>
  <si>
    <t>Gallardo, Antonio</t>
  </si>
  <si>
    <t>Antonio Gallardo</t>
  </si>
  <si>
    <t>omandante y soldado de la de-Antequera el subtenien­ te D. Juan Nogales y José Lugue, al capitán y subtenientes del mismo cuerpo D. Manuel Fernandez, D. Antonio Gallardo, D. Cárlos Vicente y D. Manuel Abad, al capitán, subteniente y sargento 2.° del de Sta. Fe D. Miguel Vaca, D. Francisco Trazante y Juan de Longavila, como ig…</t>
  </si>
  <si>
    <t>Gallardo, Diego</t>
  </si>
  <si>
    <t>Diego Gallardo</t>
  </si>
  <si>
    <t>Gaceta de Madrid n.º 242</t>
  </si>
  <si>
    <t>tos de 18 y tj guiente de agosto de 1809 se admitirá esta cédula articulo 1. „Hemos nombrado y nom­ hipotecaria en pago de bienes nacionales bramos á D. Diego Gallardo , corregidor de pt&gt;T todo su valor de........ ,........................... Toledo, por Intendente de aquella pro­ en favor de N...... N...... á quien, se con­ …</t>
  </si>
  <si>
    <t>Gallardo, Francisco</t>
  </si>
  <si>
    <t>Francisco Gallardo</t>
  </si>
  <si>
    <t>eran todos AVISO. «n la corre, d¿ donde sé continua haber sa­ Respecto á que S. M. se ha servido nom­ lido el REI Josef. EL general Blakc , con brará D. Francisco Gallardo por director ge­ sn exérrito de 6f á 50© hombres-* después neral del ramo de contribuciones, encargán­ de haber dexado cercados en Zaragoza á dosele interi…</t>
  </si>
  <si>
    <t>tado D. Manuel Sixto Espinosa, y com­ ción el respeto y la veneración debida á la puesta del director general de contribucio­ santidad del lugar. nes D. Francisco Gallardo, el contador ge­ ART. ni. Nuestros ministros de la Jus­ neral de las mismas D. Francisco Irusta, ticia y de Negocios eclesiásticos quedan en­ -otros dos em…</t>
  </si>
  <si>
    <t>Gallardo, Mariana</t>
  </si>
  <si>
    <t>Mariana Gallardo</t>
  </si>
  <si>
    <t>P. Manuel Visuerte , lo rls. para un p3r ae media?. I). Juan del Villar,'20 rls. par3 dos pares de medias. D. Juan Lebora , ij rls. para una mochila. Doña Mariana Gallardo, 40 rl ‘. para dos mochilas y unas medías. D. Francisco Ruiz , y D. Manuel Perez, 20 rls. para dos pares de medias. D. Josef Martioejz , 10 rís. para un pa…</t>
  </si>
  <si>
    <t>Gallardo, Simón Fernandez</t>
  </si>
  <si>
    <t>Simón Fernandez Gallardo</t>
  </si>
  <si>
    <t>­ do en el ministerio de policía á D. José Mamerto Gome* Hermosiila xefe de división ; á D. José Montero , D. Simón del Castiiio, D. Cándido Revenga, D. Simón Fernandez Gallardo, D. Manuel María de Echevarría, D. Nicolás García de los Reyes y D. Julián de Mena oficiales segundos ; y por archivero á D. José Mauri­ cio Hermosil…</t>
  </si>
  <si>
    <t>Gallego, Josef Morales</t>
  </si>
  <si>
    <t>Josef Morales Gallego</t>
  </si>
  <si>
    <t>, y se insertará en los periódicos, zz Dido en Sevilla á 15 de abril de i8of.=D. Ramón Navarro. = D. Ramón Caibo. z; D Juan Fernando de , Águirre. zz D. Josef Morales Gallego, zr Por mandado del Tri* bu nal. = D. Manuel Josef de Sousa Ramírez. CON REAL PRIVILEGIO.</t>
  </si>
  <si>
    <t>Gallego, Juan Nicasio</t>
  </si>
  <si>
    <t>Juan Nicasio Gallego</t>
  </si>
  <si>
    <t>Morales Zurita ; y para la ración de la catedral de Murcia, que resulta vacante por ascenso de D. Alfon­ so Revira en canongía de la misma iglesia, á D. Juan Nicasio Gallego, director eclesiástico de los caballeros pages de S.M. _________*_________ Tratado de la Táctica moderna para la infantería, con 25 lá­ minas v su corres…</t>
  </si>
  <si>
    <t>Gallitzia, Bouantigua</t>
  </si>
  <si>
    <t>Bouantigua Gallitzia</t>
  </si>
  <si>
    <t>olaco, mandado por el príncipe Dos enripiólas de volteadores del regur.kiiPoniatovvski, ha pasado las fronteras de la to nííme-o 8.° iruodadas por el capitán Bouantigua Gallitzia. El 6.° regimiento de lan­ rilion, habiendo pasado el rio z nado, execeros se ha apoderado de un tren de arti­ cutaron esta Operación con prontitud,…</t>
  </si>
  <si>
    <t>Gallitzin</t>
  </si>
  <si>
    <t>cia. ver el día 7 en número de 1© hombres en (A. continuación de estaf nóticias está la parte' opuesta de esta ria , cubriendo los la proclama que el príncipe Gallitzin , ge­ puntos del Astillero, Pedreña y el Punta!, neral en gefe del exército ruso , ha dirigí— cuya disposición quitó á la tropa france­ do d los habitantes de…</t>
  </si>
  <si>
    <t>17 de julio de 1809</t>
  </si>
  <si>
    <t>Gaceta de Madrid n.º 198</t>
  </si>
  <si>
    <t>de la casa de Austria, y gtan núme-¿ Varsavia 18 de junio. ro de señoras, que vestidas todas con mo­ destia , y con la cabeza cubierta, hacían mas El príncipe Gallitzin , general en xefe interesante el concurso. La iglesia estaba del exército raso, avanza desde Bialistock. colgada de negro, y el nombre de Haidn hácia Lublin, …</t>
  </si>
  <si>
    <t>919</t>
  </si>
  <si>
    <t>de Petersburgo, será, á Moravia lueeo que recibió una carta del petición suya, empleado en el exército del archiduque Fernando , en la qual le avisa­ príncipe Gallitzin. ba que el general en gefe del exército ruso había declarado que tenia orden formal y GRAN DUCADO DE VARSOVIA. terminante de hacer en todo y por todo causa co…</t>
  </si>
  <si>
    <t>30 de agosto de 1809</t>
  </si>
  <si>
    <t>Gaceta de Madrid n.º 243</t>
  </si>
  <si>
    <t>i buen estado gió un trono, sobre el qual estaba coloca­ de defensa. do el busto de Napoleón el Grande, Se asegura que las esquadrillas holande­ s El príncipe Gallitzin, comandante en sa y francesa deben reunirse con la esqua— gefe de las tropas rusas que hai eo Galiit- dra francesa en el Escalda oriental para dar zia, acaba …</t>
  </si>
  <si>
    <t>Gallltssin</t>
  </si>
  <si>
    <t>903</t>
  </si>
  <si>
    <t>a intentado subir hasta la bahía de Herrtosan- guerra y sobre la marcha del exército tuso dia, para llevar allí algunos refuerzos y i las órdenes del príncipe Gallltssin f- que . municiones al cuerpo de exército qtie aca­ ha entrado ya en Gdlitzia. A principios de ba de ser desalojado dé la posición de Skiaeg; este mes el gra…</t>
  </si>
  <si>
    <t>Galluzo</t>
  </si>
  <si>
    <t>15 de marzo de 1809</t>
  </si>
  <si>
    <t>Gaceta de Madrid n.º 74</t>
  </si>
  <si>
    <t>n sido depuestos y arrestados; men á todas las naciones. se les acusa de cobardía y de traición. Uno „ Expresamos á V. M. por medio de de ellos es el general Galluzo, que encar­ esta carta nuestros deseos sinceros sobre es­ gado de defender con 9© hombres y 3 ba­ te particular. terías de cañones de 24 los puentes del Ar­ ,, L…</t>
  </si>
  <si>
    <t>Galvez, Alfonso Rovira</t>
  </si>
  <si>
    <t>Alfonso Rovira Galvez</t>
  </si>
  <si>
    <t>. Francisco Bernaldo de Quirós, lectoral en la de Ciu­ dad-Rodrigo: y para otra vacante en dicha iglesia de Cartagena por muerte de D. Juan Lozano, á D. Alfonso Rovira Galvez , racio­ nero de la misma : para la canongia de Solsona que ha renuncia­ do D. Joaquin Rey, á D. Josef Soler , vicario general de aquella diócesi : para…</t>
  </si>
  <si>
    <t>Gamarra, Gregorio Nuñez</t>
  </si>
  <si>
    <t>Gregorio Nuñez Gamarra</t>
  </si>
  <si>
    <t>de Huecas j cura de S. Martin; D. Pedro Villafañe, id. de Sta. María; Don Pablo Camino, id. de S. Pedro; D. Felipe Fraile Ramino, id. de S. Mi­ guel; D. Gregorio Nuñez Gamarra, id. de S. Nicolás el Real; D. Antonio _ Salvad ios, id. de Sto. Domingo; D. Manuel Ciílan, id. de S. Salvador; Fr. Félix de la Soledad, teniente de S.…</t>
  </si>
  <si>
    <t>Gamez, Pedro</t>
  </si>
  <si>
    <t>Pedro Gamez</t>
  </si>
  <si>
    <t>te General de ella , los Brigadieres D. Juan Bernuy, que mandaba la bri­ gada de Carabineros, y D. Josef Manso, Coronel del re­ gimiento de Farnesio, D. Pedro Gamez , D. Manuel Rizo, el Príncipe de Anglona , D. Manuel Freyre , el Conde, de Bocarmé , D. Juan Espronceda , D. Rodrigo Machuca, y el Capitán Cavaleri , Coroneles , …</t>
  </si>
  <si>
    <t>Gar, José</t>
  </si>
  <si>
    <t>José Gar</t>
  </si>
  <si>
    <t>antes. — Conde de Cervellon. — D. Mauricio Pa­ rada. — D. Ambrosio Chocano. — Conde de Castroterreño. — Marques de Palacio.— D. Manuel López Araujo.— D. José Gar­ cía de León y Pizarro. — Marquesa viuda de Fontanar. — D. Ra­ món Beliran y Sarraiz.— Conde Solomero.— D. José Davila. — D. José Sta. María. — D. Pasqual Quilez. — …</t>
  </si>
  <si>
    <t>Gar, Manuel</t>
  </si>
  <si>
    <t>Manuel Gar</t>
  </si>
  <si>
    <t>te hemos tenido solo seis muertos , entre ellos el cadete D. Luis Sa^vedra, ocho heridos y q narre» pri­ sioneros , siendo de ceta número ei cadete-' D. Manuel Gar­ cía' Biedma. La pérdida de les enemigos se regula de quin«* ce á veinte muertos , y de mas de treinta heridos ; con lo que conocerán que su número superior r.o no…</t>
  </si>
  <si>
    <t>Garat</t>
  </si>
  <si>
    <t>y un ayudante de ceremonias ¿ introdu­ cido por S. E. el gran maestro, y presentado por S. A. S. el príncipe Archi'canciller del impetio. , El señor conde Garat, senador y presidente del Instituto, dirigió á “S. M.-él discurso siguiente-: Seííor ; Siempre que el Instituto de Francia tiene la honra de ser pre­ sentado á V. M. …</t>
  </si>
  <si>
    <t>Garay, Bárbara</t>
  </si>
  <si>
    <t>Bárbara Garay</t>
  </si>
  <si>
    <t>D. Vicente Martínez.— D. Hilario Ximenez.— Angel Blanque.— Juan Domec.- D. Fran­ cisco Gantolaria — D. Francisco de Paula Perpiñan, muger é hi­ jo. — Doña Bárbara Garay. — Conde Parsen, marques de Bárboles. — D. Joaquin Heredia. — D. Ildefonso Quartero.--Doña Ven­ tura Lisa. — D. Pedro Silves— José Fornies. -- D. José Latasa.…</t>
  </si>
  <si>
    <t>Garay, Martin</t>
  </si>
  <si>
    <t>Martin Garay</t>
  </si>
  <si>
    <t>onio Guillelmi.— Duque de Rivas.— Conde de Sástago.—D. José Obispo.—D. Ig­ nacio Lopez.-=-'D. Vicente Lisa.—D. Narciso Meneses.— D. Fe­ lipe Perena.— D. Martin Garay.— D. Valentín Solanot.— D. Ra­ món Gayan. — D. Gerónimo Castillon. — D. Antonio Laspuertas.— D. Narciso Laclara. — D. Mariano Ciria. — D. José Pons. — D. Antonid…</t>
  </si>
  <si>
    <t>Garayags</t>
  </si>
  <si>
    <t>fueron encontrados en. un pozo. Eo esta acción solo tavim &gt;s por nuestra parte. 3 ..muertos, y 4 heri­ dos, incluso en estos , biea que levemente, el comandante Garayags. ' . , SEVILLA. ESPAÑOLES* El día de San Fernando ha sido siempre para nosotros un día consagrado á recuerdos gloriosos, y f-dices. La lucha incierta y nunca…</t>
  </si>
  <si>
    <t>Garca, Josef</t>
  </si>
  <si>
    <t>Josef Garca</t>
  </si>
  <si>
    <t>de Hacienda quedan na 1317, donde dice D. Jilas Aramat debe leerse D. Mía* Aranza. encargados, cada uno en la parte que le to­ Pág. 13 10, donde dice D. Josef Garca , de la execucion del presente decreto. =r riga , alcalde de casa y corte , deba leerse Firmados:YO EL REI.trPor S. M. su I). Josef Garriga, comisionado regio en …</t>
  </si>
  <si>
    <t>García</t>
  </si>
  <si>
    <t>­ Gallardo (D. Francisco),; director de ren­ que se encaminan constantemente á hacer tas. que reinen en la socird id aquellos sentimien­ Gómez Xara ( D. García) , del extinguido tos de tolerancia .de candad y decoiicor- • consejo de Indias. du de que dependen en gran parte Ja gloria Granja (marques de la), intendente de Sa­ d…</t>
  </si>
  <si>
    <t>García, Agustín</t>
  </si>
  <si>
    <t>Agustín García</t>
  </si>
  <si>
    <t>tolomé López , 20 rls. para dos pares de medias. D. Josef Rodríguez , 153 rls. para diez mochilas. Doña Josefa Tirado, 10 rls. para un par de medias. D. Agustín García, 10 rls, para un par dé medias. D. Juan Antonio Castañeda, 20 rls. para dos pares de media*. D. Antonio Beguilía, 20 rls. para dos pares de medias. D. Fernando…</t>
  </si>
  <si>
    <t>García, Basilio</t>
  </si>
  <si>
    <t>Basilio García</t>
  </si>
  <si>
    <t>real cuerpo de con la sola diferencia de llevar el cuello y Ingenieros , teniente del referido cuerpo; las vueltas de terciopelo verde esmeralda: y á D. Basilio García cirujano segundo del el boton será también el de su anterior regimiento ntiin. i.°d¿ la brigada irlandesa. EN LA IMPRENTA REAL.</t>
  </si>
  <si>
    <t>García, Bernardo</t>
  </si>
  <si>
    <t>Bernardo García</t>
  </si>
  <si>
    <t>D. Josef Perez , 20 rls. para dos pares de medias. D. Martin Serrano, 10 rls. para un par de medias. D. Juan Tomates , 10 rls. para un par de media?. D. Bernardo García , lo rls. para un par de medias. D. Francisco Rodríguez , 12 rls. para un sombrero. D. Juan Josef Vera , 12 rls. para un, sombrero. D. Joaquín Coronas , 10 rl…</t>
  </si>
  <si>
    <t>García, Eusebia</t>
  </si>
  <si>
    <t>Eusebia García</t>
  </si>
  <si>
    <t>? 3Z D. Juan Antonio Cobian. C. 25.00a D. Antonio Velasco de la Torre. C. 4.000 El caballero D. Tomás Domingo de Acha. C. 1 j 0.000 D. Eusebia García. C, 10.000 D. Roque Valiente. C. 25.000 El Sr. administrador principal de la Renta de Correos. xo.ooo El Sr. coronel D. Manuel Josef Rincón Gallar co. 5.000 El Sr. brigadier Con…</t>
  </si>
  <si>
    <t>García, Francisco</t>
  </si>
  <si>
    <t>Francisco García</t>
  </si>
  <si>
    <t>Coronas , 10 rls. para un par de media?. D. Josef de Troya , 20 rls. para dos pares de medias. D. Antonio Martin , 20 rls. para dos pares de medias. D. Francisco García , 40 rls. para dos mochilas y unas medias. D. Juan Rodríguez , 20 rls. para dos pares de medias. D. Josef Domínguez, 10 rls. para un par de media?. D. Francis…</t>
  </si>
  <si>
    <t>lita calza­ do , 160 rs. rzz D. Manuel María Adriaensen , 200 rs. rz D. Jos ír f Antonio Diez Martínez, 1200 rs. zr: D. Gabriel Gonzá­ lez , 60 rs. = D. Francisco García , por una vez , 60 rs.trrD. Josef Espinosa , ídem , 300 rs. = D. Francisco Xavier Henriquez , por sí y por su escribiente D. Juan Muuoz Psbon, 328 rs. El P. …</t>
  </si>
  <si>
    <t>acristán mas or de nna da, 12 costillas &amp;c. de las dos reales parroquias de la casa del campo, para una ración de la catedral de ESPAÑA. Zamora ; y á D. Francisco García , cape­ llán de la villa de Gallinero de Cameros, Madrid 20 de setiembre. obispado de Calahorra, para un beneficio Don Josef Napoleón 1, por la gracia de de …</t>
  </si>
  <si>
    <t>García, Josef</t>
  </si>
  <si>
    <t>Josef García</t>
  </si>
  <si>
    <t>s. D. Francisco Martin , 10 para unas medias» D. Tomas González , 20 rls. para dos pares de medias» D. Manuel Alegre , 10 rls. para un par de medias. D. Josef García , 70 rls. para 4 mochilas y unas medias» D. Joan Josef Benitea , 60 rls. para .4 mochilas» D. Bernardo Coroviqui , 12 ris. para un sombrero. . D. Pedro de Castil…</t>
  </si>
  <si>
    <t>García, Juan</t>
  </si>
  <si>
    <t>Juan García</t>
  </si>
  <si>
    <t>tínez , io rh?. para un par de medias. Doña Inés Domínguez , 48 -rls. para . unos pantalones. D* Diegocde 'Torres^ 20 rís...para dos pares de medias* D. Juan García , 75 rls. para cincp mochilas.</t>
  </si>
  <si>
    <t>s ; 3 hombres heridos ; 2 hombres y 2 caballos prisioneros. Total, 6 hom­ bres y 4 caballos. — Alcántara : el capitán D. José Sabedra, y el al­ férez D. Juan García prisioneros ; 3 hombres muertos ; 2 heridos; .4 prisioneros. Total, 11 hombres. — Pi incipe : teniente I). Jorge Zambrana , muerto ; 5 hombres y 1 caballo muertos…</t>
  </si>
  <si>
    <t>García, Juan Justo</t>
  </si>
  <si>
    <t>Juan Justo García</t>
  </si>
  <si>
    <t>co Alonso y Moral, comercio. D. Antonio Roldan; D. Lorenzo Piñuela; D. Juan Ignacio Perez,y D. Vicente Hernández Pé­ rez, cabildo. D. Josef Mintegui; D. Juan Justo García; D. Josef Espailiar y í). Tomas González , universidad. Diputación de Benavente. D. Josef Fernandez Solis; D. Guillermo Gpmez Maestro; D. Diego Antonio Esme…</t>
  </si>
  <si>
    <t>García, Manuel Josef</t>
  </si>
  <si>
    <t>Manuel Josef García</t>
  </si>
  <si>
    <t>.Francisco de Cas­ D. Santiago Aívarez, D. Mariano Molla, tro, D. Antonio Torremocha y D. Ale— D. Julián Roxo, D. Francisco Lorrio y xandro Casanova. D. Manuel Josef García , y pasantes de los art. iv. Nuestro ministro de lo Inte­ mismos profesores D. Benito Tomez, ex­ rior queda encargado de la execncion del pre­ religioso e…</t>
  </si>
  <si>
    <t>García, Matias</t>
  </si>
  <si>
    <t>Matias García</t>
  </si>
  <si>
    <t>D. Tomas de Rueda , 30 rls* para dos mochilas. D. Antonio Sánchez , 10 rls. para un par de medias» D- Francisco Barrios , 30 rls. para dos mochilas» D. Matias García , 20 rls. para dos pares de medías. D. Antonio Ximensz, 20 rls. para dos pares de medias. D. Francisco Martin , 10 para unas medias» D. Tomas González , 20 rls. …</t>
  </si>
  <si>
    <t>García, Nicolás</t>
  </si>
  <si>
    <t>Nicolás García</t>
  </si>
  <si>
    <t>D. Si­ dos los medios necesarios para la entrada món Fernandez Gallardo , D. Manuel Ma­ de su cargamento, y las reparaciones que ría de Echevarría , D. Nicolás García de los tiene que hacer en su buque. Reyes y D. Julián de Mena oficiales se­ ,, Gstoi informado del ínteres que ha­ gundos ; y por archivero á D. Josef Mauri­ bé…</t>
  </si>
  <si>
    <t>García, Pedro</t>
  </si>
  <si>
    <t>Pedro García</t>
  </si>
  <si>
    <t>rosamente , y evitando por este medio se aprovecharan de ocasión tan oportuna para apot erarse de él. La batería del centro , á cargo del Subteniente D. Pedro García , aunque hó hizo tanto fuego como la de la derecha, lo dirigió con mucho acierto, desordenando por dos veces las columnas enemigas. Estas dos baterías se reunier…</t>
  </si>
  <si>
    <t>García, Roque</t>
  </si>
  <si>
    <t>Roque García</t>
  </si>
  <si>
    <t>rar á D. Pedro y varios barrancos , era el asilo de toda una Bazan intendente de la provincia de Soria; población fanática , que creia no peder ser á D. Roque García subintendente de la arrojada de allí sino por milagro. Villaciudad y partido de Sigiienza , y á D. An­ campa había jurado qne él rechazaría un tonio Izquierdo de…</t>
  </si>
  <si>
    <t>García, Tomás</t>
  </si>
  <si>
    <t>Tomás García</t>
  </si>
  <si>
    <t>rv os y conocido valor le ccr.sn.Uro digno de que V. S. tenga la bondad de recomendarlo al Sr. Capitán General. Asi­ mismo merece igual consideración D. Tomás García, comandante del tercio de la Sea de Urge!, quien se ha portado con gran valor y serenidad al fren­ te siempre de su tropa , avanzando y retirándose con el mayor …</t>
  </si>
  <si>
    <t>García, Ventara</t>
  </si>
  <si>
    <t>Ventara García</t>
  </si>
  <si>
    <t>e interesarse regimiento de caballería ligera, 1.a de ca­ mui especialmente en la gloria de esta ca­ zadores. pital del imperio, tachada muchas veces D. Ventara García , capitán de caba­ por nuestros enemigos de no tener energía llería, está nombrado capitán de la primerasino en el tumulto. Queden confundidas compañía del mis…</t>
  </si>
  <si>
    <t>Garciny, Jayme</t>
  </si>
  <si>
    <t>Jayme Garciny</t>
  </si>
  <si>
    <t>am~ Asimismo^ se ha servido S. M. nombrar sargento mayor veterano del batallón dé. milicias disciplinadas de Puerto-Prín­ cipe en: la. Isla de Cuba á D. Jayme Garciny, capitán del regimiento de infánteríai de la Havana; del regimientq de milicias, disciplinadas de caballería de la Havana: w D*. Andrés Albear,, capitán del esq…</t>
  </si>
  <si>
    <t>Gard, Mauricio</t>
  </si>
  <si>
    <t>Mauricio Gard</t>
  </si>
  <si>
    <t>inistro secretario de Estado Ma­ S.M. ha venido en nombrar en el regimien­ raño Luis de Urquijo.” to de infantería Real Extrangero para ca­ pitanes á D. Mauricio Gard , D. Pedro Extracto de las minutas de la secretar!» Yung , D. Jorge Dubteuil, D. Josef Forsde Estado. ter y D. Josef Yost. Para tenientes á Don En nuestro palac…</t>
  </si>
  <si>
    <t>Gardane</t>
  </si>
  <si>
    <t>comandante general de la guardia nacional sertar en ella un artículo que pudiese des­ de París. engañar á lo meaos á tos ingleses que racio­ S. E. el general Gardane » embaxador cinen» y hacerles juzgar matemáticamente francés en Persia , y el señor barón de Bud- de esta pretendida victoria de Talavera? Por berg» gentilhombre…</t>
  </si>
  <si>
    <t>Gardanne</t>
  </si>
  <si>
    <t>. El comisario general bávaro conde de Reisach está desde el 23 de este mes ea Constantinomia xde julio. Lindan. Los parlamentarios, que continua­ El general Gardanne , embaxador de mente salen de aquella ciudad y de la de Francia en la corte de Persia, ha llegado Bregentz, desde donde van también al quaraq j! de vuelta de Th…</t>
  </si>
  <si>
    <t>Garde, Cipriano</t>
  </si>
  <si>
    <t>Cipriano Garde</t>
  </si>
  <si>
    <t>adetes D. Xavier An­ gel Ros , D, Vicente de Soravilla , D. José María Barricat,D. Pedro Antonio Barrena , D. Gregorio Cruchaga , D. Hi­ lario Marco, D. Cipriano Garde , los sargentos José Manuel Jaurcgui y Marco Miguel , y Otros varios oficiales , todos al mando del brigadier D. Mariano de Renovales^ La acción principió él 2…</t>
  </si>
  <si>
    <t>Garibaldo, Josef</t>
  </si>
  <si>
    <t>Josef Garibaldo</t>
  </si>
  <si>
    <t>por los vecinos de ella, i’Mq8. z: Ei P. Fr. Francisco del Puerto , Carmelita calzado, 15?. = D. Julián Pcrez , por sí y su hijo , por un mes, 60. = D. Josef Garibaldo , por lo que han puesto en su poder los vecinos de las Parroquias que aquí se expresan , por medio de sus A’caldes de Barrio, es á saber : S. Roque, 902. =s S,…</t>
  </si>
  <si>
    <t>Garibay, Pedro</t>
  </si>
  <si>
    <t>Pedro Garibay</t>
  </si>
  <si>
    <t>riunfos obtenidos últimamente por las tropas del presidente sobre las de Petion. Hemos visto dos proclamas publicadas en México por el últi­ mo virey D. Pedro -Garibay. En la primera del 18 de abril pres­ cribe varias reglas acerca de la presentación de los extrangeros ya establecidos en el pais , especialmente franceses , an…</t>
  </si>
  <si>
    <t>Garisa, Jacinto</t>
  </si>
  <si>
    <t>Jacinto Garisa</t>
  </si>
  <si>
    <t>Ventura Elorduy. — D. Felipe Porte. — D. Felipe Arias. — D. Juan Casaus. — D. José Ponte.— D. Mariano Olaso.—D. Juan Mallada. — D. Mi­ guel Porte. — D. Jacinto Garisa. — D. Bruno Huici. — D. Manuel Larruga.— D. Ventura Ateza. — D. José Soler.— D. Miguel Echinique. — D. Antonio Lajíeña. — D. Baltasar Barragan. — D. Joa­ quín P…</t>
  </si>
  <si>
    <t>Garlos</t>
  </si>
  <si>
    <t>coronel D. Gaspar Acevedo, sargento ma­ yor dei regimiento de Navia , con su regimiento , dos -compañías de alternación, dos de fusileros del Infante D. Garlos, y las de tiradores de Rivadeba y Peñamellera, si­ tuado en el lugar de Linares del Valle de Peñarubia de­ bía atacar á Puente. -Nansa y Olis, impidiendo á toda costa …</t>
  </si>
  <si>
    <t>en los turcos para lib arse de semejante empeñaran iguales funciones cerca del ar­ golpe. Las care s del Norte han anunciado chiduque Maximiliano. El conde Garlos ya su rendición; peto nuda sabemos de po­ Collowrath está nombrado comandante ge­ sitivo. neral en B -himia; y el f-Id-mariscal coi di Escriben de Bucbarest que el …</t>
  </si>
  <si>
    <t>Garnier</t>
  </si>
  <si>
    <t>ntado por «perio francés, y os dieron como en feudo S. A. S. el príncipe vice-gran elector ; y el *á vuestros obispos; pero el bien de mis presidente conde Garnier ha dirigido á S. M. «pueblos no admite ya ninguna desmem- el discurso siguiente, y entregidole la re­ i» oración. La Francia y la Italia toda ente­ presentación ad…</t>
  </si>
  <si>
    <t>Garrido, Francisco</t>
  </si>
  <si>
    <t>Francisco Garrido</t>
  </si>
  <si>
    <t>leo Dr. D. Nicolás-Antonio*Heredero, '' :;i¿ -srí‘ ‘ Pét la vicaría . .. D. Antóñio’de Riaza y D-JosefíCaravaño. . ! ' ' ■ i* ^ ¿Por dos &gt;bot*farios' D. Francisco Garrido. ‘ Por las comunidades' * f-’ Fr. Tomas de S.; Fulgencio, prior de agustinos recoletos &gt; y Fr. Manuel "Herreros. ■ ■ &lt;'■■■ * • ■ fTr*:j v , ; r-rl por -él e…</t>
  </si>
  <si>
    <t>Garrido, Josef</t>
  </si>
  <si>
    <t>Josef Garrido</t>
  </si>
  <si>
    <t>, Teniente Coronel al servicio de la Inglaterra. = D. Julián de Anaya* z:D. Jc«í Pare des. Josef Prieto, zz D- Luis BalaDzat. D. Juan de la Cuesta.as D. Josef Garrido. Grades de Teniente Coronel - á los Capitanes i D. Mariano Lmzarote.zzD. Antonio Paig-zrD. Juan Ma­ nuel de Pereyra.=D. Josef de la Cuesta.=:D Francisco de Hore…</t>
  </si>
  <si>
    <t>Garrido, Mariano</t>
  </si>
  <si>
    <t>Mariano Garrido</t>
  </si>
  <si>
    <t>icos á E&gt;! Juan Ce a o Bermúdcz gefe de ciudad. división i'í D.r.Cipriano;Salinero, D. Nico­ ,,Mui señor mío : Informado S» M. d&lt;? lás María Bremond» D. Mariano Garrido mi penosa sitnacion en Argel, y de los pe­ y D. Pedro Alfaro y Remom oficiales se­ ligros á que estaba expuesto con todos los gundos ; y i. D. Josef Julián Di…</t>
  </si>
  <si>
    <t>Garriga, José</t>
  </si>
  <si>
    <t>José Garriga</t>
  </si>
  <si>
    <t>bernativa del reyno. El tribunal de seguridad pública «de Galicia, habiendo visto, exa­ minado y meditado la causa formada contra el barón de Alcali: D. José Garriga, director que ha sido de . policía , y su rouger: -el licenciado D. Manuel de la Piedra , llamado^ magistrado de la -tal policía -. D. Mauuel García Pardo , reda…</t>
  </si>
  <si>
    <t>Garro, Joaquín</t>
  </si>
  <si>
    <t>Joaquín Garro</t>
  </si>
  <si>
    <t>último, co­ mo Diputados del Ayuntamiento para la recolección de dona­ tivos destinados para socorrer nuestros exércitos , las partidas siguientes. = D. Joaquín Garro, 6o caxas de azúcar blanco con 960 arrobas ; y 40 dichas quebrado con .663 arrobas y 24 libras. = D., Josef María Escobar , 60 caxas con 960 arro­ bas y 9 libra…</t>
  </si>
  <si>
    <t>GaSfábrica</t>
  </si>
  <si>
    <t>entro. minos de Huesca y de Barcelona. £1 general El duque de Montebello envió al mis­ Gatan Se apoderó igualmente de una gran ino tiempo al ayudante comandante GaSfábrica situada cerca del.Gallego , donde Se quet hiera Zuera con 3 batallones para di­ habían amachetado 500 suizos. £n el mis­ sipar 4© sublevados que Sé habían …</t>
  </si>
  <si>
    <t>Gaspar</t>
  </si>
  <si>
    <t>de Madrid.—Le-Capitaine , coronel de granaderos de la guardia real. — Lebre, xefe de batallón de volteadores de la guardia real. — Lerin Bracamonte (D. Gaspar) juez de la junta de negocios contenciosos. — Litran ( D. Escolástico) teniente del regimiento-núm. i brigada^ irlandesa. — Lombardi (D. Francisco) oficial dé ordenanza…</t>
  </si>
  <si>
    <t>ulleros de la Orden Real de España Méndez Pacheco (D. Agustín), canónigo Los Señores de Segovia. Alcedo ( D. Antonio ) , mariscal de campo. Mevolhon (D. Gaspar), comandante de: Amichd (D. Jorge), oficial del regimiento esquadron. Real Extrangero. Morí ( O. Carlos ) , teniente general. Balbueoa (D. Josef) , capitán de caballer…</t>
  </si>
  <si>
    <t>Gayan, Ramón</t>
  </si>
  <si>
    <t>Ramón Gayan</t>
  </si>
  <si>
    <t>­ prender y cortar el destacamento de las nuestras, situado en el santua­ rio. del Aguila , termino de Cariñena $ pero la vigilancia del coman­ dante D. Ramón Gayan burló el proyecto del enemigo, cuya expe­ dición se ha reducido á saquear el santuario , é incendiar algunos de los barracones que servían de alojamiento á nuestr…</t>
  </si>
  <si>
    <t>137</t>
  </si>
  <si>
    <t>etc., etc.” Sevilla. 6 de setiembre. Por los partes que ha remitido la junta superior provincial de Aragón consta, que el batallón á las órde­ nes de D. Ramón Gayan , atacó en 3 del mes último á los enemi­ gos , que en número de 300 ocupaban á Parriza, Rompió el fue­ go una hora antes de amanecer, que sostuvieron por espacio …</t>
  </si>
  <si>
    <t>181</t>
  </si>
  <si>
    <t>181 intima ; y para el efecto disptf?r que D. Ramón Gayan , coman­ dante del batallón de cazadores de Cariñena , ' su sargento ma­ yor D. Juan Fraxno, con- la partida de guerrilla al c,.“go de D San­ tiago Manuel Perez , se situase en diferentes pu</t>
  </si>
  <si>
    <t>Gayano, Caries</t>
  </si>
  <si>
    <t>Caries Gayano</t>
  </si>
  <si>
    <t>Pedro Lapeña, subteniente, está D. Antonio de Saulio, también vélite, nombrado teniente en reemplazo de D. Ja­ está nombrado subteniente. se f Diaz. D. Caries Gayano, también vélite, D. Valerio Gómez, sargento x.° de ti­ está nombrado subteniente. radores , está {Sombrado subteniente en re­ En el,batallón de infantería ligera…</t>
  </si>
  <si>
    <t>Gazan</t>
  </si>
  <si>
    <t>..... Agustinos, y se derribaron con minas' 70 de* gruesas^ Siete mil enemigos .defendían casas, distinguiéndose en esta operación los el arrabal. El general Gazan avanza con r capadores del régitnientó n. 14.0 de línea. increíble rapidez hasta el puente , que era El general** Lacoste' murió dé una bala el único parage por do…</t>
  </si>
  <si>
    <t>Gcfíinet, Teodoro</t>
  </si>
  <si>
    <t>Teodoro Gcfíinet</t>
  </si>
  <si>
    <t>nto agregado á íes Inválidos de esta ciudad , 20 rs. — Una persona , que no tuvo por conveniente manifestar su nombre, i3 rs.r= Otra ídem , 20 rs. == D. Teodoro Gcfíinet vecino de esta ciudad, 1600 re. = D. Joaquín Fernandez' Rodríguez , 60 rs. = D. Sautisgo Martin , 120 rs. = D. Luis Pedro Perier, 200 rs.rr O. Manuel Aguilar…</t>
  </si>
  <si>
    <t>Gene</t>
  </si>
  <si>
    <t>Gazeta del Gobierno n.º 15 (extraordinaria)</t>
  </si>
  <si>
    <t>Enterado S. M. se -ha.' servido apro­ barlo todo y prevenir al Capitán Gene­ ral D. Gregorio de la Cuesta, qiie á los tres Coroneles de los cuerpos referidos se les arreste y procese conforme á or­ denanza con lá mayor prontitud, rz Real Palacio del Alcázar de Sevilla 6 d</t>
  </si>
  <si>
    <t>Gazeta del Gobierno n.º 20 (extraordinaria)</t>
  </si>
  <si>
    <t>1805</t>
  </si>
  <si>
    <t>DEL GOBIERNO DEL VIERNES 21 DE ABRIL DE 1805» -■ 1 ■ ——MWBBBB8M—Mi ■ 1 1 11 mi ^ SEVILLA. Por el parte que ha dado hoy á la Suprema Junta Central el Capitán Gene­ ral D. Gregorio de la Cuesta, se sabe que una división de tropas Inglesas, Portugue­ sas y Españolas ocupa la plaza de Alcán­ tara. CON REAL PRIVILEGIO.</t>
  </si>
  <si>
    <t>Génois, Macgurianos V Aigle</t>
  </si>
  <si>
    <t>Macgurianos V Aigle Génois</t>
  </si>
  <si>
    <t>svar, é hizo al­ austríaco, cargados de géneros coloniales, gunos prisioneros. que han sido apresados por los corsarios li- El 1 o llegó á Cormond el general Macgurianos V Aigle Génois, y la Belíe Ge- donald , que venia de Gratz. noise. Otros dos corsarios el Prince Ae/iil- El dia 11 el general de división GreIt y l'Aigle han…</t>
  </si>
  <si>
    <t>Ger, Ramón</t>
  </si>
  <si>
    <t>Ramón Ger</t>
  </si>
  <si>
    <t>s de España é Indias, en nombrar Ministro Vocal en la clase de Grandes-Cruces de dicha Real Asam­ blea al Marqués de Astorga, y Vocales Pensionados á D. Ramón Ger, y D. Narciso de Heredia. Así mismo ha veni­ do S. M. en nombrar interinamente secretario de dicha Real Orden á D. Luis de Onis, oficial mayor mas antiguo déla prim…</t>
  </si>
  <si>
    <t>aivo. — D. Antonio Valdés. — D. JoséRaniirez. — Marques de Revilla. — D. Luis Gonzalo. —- D Manuel de la Pe­ ña.— Dt Ignacio Antonio de Cortabarria.— D. Ramón Ger.— D. Francisco Xavier de Balmis. — D. Juan Polo. — Marques de. Béigída. — Marques- de Casteiar. — D. Manuel Vélaseos—D Jo­ sé Olatte. — D. Francisco y D. Manuel del…</t>
  </si>
  <si>
    <t>Geraers, Tgóacio</t>
  </si>
  <si>
    <t>Tgóacio Geraers</t>
  </si>
  <si>
    <t>mar en sus empleos al todavi&amp;^raa perfección mas grande; Uná coronel -dé infantería D. Garlos M-enche; á magistratura eminente , presidida y dirigida D. Tgóacio Geraers , sargento mayor de la por vos-, vela continuamente por la .conser­ plaza de Zamora ; al ayudante de la mismaí vación del sagrado depósito de las constitu­ £&gt;…</t>
  </si>
  <si>
    <t>Gerard</t>
  </si>
  <si>
    <t>Gaceta de Madrid n.º 161</t>
  </si>
  <si>
    <t>749</t>
  </si>
  <si>
    <t>ardor de un joven; de data de la tesorería general. Este y el elogia igualmente al general de artillería te orero firmarán de estampilla. Mossel, al general Gerard , gefe del estado art. iv. Este; cédulas hipotecarias se mayor, y al teniente coronel edecán Ha- admitirán por todo mi valor, y corrió di­ mciinaie. nero efectivo,…</t>
  </si>
  <si>
    <t>GifflGgen</t>
  </si>
  <si>
    <t>a___ mero considerable de pontones, y de otros Maufredini se lo había dicho al Emperador equipages. Francisco en términos bien claros; añadién­ ,, El coronel GifflGgen, que habia parti­ dole que pronto llegarían los franceses á do por la noche con un escuadrón del 6.° Viena. Pero el Emperador le contestó que de húsares, y otr…</t>
  </si>
  <si>
    <t>Gil, Antonio</t>
  </si>
  <si>
    <t>Antonio Gil</t>
  </si>
  <si>
    <t>mrs. dejos mismos!: éíy rs;?y *4 mrs. dé la cofradía de: Caballeros: 3 r rs. y 2 6 mrs. de la Trmidad: 130 rs.) del; hos-. pita! del Reí : 87 rs-. de D. Antonio Gil5,8 rs. y 28 mrs. de Cárdena: 32 rs. y. 12 mrs. de D. Josef Vitoria ; 23 rs; de la fábrica dé S. Cosme:. 77 del concejo de Pampliega: 29 del de Viilariezo: 2 de la…</t>
  </si>
  <si>
    <t>Gil, Lamberto</t>
  </si>
  <si>
    <t>Lamberto Gil</t>
  </si>
  <si>
    <t>ara el arce- y la cesación del desórden y calamidades, dianato de Robleda, dignidad de la de As- que son el efecto inevitable d« la arbitra­ torga: á D. Lamberto Gil, capellau dqt riedad y del despotismo.</t>
  </si>
  <si>
    <t>Gilman, Félix</t>
  </si>
  <si>
    <t>Félix Gilman</t>
  </si>
  <si>
    <t>Unda Y eri rales circunstancias ; qué debe ha­ D. Bonifacio Ol ivencia: seminaristas Don cer uní.gobierno justó y prudente para evi­ atías Ollvencia, D. Félix Gilman, cade­ tar tan graves males ? Es bien claro qne no te de reales guardias. Walotias , D. Félix queda otro arbitrio sino forzar la indecisión, Palacios, D. Pedro C…</t>
  </si>
  <si>
    <t>Gilmau, Félix</t>
  </si>
  <si>
    <t>Félix Gilmau</t>
  </si>
  <si>
    <t>. el principe D. Manuel Abad; gefe de trozo D. Pa­ de Hesse-Darmstadt. blo Unda; seminaristas D. Andrés Gorvea, En el discurso del año próximo pasado D. Félix Gilmau , cadete de reales guardias han nacido en Ñapóles 14719 individuos: Walonas, D. Félix Palacios, D. Pedro han fallecido 11727; y se han celebrado Cendeja, É&gt;. Joa…</t>
  </si>
  <si>
    <t>Ginesta, Agustin</t>
  </si>
  <si>
    <t>Agustin Ginesta</t>
  </si>
  <si>
    <t>ella en mo dia qoeda nombrado vice-director del esta capital. real colegio de S. Carlos el cirujano de cá­ El octavo cuerpo de exército mandado mara D. Agustin Ginesta, por fallecimien­ por el duque de AbraDtes ha llegado á las to de D. Diego Rodríguez del Fino. cercanías de París. Muchos oficiales generales han recibido Se a…</t>
  </si>
  <si>
    <t>Ginlai</t>
  </si>
  <si>
    <t>de Neustadt para Orate coa También han sido traídos ayer los prisionola infantería de línea wurtembergaesa, por­ &lt; ros cogidos en este ataque. que el general Ginlai se niega, segnn dicen, Nota.' De aquí se infiere que los pa­ i entregar laciudadela; pero semejante pro­ triotas del Voralberg se dirigían hacía Augsceder apenas …</t>
  </si>
  <si>
    <t>Gir, Gouvion Saint</t>
  </si>
  <si>
    <t>Gouvion Saint Gir</t>
  </si>
  <si>
    <t>la plaza luna artillería numerosas La guar— nicion no ha podido embarcarse á bordó de 6 navios de línea’ ingleses queestaban fondeados en la rada. El general Gouvion Saint- Gir elogia: mucho á los generales de división Reille y Pino.. Las tropas del reino Tde Italia se; han distinguido durante todo el sitio. . ^ ‘ ^ ... . A. …</t>
  </si>
  <si>
    <t>Girón</t>
  </si>
  <si>
    <t>106</t>
  </si>
  <si>
    <t>apoyaron aquellas , hasta que la presencia de las colunas enemigas , no dexo duda de que era un serio y general ataque contra toda nuestra línea. El general Girón me dió aviso de ello , y corrí á dar las convenientes dis­ posiciones , llenándome de satisfacción al ver la animosidad y ale­ gría con que nuestros generales , xef…</t>
  </si>
  <si>
    <t>Gironella, José</t>
  </si>
  <si>
    <t>José Gironella</t>
  </si>
  <si>
    <t>tas dis­ posiciones ,: y ^reconocido el terreno por dos guerrillas por dere­ cha é izquierda., esta'última-al-mando del teniente del referido tercio ;D. José Gironella , y la primera al del capitaii del mismo D. Páblo Vilá , que serian las 5 de la maraña ¿ avistó poco de»-</t>
  </si>
  <si>
    <t>rva al paso que iban retiran­ do los enemigos , y enviando á su tiempo los socorros donde lo exígian las circunstancias. D. Pablo Vilar , capitán , y D. José Gironella , tenientes ámbos del citado tercio de Figueras , contraxeron un mérito señala­ do por el conocimiento , valor y utilidad con que desempeñaron las guerrillas. …</t>
  </si>
  <si>
    <t>Girouchy</t>
  </si>
  <si>
    <t>a, para Strasburgo con el fin de hallar­ se cerca de sus exércifcos.. El día anterior habia salido el Mariscal Latines para el exército del Rhin.. El general Girouchy , que fué Gobernador militar de Madrid durante el man­ do de Miurat,. ha marchado también á mandar la caballería del exército de Italia le acompaña; el General …</t>
  </si>
  <si>
    <t>Gispert, Joaquín</t>
  </si>
  <si>
    <t>Joaquín Gispert</t>
  </si>
  <si>
    <t>al Secretario de la Junta Provincial de di­ cha Ciudad. Igu .’mente se ha servido conceder Cruz pensionada de la Real Orden EspaSola de Cáxlos III, á D. Joaquín Gispert, Oficial de la primara Secretaría de Estado, y ha concedido Cruz supernumeraria en la misma Real Orden á D. Fernan­ do García Veas, vecino de Arcos de la Fron…</t>
  </si>
  <si>
    <t>Giulai</t>
  </si>
  <si>
    <t>e duró mas de ordinario, que duró hasta mui entrada la inedia hora, y la lancha hubo de arriar noche. bandera por hallarse abierta á balazos. El feld-mariscal Giulai, que manda el Los oficiales ingleses hicieron entrar á bor­ exdrcito de observación en el Friul y en la do de sus buques al capitán de la lancha, Carniola, ha ll…</t>
  </si>
  <si>
    <t>97</t>
  </si>
  <si>
    <t>Según noticias del 17 el general de división Vandamme ha salido también de Neustadt para Gratz con la infantería de línea vvurtemberguesa, porque el general Giulai se niega, según dicen , á entregar la ciuándela,. Pero semejante proceder apenas parece verosímil... NOTA. “En efecto poco verosímil parece que el general Giulai s…</t>
  </si>
  <si>
    <t>ne llama solamente á los propietarios mas Pest y sus inmediaciones, y á qne ha da­ acomodados, aquellos que teniendo mas qne do lugar la conducta del general Giulai, perder, tienen mas ínteres en la conserva­ han exasperado mucho los ánimos. El ar­ ción del órden y de las propiedades. La lei chiduque palatino está encargado d…</t>
  </si>
  <si>
    <t>Giulay</t>
  </si>
  <si>
    <t>208</t>
  </si>
  <si>
    <t>á tomar , y atacar de nuevo; bien que luego fue destrozado por la caballería austríaca.—Los austríacos perdieron también mucha gente: quedó herido el General Giulay , habiéndole muerto dos caballos: y muchos oficia­ les del estado mayor, parte heridos y parte muertos ; y algunos regimientos quedaron casi sin oficiales, hechos…</t>
  </si>
  <si>
    <t>Giuláy</t>
  </si>
  <si>
    <t>su* -¿esteta; entre ellos 3 generales , cayó eiEpoderde Josí*Ú9Háaeos;&lt;4t"ine.dtftfcdos del mes se bailaba «tr?LeyHach&gt;ianjenaaádá:pox'elleuerpp1 del general Giuláy , apostado .'.en Rohitscb. Todo ^aqiiel territorio de Fiomev 55eng y las islas del: Carnero éstan ya. en ppderdé las tropasnustriacas¿. Giulay con las-milicias de…</t>
  </si>
  <si>
    <t>de Raab. Un cargamento de trigo para el enemigo se le ha cogido en Nema. El general Chasteller estaba el 4 en S. Groth» Núm. 4.° Pest 9 de julio. El general Giulay desde su quartel general con fecha del 3 participa : que para hacerse dueño del camino de comunicación de Gratz á Bruck, se habia adelanta­ do la noche anterior há…</t>
  </si>
  <si>
    <t>Go, Vicente</t>
  </si>
  <si>
    <t>Vicente Go</t>
  </si>
  <si>
    <t>to. =r riga , alcalde de casa y corte , deba leerse Firmados:YO EL REI.trPor S. M. su I). Josef Garriga, comisionado regio en Cataluña s y donde dice D. Vicente Go­ ministro secretario de Estado Mariano Luís males Arnaud, debe leerse J?. Vicente de Urquijo.” González Arnao. EN LA IMPRENTA REAL.</t>
  </si>
  <si>
    <t>Goate</t>
  </si>
  <si>
    <t>Gazeta del Gobierno n.º 23 · 2.ª serie</t>
  </si>
  <si>
    <t>Hamil.ton habia salido al puerto á recibirle.” Idem.. S..A..S., el duque de Brunswick, ha llegado á Londres. Se.apeó en la fonda de Clarendon con el capitán Goate, coman­ danta- del Mosquito., corbeta en la que ha hecha la travesía des­ de Heligoland. á Yarmoutiu." El martes á Las tres fué S. A. al almi­ rantazgo , donde lo c…</t>
  </si>
  <si>
    <t>Godinó</t>
  </si>
  <si>
    <t>vica­ comerciante de la Cataluña. Han sido con­ rio de Piedrahita, que le habia confesado, ducidos á Fraocjé 29 prisioneros que habia se presentó al general Godinó, y le dixo te­ aqui hacia tiempo ,- y parece que su desti­ nia encargo del reo para decirle que su cas­ no es á Dijon: los que han llegado última­ tigo habia sido …</t>
  </si>
  <si>
    <t>Golber</t>
  </si>
  <si>
    <t>dé Caxones dé artillería y mu­ niciones de guerra. En esta ciudad se han encontrado almacenes de paño, de mantas y de herramientas de gastadores. E! general Golber , comandante de la vanguardia de caballería del duque de Istria, ha cogido eme! camino de Villafranca á Astorga 2® prisioneros, se ha apoderado de varias remedas d…</t>
  </si>
  <si>
    <t>Gómez, Antonio</t>
  </si>
  <si>
    <t>Antonio Gómez</t>
  </si>
  <si>
    <t>oronel D. Francisco Roxas, el Capitán D. Josef Muzquiz, el de igual clase D. Joaquin Marin, el Teniente Coronel D. Cayetano Torreani, y los Capitanes D. Antonio Gómez, y D. Carlos Vega. Pronta y dispuesta con una bizarra disposición esta tro­ pa , me abaneé del castillo con el Mayor General de in' fantería D. Manuel de Peñas,…</t>
  </si>
  <si>
    <t>Gómez, Jo'ef</t>
  </si>
  <si>
    <t>Jo'ef Gómez</t>
  </si>
  <si>
    <t>por guarda-cuños Continúan las rejl.-xiones sobre el real de­ á D. Pedro Llamazales; por maestro fun­ creto de iS de agosto acerca de la ce­ didor á D. Jo'ef Gómez; por ayudante de sación de todos los empleados. fundidor á D. Euaenio Luzon ; por ayu­ dante agregados D. Manuel Hernández; y Jamas es el hombre mas tenaz y fiero …</t>
  </si>
  <si>
    <t>Gómez, José María</t>
  </si>
  <si>
    <t>José María Gómez</t>
  </si>
  <si>
    <t>....... Señores Moreda y Ladalid'. Oviedo......................... Señores D. Manuel Ilubiano y Nieto.. Palma. . . . . . . D. Martin Mallol. Sevil. . D. José María Gómez. Sar^Ker. . Señores Vidal é hijo.. StajCriiz de Tenerife. D. Antonio García Campero.. Tarragona.................. D. Ramón de Llordella é hijo. falencia.....…</t>
  </si>
  <si>
    <t>Gómez, Juan</t>
  </si>
  <si>
    <t>Juan Gómez</t>
  </si>
  <si>
    <t>eus , y otras tantas ordenanzas de esta clase, conquistaría inmediatamente la monarquía austríaca. NOTICIAS DE ESPAÑA. Molina de Aragón 25 de agosto. D. Juan Gómez , comandan­ te de partida dé cruzada, coii-fecha enBerlangaá 2í del corrien­ te , comunica al intendente de ia provincia de Guadaiaxara, lo</t>
  </si>
  <si>
    <t>363</t>
  </si>
  <si>
    <t>onge Bernardo de Herrera , la del abogado de Vailadolid Perez , la del abogado de Logroño Orue, la de Salazar, la del Oficial Arbisú, la Cruza­ da de D. Juan Gómez ó M¿narro etc. etc. Todas se van sometien.do á las juntas y obrando baso su dirección ; punto mas esencial de lo que á primera vista parece, pues estas partidas , …</t>
  </si>
  <si>
    <t>Antonio Hernández Pont ; y á los agregados á mi estado mayor el coronel D. Ramón Martínez, D. Antonio Conde, capitán ¿el provincial de Valladolii,y á D. Juan Gómez, teniente del batallón de Fernando Vil. Asimismo recomiendo á los capitanes del batallón del general, el te­ niente coronel D. Manuel Bayona y D. José Montero , po…</t>
  </si>
  <si>
    <t>Gómez, Juan Antonio</t>
  </si>
  <si>
    <t>Juan Antonio Gómez</t>
  </si>
  <si>
    <t>Muro, íaoo. = D. Miguel Rebato , 25. zz D. Gregorio Castriciones, vecino de S. Salvador , 4®. = D. Víctor Zavala , 200. zz D. Juan Hernández, 100. — D. Juan Antonio Gómez, Contador de .Ejército, 200. = D. Juan Josef Echevarría , 100. = D. Juan Antonio Ara ojo, 200. = D* Nicolás de Rivera, Adalid nistrador general de Alcavalas…</t>
  </si>
  <si>
    <t>Gómez, Manuel</t>
  </si>
  <si>
    <t>Manuel Gómez</t>
  </si>
  <si>
    <t>ítica situación.”" “Movida, pues , de tan poderosos motivos la suprema Junta, ha venido-en indultar á nombre del rey nuestro Sr. D. Fernan­ do VII, á D. Manuel Gómez deOstos,de la pena de muerte de gar­ rote á que fué sentenciado, comutándosela en diez años de presi­ dio en Filipinas-con retención ; indultando igualmente de l…</t>
  </si>
  <si>
    <t>■ Fernandez , y al áoldad'o Paulino González; &lt;le Villavic-iosa al cabo graduado de Sargento Manuel Gómez. .Lo que noticio á y. S. para Su conocimiento. Dios .guarde á V» S, muchos añcs. Puente del Arzobispo 20 de noviembre de iSoy.—£1 bsron de Carondelet. ^ Sr. conde de Ibeagh.”— Otro oficio d</t>
  </si>
  <si>
    <t>Gómez, Valerio</t>
  </si>
  <si>
    <t>Valerio Gómez</t>
  </si>
  <si>
    <t>. Antonio de Saulio, también vélite, nombrado teniente en reemplazo de D. Ja­ está nombrado subteniente. se f Diaz. D. Caries Gayano, también vélite, D. Valerio Gómez, sargento x.° de ti­ está nombrado subteniente. radores , está {Sombrado subteniente en re­ En el,batallón de infantería ligeran. t.° emplazo de D. Pedro Lapeña…</t>
  </si>
  <si>
    <t>Gómez, Vicente Martin</t>
  </si>
  <si>
    <t>Vicente Martin Gómez</t>
  </si>
  <si>
    <t>nuel Cambronero y D. Diego Cosío. Por el Cabildo D. Benito Semprun, D. Josef Gómez de Villavedon, D. Josef Sacrista* y D. Tomas Moyano. Por la Ciudad D. Vicente Martin Gómez, D. Cayetano Alonso , D. Mariano Santatíder, D. Simón Durango, D. Francisco Berzosa y D. Tomas Rodríguez. Por S. Basilio P. D. Ignacio Reyezo y P. D. Lui…</t>
  </si>
  <si>
    <t>Gómez, Vicente Román</t>
  </si>
  <si>
    <t>Vicente Román Gómez</t>
  </si>
  <si>
    <t>de la propia iglesia á D. Patricio nisterio. Josef González y Tricio, capellaa que ha IMPERIO FRANCES. sido de la real fábrica de armas de Toledo: á D. Vicente Román Gómez, cura de la París &lt;T de setiembre. villa de Abades, diócesis de Segovia, para El 30 de agosto S. M. el Emperador una canongía de la catedral de Astorga : á…</t>
  </si>
  <si>
    <t>Gon</t>
  </si>
  <si>
    <t>os Excmos. Sres. El duque de Campo Alange, espitan general, gran canciller de la mis­ ma orden; D. Josef deMazarredo, capitán general, gran tesorero; D. Gon* zalo O-Farril, teniente general;, el duque de S. Germán, capitart general de la guardia; el duque de Cotadiüa, ídem: Y en el primer regimiento de infantería de la guardi…</t>
  </si>
  <si>
    <t>Gon, Bernardo</t>
  </si>
  <si>
    <t>Bernardo Gon</t>
  </si>
  <si>
    <t>Juan Facundo Caballero..— D-. Sebastian dé Tor­ res. — Di Luis García Puerta. — D: Manuel Quintana.D. Ig­ nacio Gardoqui. — Marques de Villamonte. — D Bernardo Gon­ zález. -— D. Francisco Santmez. — D. Luis A ntentas.—&lt; D. Fer­ nando.Gninan-—D. Luís de Qm*~- D.-Félix Colon. — D.Ma*-</t>
  </si>
  <si>
    <t>Gon, Juan de Mata</t>
  </si>
  <si>
    <t>Juan de Mata Gon</t>
  </si>
  <si>
    <t>hechos por vários individuos del Reyn% de Sevilla en el tnes de enero próximo pasado , para emplearlos en los ejércitos* D. Manuel Rosendo de Paz , y D. Juan de Mata Gon­ zález , Tenientes Habilitados dei primer batallón de Volunta* ríos de Sevilla , han entregado, como procedentes de ios do­ nativos hechos por los vecinos de…</t>
  </si>
  <si>
    <t>Gon, Julián</t>
  </si>
  <si>
    <t>Julián Gon</t>
  </si>
  <si>
    <t>ónigo; D. Pablo Recio y Tcllo, canónigo; D. Pedro María Estala, canónigo. Por la ciudad de Toledo. El Sr. conde de Lerena; D. Manuel Bernardo Roldan; D. Julián Gon­ zález Saez; D. Gil Antonio Laguna; D. Diego María Gallar; D. Francisco Ruano Santos; D. Joan Manuel Martínez;. D. Santiago Felipe Barrundos y D. Félix Lorenzo San…</t>
  </si>
  <si>
    <t>Gonget, José Fermín</t>
  </si>
  <si>
    <t>José Fermín Gonget</t>
  </si>
  <si>
    <t>mien­ tras lo verificaban también otras dos divisiones con las que entraban por los puntos de Salvatierra y Fago, mandados to­ dos por los oficiales D. José Fermín Gonget, D. Pedro Fran-. cisco de Cambra , D. Sebastian de Gambra , D. Genaro Mar­ tin , D. Matías de Aras , D. Tomás de Renovales , D. Ale-* ¿andró Amigot, D. Juan…</t>
  </si>
  <si>
    <t>Gonzá, Gabriel</t>
  </si>
  <si>
    <t>Gabriel Gonzá</t>
  </si>
  <si>
    <t>= El P. Fr. Pablo Carmena , Carmelita calza­ do , 160 rs. rzz D. Manuel María Adriaensen , 200 rs. rz D. Jos ír f Antonio Diez Martínez, 1200 rs. zr: D. Gabriel Gonzá­ lez , 60 rs. = D. Francisco García , por una vez , 60 rs.trrD. Josef Espinosa , ídem , 300 rs. = D. Francisco Xavier Henriquez , por sí y por su escribiente D.…</t>
  </si>
  <si>
    <t>Gonza, Vicente</t>
  </si>
  <si>
    <t>Vicente Gonza</t>
  </si>
  <si>
    <t>ef Martioejz , 10 rís. para un par de medias. D. Romualdo Ruiz, 20 rls. para dos pares de medias. D. Antonio Espinosa, 10 rls. para un par de medias. D. Vicente Gonza’ez, 20 rls. para dos pares de medias. Doña Gertrudis Redondo , 30 rls. para dos mochilas. D. Manuel Lino Fernandez , 20 rls. para dos pares de medias. D. .Manue…</t>
  </si>
  <si>
    <t>Gonzahz, Manuel</t>
  </si>
  <si>
    <t>Manuel Gonzahz</t>
  </si>
  <si>
    <t>ls. para quatro mochilas y do* p^res de medias. D. Josef de Silva , 30 rls. para dos mochilas. D. Cipriano de Flores , 10 rls. para un par de medías. D. Manuel Gonzahz, 10 rls. para un par de medias. Doña María del Carmen Alvares , 17 rls. para unos zapatos* D. Pedro Ruiz , 153 ris. para diez mochilas. D. Antonio Quesada, 60 …</t>
  </si>
  <si>
    <t>González</t>
  </si>
  <si>
    <t>el número, y que ya se consideraba muy próxima á este punto. En el acto determiné que cen la mas posible brevedad y sigilo i saliesen las tropas del capitán González y parte del paysanage á-&gt; su encuentro,. ínterin activé la evacuación y embarco de los enemigos baxo el pretexto de no poder contener el furor del palysanage'; l…</t>
  </si>
  <si>
    <t>n facilitado en lo .posible de , los dos primeros renglones. No puedo menos de recomendar el distinguido valor que han acreditado , ademas del citado Capitán González , los de la misma clase del batallón de la Victoria D. Francis­ co Colombo , D. Manuel Benedicto , el Alférez de Navio del propio cuerpo D. Josef María Sierra ,…</t>
  </si>
  <si>
    <t>González, Andrés Perez</t>
  </si>
  <si>
    <t>Andrés Perez González</t>
  </si>
  <si>
    <t>523</t>
  </si>
  <si>
    <t>vir de freno al poder del Austria ó de la Rusia. NOTICIAS DE ESPAÑA. Carvajales 29 de octubre. Un cadete del batallón de guardias nacionales, llamado D. Andrés Perez González, estaba de avan­ zada con 24 hombres junto á la villa de Almendra. Vino una par­ tida de franceses que componían el número de 4?, los 12 de ca-</t>
  </si>
  <si>
    <t>González, Antonio</t>
  </si>
  <si>
    <t>Antonio González</t>
  </si>
  <si>
    <t>uarda Ordoñez , 10 rls. para dos pares de medias» Doña María B¿rmudez , 10 rls. para un par de medias» D. Manuel Navarro , 30 rls. para dos mochilas» D. Antonio González , 20 rls. para dos pares de medias» D. Manuel Díaz, to rls. para un par de medias. D. Rafael de Buque , 20 rls. para dos pares de medias» D. Antonio Ahumada,…</t>
  </si>
  <si>
    <t>González, Bartolomé</t>
  </si>
  <si>
    <t>Bartolomé González</t>
  </si>
  <si>
    <t>aballería en estas distintas acciones, es la que ma­ nifiesta el adjunto estado (1). La de los enemigos es mucho nai(1) España : el alférez arregado-.D. Bartolomé González , heri­ do ; 1 prisionero ; 6 hombres y 6 caballos muertos; 4 hombres y 1 caballo heridos; 10 hombres y 11 caballos prisioneros. Total, 21 hom­ bres y 18 c…</t>
  </si>
  <si>
    <t>González, Bernardo</t>
  </si>
  <si>
    <t>Bernardo González</t>
  </si>
  <si>
    <t>3fo D. Bernardo González con 2yeo Hombres, y al de la mis­ ma clase del batallón de la Victoria, D. Francisco Coloiribo, con (s00. Pero interesando mas que todo la pron­ ta conquista de Vigo, de común acuerdo pasamos'con es­ tas tr</t>
  </si>
  <si>
    <t>González, Feliciana</t>
  </si>
  <si>
    <t>Feliciana González</t>
  </si>
  <si>
    <t>regado en prendas y en dinero^ y con*, linuará dando relación conforme vayan contribuyendo• D. Teodoro Quínt ro, 373 rls. para un vestuario completo. Doña Feliciana González, 75 rls. para una casaca. D. Francisco Fernandez , 17 rls. para unos zapatos. D. Juan Parra . 48 rls. para unos pantalones. D. Antonio Diaz , 75 r-’s*- p…</t>
  </si>
  <si>
    <t>González, Francisco</t>
  </si>
  <si>
    <t>Francisco González</t>
  </si>
  <si>
    <t>o Larregui , D. An­ grandezas y títulos que no se hayan con­ drés Piñuela , D. Víctor Moreno, D.Juan cedido 6 confirmado por S. Al. reinante, Ribera, D. Francisco González, D. Seve— y d la confiscación de los bienes embar­ riño Riezu y D. Eusebio Heros oñciales gados d las personas fugitivas y que segundos; á I&gt;. Juan Esteban…</t>
  </si>
  <si>
    <t>nio Leiral , D. Carlos Reboul, ©. Francisco Guilmó , D. Benito Navarro, D. Francisco Larregui , D. Andrés Piñuela , D. Víctor Moreno, D. Juan Ribera, D. Francisco González, D. Sevérino Rie-zu y D. Eusébio Heros oficiales segundos ; á D. Juan Esteban Tricio archivero ; y á ¡B. Francisco Borda visitador general de hacienda con …</t>
  </si>
  <si>
    <t>González, Josef</t>
  </si>
  <si>
    <t>Josef González</t>
  </si>
  <si>
    <t>Diego de ia Peda, 20 rls. para dos pares dp medias. D. Francisco Pernia, 20 rls. para dos pares de medias. D. Juan Teílo , 17 rls. para unos zapatos* D. Josef González , 10 rís. para un par de medias. XX .Antonio de la Cruz,40 rís. para 2 mochilas y 2 pares de medias. D. Francisco B^ítran , -y D* Josef de Flores, 29 rls. para…</t>
  </si>
  <si>
    <t>González, Pedro Cortina</t>
  </si>
  <si>
    <t>Pedro Cortina González</t>
  </si>
  <si>
    <t>5*34 D. Pedro Cortina González. 10.000 El subteniente D. Francisco Iglesias, 1.000 D. Santiago Cnavarria. 3.000 D. Manuel Besanilia Ruiz. 3.000 Las quarenta y ocho partidas que anteceden, componen los 8502 pesos exhibido</t>
  </si>
  <si>
    <t>González, Tomas</t>
  </si>
  <si>
    <t>Tomas González</t>
  </si>
  <si>
    <t>D. Matias García , 20 rls. para dos pares de medías. D. Antonio Ximensz, 20 rls. para dos pares de medias. D. Francisco Martin , 10 para unas medias» D. Tomas González , 20 rls. para dos pares de medias» D. Manuel Alegre , 10 rls. para un par de medias. D. Josef García , 70 rls. para 4 mochilas y unas medias» D. Joan Josef Be…</t>
  </si>
  <si>
    <t>González, Valentín</t>
  </si>
  <si>
    <t>Valentín González</t>
  </si>
  <si>
    <t>4 Porsu,empU} '...i'. ‘l:' '' D. Josef Antonio Huemes. ^ &gt; , f&gt; .. ; , . J Por rentas reales D. Lucas Blazquez y D. León de Ja Riva. . P°r stt empleo D. Valentín González, administrador de rentas reales. f Por las maestros ¿c obras Bernardino García. Por ¡os carpinteros Camilo Carrasco. Por el gremio de sastres Sebastian Dome…</t>
  </si>
  <si>
    <t>Gonzalo, Luis</t>
  </si>
  <si>
    <t>Luis Gonzalo</t>
  </si>
  <si>
    <t>. — Con­ de del Montijo. — D. Antonio Samper. —D. Ramón ViJlaiba. — D. Lorenzo Caivo. — D. Antonio Valdés. — D. JoséRaniirez. — Marques de Revilla. — D. Luis Gonzalo. —- D Manuel de la Pe­ ña.— Dt Ignacio Antonio de Cortabarria.— D. Ramón Ger.— D. Francisco Xavier de Balmis. — D. Juan Polo. — Marques de. Béigída. — Marques- d…</t>
  </si>
  <si>
    <t>Gor</t>
  </si>
  <si>
    <t>mi, llegó el 4 del cor­ camente á las obligaciones del ministerio riente a Pau. pastoral. Harto pesadas son , hijos mios, y Ha llegado esta mañana el coronel Gor- superiores á mis fuerzas corporales é inte­ goli, edecán de S. M. el Emperador da to­ lectuales. Feliz yo si he acertado á llenar­ das las Rusias: salió de Petersbu…</t>
  </si>
  <si>
    <t>Gordon</t>
  </si>
  <si>
    <t>Nóm* i% t %.% t GJZETA DEL GOBIERNO Bel Viernes 17 de Marzo de i8o§. GRAN BRETAÑA. Londres 14 de enero.. Anoche llegó el capitán Gordon con el siguiente parte del Teniente general Sir David Baird para el Lord Vizconde Castlereagh, uno de ios principales Secretarios de ,Estado de S. M. Á bordo del navio Ville de París 18 de en…</t>
  </si>
  <si>
    <t>Gorgoli</t>
  </si>
  <si>
    <t>. DIARIO DECIMOSEPTIMO. Londres a de junio. Viena 8 de junio de j8oj&gt;. El 31 de mayo hubo en la cámara de los comunes una discusión mui viva sobre El coronel Gorgoli, edecán del Empe­ la petición hecha por los ministros, en vir­ rador de Rusia , ha llegado al quartel im­ tud del mensage del Rei, de una suma de perial con ana …</t>
  </si>
  <si>
    <t>Górnel, Antonio</t>
  </si>
  <si>
    <t>Antonio Górnel</t>
  </si>
  <si>
    <t>Gazeta del Gobierno n.º 33 (extraordinaria 2)</t>
  </si>
  <si>
    <t>rtin de Loigorri. Dios* guar­ de á V. E. muchos años. — Q a artel gene­ ral de Alcañiz 24 de mayo de/ i8og. — Excmo. Sr. —Joaquín Blake. — Excmo. Sr. D. Antonio Górnel.” S. M. ha leido con la mayor satisfac­ ción la brilfatsta dtefensár que ha hecho es­ te exército , y ?ha; raandada. se manifieste asx al. expresado General, d…</t>
  </si>
  <si>
    <t>Gorostiza, Francisco</t>
  </si>
  <si>
    <t>Francisco Gorostiza</t>
  </si>
  <si>
    <t>ionar á los cuerpos y baterías , que tan bieii provistas estuvieron siempre. El coronel de.día , que lo era el ca­ pitán de reales guardias Españolas D. Francisco Gorostiza, los ma­ yores de órdenes de las dos divisiones los tenientes coroneles D. Josef Martínez S. Martin , y IX Francisco Medvano , no dexaron de cumplir un in…</t>
  </si>
  <si>
    <t>Gortszakoff</t>
  </si>
  <si>
    <t>unas; á carta siguiente, para tranquilizar á los ne­ saber: la del general Levis por Drohiczin; gociantes que piensen ir á la feria próxima ‘-la del. príncipe Gortszakoff por Terespol, de Sinigaglia. y la del príncipe' Suwarow por Wlod„Señor prefecto: tened la bondad de zimirz. 'prevenir al comercio, que he dado tales Traducc…</t>
  </si>
  <si>
    <t>Gorvea, Andrés</t>
  </si>
  <si>
    <t>Andrés Gorvea</t>
  </si>
  <si>
    <t>D. Josef Ramón Fernandez y presentado á SS. MM. S. A. S. el principe D. Manuel Abad; gefe de trozo D. Pa­ de Hesse-Darmstadt. blo Unda; seminaristas D. Andrés Gorvea, En el discurso del año próximo pasado D. Félix Gilmau , cadete de reales guardias han nacido en Ñapóles 14719 individuos: Walonas, D. Félix Palacios, D. Pedro h…</t>
  </si>
  <si>
    <t>Gos, Gerónimo</t>
  </si>
  <si>
    <t>Gerónimo Gos</t>
  </si>
  <si>
    <t>Juan Antonio Ara ojo, 200. = D* Nicolás de Rivera, Adalid nistrador general de Alcavalas, 100. = D. Ramón Andrade, Con­ tador general de idem, 100.= D. Gerónimo Gos , Alcs^dé de idem,100.= D. Manuel de Olavenri, Vista de»idem , 25. = D. Félix Castríllo , Oficial 2. 0 de idem , *25. = D. Bartolomé Rigo , Guarda-mayor, 25 = D. …</t>
  </si>
  <si>
    <t>Gotenburgo</t>
  </si>
  <si>
    <t>Norwega conduciendo uniformes Ayer llqgaron aquí con 3 horas de di­ y otros efectos de apresto. En las aguas de ferencia 2 correos despachados por el conde Gotenburgo se encontró con una fragata de Bellegarde, comandante general en Gay un bergantín ingles , y la tripulación to­ llicia. Los pliegos que han traído dieron mó al …</t>
  </si>
  <si>
    <t>Gottemburgo, Nicolás Romanzojf</t>
  </si>
  <si>
    <t>Nicolás Romanzojf Gottemburgo</t>
  </si>
  <si>
    <t>ticio que se le ha propuesto, según lo hace ver la nota que he presentado de su orden ai Barón de Schwerin, y cuya copia incluyo. Tengo el honor &amp;c.= Conde Nicolás Romanzojf Gottemburgo 23 de junio. Se ha dicho hoy muy de positivo que les habitantes de la Kc— Vuega están en insurrección, y que se niegan á cerrar sus puertos a…</t>
  </si>
  <si>
    <t>Gqillen, Juan Antonio</t>
  </si>
  <si>
    <t>Juan Antonio Gqillen</t>
  </si>
  <si>
    <t>e D. Manuel Guzman , á D. Pedro Jacinto Ogayar, prior en S. Gil de la misma ciudad : para una ración de la colegial de Ba­ za , vacante por muerte de D. Juan Antonio Gqillen , á D. Mar­ tin Yanguas, racionero en la de Talavera : para una ración en la colegiata de Xerez de la Frontera , vacante por fallecimiento de D. F rancis…</t>
  </si>
  <si>
    <t>Grab</t>
  </si>
  <si>
    <t>Si z ,,E1 general Grab^wskí, comandante menester arrojarle de ella para poder resta, de la ciudad , da parte á las tropas que el bleeer el puente que había sido cortado, exército polaco, mandado por el príncipe Dos en</t>
  </si>
  <si>
    <t>Graden</t>
  </si>
  <si>
    <t>l Danubio se han elevado príncipe Poniatowski obligándose á no exi­ un pie de algunos dias a esta parte. gir ninguna contribución, ha impuesto una El general Graden, que mandaba una de 40c® florines á la ciudad de Varsovia; división de tropas holandesas , se ha apode­ ha exigido ademas que se le entregase el rado por asalto d…</t>
  </si>
  <si>
    <t>omercio saxones. con las potencias amigas no daria ocasión á ,, Pasado mañana la división holandesa del ningún paso ilícito. Pero enterados que en el general Graden se incorporará con el exér— año anterior el enemigo ha hallado el me­ cito de S. M. No se puede formar una idea dio de con-eguir por los buques neutrales del buen…</t>
  </si>
  <si>
    <t>Graham</t>
  </si>
  <si>
    <t>bayoneta calada.” “En la tarde anterior fué tomado con la misma intrepidez un atrincheramiento que tenia el enemigo delante de la división del mayor general Graham , por el regimiento 14 y algunos destaca­ mentos de la legión alemana del rey á las órdenes del teniente coronel Nichols.”’ “Habiendo pedido los sitiados una suspe…</t>
  </si>
  <si>
    <t>191</t>
  </si>
  <si>
    <t>d‘‘ una carta fecha en la isla'de VVakhersn, uñarais lia al N. O. de Flcsinga , -i 9 del corriente. —- “Ayer á las 4 de la tarde la brigada del mayor general Graham atacó al enemigo con el obgeto de destruirle una obra muy avanzada, la quai hu­ biera incomodado mucho á nuestras baterías que se estaban dis­ poniendo para bomba…</t>
  </si>
  <si>
    <t>Graliam</t>
  </si>
  <si>
    <t>estos ventajosos donde ahora estan nuestras avanzadas.” “No hallo palabras con que expresar la incesante vigilancia y destreza que manifestó el mayor general Graliam, para asegurar y conservar su posición contra los repetidos ataques del enemiga que trajaba de desalojarle, y al mismo tiempo tengo'la mayor sa­ tisfacción de ha…</t>
  </si>
  <si>
    <t>Grandjean</t>
  </si>
  <si>
    <t>iese saber la derrota de los ingleses y su se alojaron en el Convento de Santa Engra­ vergonzosa huida dei territorio dé España. cia. £a división del general Grandjean sé Los ingleses fueron arrojados de ella el r&amp; apoderó de unas 30 casas ; tn cuya acción, de enero, y las operaciones dei sitio dé se distinguieron el coronel …</t>
  </si>
  <si>
    <t>Grarieri</t>
  </si>
  <si>
    <t>79a xíma d« las tres fortalezas prusianas que desarmado, y el vecindario no hace ya el ocupan todavía las tropas francesas. servicio por la noche. El general Grarieri llegó en la noche del WURTEMBERG. 27 al 2S á Rostock , de donde ha salido inmediatamente para Stralsund. Stuttgardt 24 de mayo. El teniente general prusiano de …</t>
  </si>
  <si>
    <t>Gratiam</t>
  </si>
  <si>
    <t>e lle­ gar por una estafeta.. Stralsund, donde el coronel Schill se habia encerrado con todas* sus tropas r fue atacado en 31 de mayo por el Teniente general Gratiam. En término de dos horas se ha­ bía apoderado- ya de toda la ciudad* La acción filé muy obstinada. Schill murió en ella. Ef resto de sus tropas* que consistía en…</t>
  </si>
  <si>
    <t>Graticn</t>
  </si>
  <si>
    <t>1105</t>
  </si>
  <si>
    <t>e ha­ cogido machos buques cargados de equi­ bía en la ciudad: todos ellos eran milicia­ pas- nos dei Laudwehr. Ha llegado á Hannóver la división del general Graticn, que vuelve á Holanda. Leipsick de agosto. Brema 10 de agosto. Después de tantos días de inquietud gozamos al ña de la tranquilidad &gt;anto tiemLa vanguardia de la…</t>
  </si>
  <si>
    <t>Gratien</t>
  </si>
  <si>
    <t>os. cen de indignación , y piden que recaiga sobre ella y su trefe la maldición pública y REINO DE WESTFALIA. el castigo reservado á los bandidos. El general Gratien, á la cabeza de las Cassel 27 de mayo. tropas holandesas, va siguiendo el alcanae S. M. se propone pasar revista á una á Schill, que huye con su caballería. divi…</t>
  </si>
  <si>
    <t>ia Acabamos de recibir de oficio la noticia Sandomir, Parte del exército entró en siguiente: , Przeworsk , y ccn este movimiento quedó ,, El teniente general Gratien ataco el cortada la comunicación de Lemberg con 31 de mayo al medio dia á Stralsund , en Cracovia. donde Schill se había atrincherado con to­ El general Roznieek…</t>
  </si>
  <si>
    <t>de la colonia, después de una navegación ponerse en movimiento, y, según se dice, de n meses, durante la qual ha doblado se le unirán las tropas del general Gratien el cabo de Buena-Esperanza y la Nueva y otra división holandesa. Holanda. Todavía no ha comenzado la vegetación Erfurt 10 de junio. ea las cercanías de Petersburg…</t>
  </si>
  <si>
    <t>las tropas y aun los ha»&gt; hitantes se hallarían sin medios ningunos Hamburgo 15 de junio. «de subsistir.” Se sabe que los rusos tenían en Abo 106 El general Gratien ha llegado aqni de buques de guerra prontos á dar la vela, y vuelta de Stralsund. que con efecto 9; hablan pasado á Naza, Habiendo sabido en Petersburgo el du­ re…</t>
  </si>
  <si>
    <t>863</t>
  </si>
  <si>
    <t>Hanau asciende á 10© hombres; y dia­ Usedon ; y el general prusiano Mr. de GroeíF riamente va llegando mucha infantería y ca­ ha avisado de oficio al general Gratien que ballería. La reunión de estas tropas , con las habían salido de Cclberg algunas tropas que manda el Rei de Westfalia, presentará prusianas con el objeto de c…</t>
  </si>
  <si>
    <t>1079</t>
  </si>
  <si>
    <t>oz de los co­ bell con el cuerpo de tropas westfalianas mandantes. de so mando en número de 4© hombres. Si los gefes tuvieran habituadas sus tro-, El general Gratien ha recibido orden pas al silencio, y á no seguir sino á sus co­ de marchar á Holanda con el cuerpo de mandantes, no habria nunca esta confusión, tropas holandesa…</t>
  </si>
  <si>
    <t>18 de septiembre de 1809</t>
  </si>
  <si>
    <t>Gaceta de Madrid n.º 262</t>
  </si>
  <si>
    <t>con AUSTRIA. unos pliegos para el encargado de Negocios \ 'y consejero de la chancillería Mr. Netzel. Vierta 25 de agosto. La división holandesa del general Gratien ha llegado al principado de Munster. El duque de Dantzick llegó aquí el dia Ha caminado á marchas forzadas para vol­ 23. Las conferencias para la paz continúan ve…</t>
  </si>
  <si>
    <t>Se dice que de Cassel se han puesto ya tropas en camino para perseguir al duque, y que serán reforzadas por un cuerpo de holandeses á las órdenes del general Gratien. Todos los puentes de Brunswick han sido rotos á excepción del hermoso puente Agustín.</t>
  </si>
  <si>
    <t>Llegado aqui de Viena. batalla campal, ó un sitio, ó un cuerpo en También acaba de llegar á esta ciudad un exército imperial que se llame exércit9 el general Gratien, que mandaba las tropa s grande, holandesas en la acción que hubo en Stralart. vi. Las águilas de los regimien­ sund contra el cuerpo 4&lt; Scliill. tos (cuyo estad…</t>
  </si>
  <si>
    <t>Gratiert</t>
  </si>
  <si>
    <t>da de numerosos batallones de voluntarios, y la certidumbre de ser Amsterdan s de setiembre. atacados por un exército, que era ya f &gt;rLa división del general Gratiert , man­ midable, los han precisado á abandonar una dada en el día por el general Van-Haiselt, posición tan importante como la de Batz; llegó el 30 de agosto á Bo…</t>
  </si>
  <si>
    <t>Gratten</t>
  </si>
  <si>
    <t>do de los almacenes La división del general Travers está en­ de Budweis harina ya calentada. cargada de la defensa del Texel, hasta que llegue la del general Gratten, que se com­ EAV1ERA. pone de 6500 hombres de excelentes tropas. Antes de partir del quartel general S. M. Augsburgo 14 de agosto. ha manifestado á todos los ofi…</t>
  </si>
  <si>
    <t>Grcgori</t>
  </si>
  <si>
    <t>cañones cada uno puede contar con el seguro y lí­ de i 31,y con 117 hombres de tripulación, bre uso de los frutos ó producciones de sus al mando del capitán Grcgori. posesiones, previsión é industria. Después de un cañones muí vivo, que art. 11. El estado y nuestra casa real duró hora y media, el Carnation fue apre­ pagarán l…</t>
  </si>
  <si>
    <t>Gre</t>
  </si>
  <si>
    <t>á Y. E. para su inteligencia y Cum­ plimiento. Dios guarde á y. ;E. muchos antis. Real Alcázar de Sevilla 21 de abril de i8oq.~ Martin de Garay,=iSr. D. Gre­ gorio de la Cuesta. "i V'i » ,m~\ CON REAL PRIVILEGIO.</t>
  </si>
  <si>
    <t>Greaier</t>
  </si>
  <si>
    <t>la caballería Los habitantes del p.tis están tranquilos, del general Grouchi sobre su derecha: el y no toman partido en !a guerra. La pro­ cuerpo del general Greaier, formando dos clama del Emperador ha conmovido los .mi­ escalones, de los quales la división del ge­ mos; y se sabe que la nación húngara ha neral Seras formaba …</t>
  </si>
  <si>
    <t>Gregori</t>
  </si>
  <si>
    <t>este combate 29 de una necesidad pública y urgente el es­ hombres muertos y heridos, entre los pri­ tado hubiese de requerir ó tantear algon meros al capitán Gregori: nosotros no tu­ fruto ó género, el exercicio de este dere­ vimos mas que 15 hombres entre muertos cho no podrá tener efecto sin un decreto</t>
  </si>
  <si>
    <t>Gregorio</t>
  </si>
  <si>
    <t>mo. Sr. = Joaquín María Sotelo. s=s Excmo. Sr. Vtce-Presidente de 1» Suprema Junta Central* Ndm. 3. •' Contextacion de la Junta 'Suprema al Gene* ral D. Gregorio de ta Cuesta. ,, Excmo. Señor. =r Se han leído en ía Junta Suprema Gubernativa del Reyno las ciartás qué para su Presidente y 0 para V. E. ha di­ rigido de nuevo D. …</t>
  </si>
  <si>
    <t>cordato ajustado entre S. M. y el santo Pa­ nombrado;tá IV Rafael Tenorio, D. Do— dre en 26 de messidor, año 9.0, ha decre- • mingó Vengóa” y"D. Gregorio del-Castillo tado lo siguiente*. gefes de división en el ministerio de Guer­ articulo i. La fórmula de la oracíofi ; ra; á D. Josef Perez de Nueros y D. Ca­ siguiente será r…</t>
  </si>
  <si>
    <t>regi­ Il.rva» ( D. Manuei), administrador gene­ miento ruím. 2.0, infantería de línea. ral de correos. Mna de la Roca ( D. Joset Ramón). 1-Iid.lgo ( D. Gregorio), subteniente del M lot (D. Santiago), escudero del Rei. regimiento de ioíantería iúm. i.° Monncret , tnav or de granaderos de la guar­ H u^o ( D. Josef Leopoldo), ge…</t>
  </si>
  <si>
    <t>ballería. — Hernández (D. Gabriel) teniente del re­ gimiento de infantería núm. 2. —Hervas (D. Manuel) adminis­ trador general de correos. — Hidalgo (D. Gregorio) subteniente del regimiento de infantería núm. i. —Hugo (D. José Leopol­ do) general. — Hugo (D. Luis) comandante de batallón del regi­ miento real extrangero.—YoIdi…</t>
  </si>
  <si>
    <t>ellos, Bal buena (D, Rafael), coronel de arti­ restituyendo y asegurando á su rito la dig­ llería. nidad correspondiente, y á sus concien­ Castillo ( D. Gregorio del), gefe de divi-' cias aquella tranquilidad por que tantos sion en el ministerio de Guerra. siglos há suspiraban en medio del silencio Conde ( D . Josef Antonio )…</t>
  </si>
  <si>
    <t>Grekow</t>
  </si>
  <si>
    <t>•fio rales Zucato, Harting y Uschakow , y AUSTRIA. á otros muchos oficiales. Saltzburgo 3 de mayo. El coronel Grekow ha hecho que pasen de Rajah á nuestro territorio cerca de 10 La gazeta de esta ciudad conti ,ne una familias tu rías. proclama dirigida por el mariscal duque de Hace poco que ha vuelto á Suecia el D antzick á l…</t>
  </si>
  <si>
    <t>Grenier</t>
  </si>
  <si>
    <t>esta jornada nosotros, junto con los sentimientos de la la mayor serenidad y un brío extraordina­ alegría y de la gratitud , los de la mas siario. El general Grenier ha maniobrado coa cera admiración de las qu.ilidades que le su acostumbrada pericia. £1 ala izquierda, adornan, que jamas han sido suficientemen­ mandada por el …</t>
  </si>
  <si>
    <t>Gress</t>
  </si>
  <si>
    <t>anaderos del exér­ «vuestro mejor amigo.” cito austríaco , únicas tropas frescas que tu­ El general de división Saint-Hilaire ha viera el enemigo. Ei general Gress hizo pa­ sido herido: es uno de los generales mas sar a cucni.lo 7 o húngaros que ya había distinguidos de la Francia. cu el cementerio del pueblo de Esling. Los E…</t>
  </si>
  <si>
    <t>Grey</t>
  </si>
  <si>
    <t>320</t>
  </si>
  <si>
    <t>e Cork , que de aquel puerto de Irlanda salen tro­ pas con destino á España. Entre ellas se cuenta el primer regi­ miento de dragones, mandado por el coronel Grey ¿ que tiene cerca de 800 plazas, En Woivvieh se prepara por orden del Go­ bierno artillería para una nueva expedición ; y en Piimouth se ha dado orden de disponer a…</t>
  </si>
  <si>
    <t>Griflith</t>
  </si>
  <si>
    <t>sido muertos.: y heridos el teniente coronel Winck, del 4 i el teniente corone] Maxwel , dei 26.»; el teniente coronel Fane , del 59 *; el teniente .coronel Griflith, de la guardia» y U» tsayores MiUer y Wilíiams, del 8,t.‘ (3). .. . » ¿ • 1 * *' 1. ftadá os1 hablaré acerca de la pérdida &lt;ítie el exército y la nación ha su­ f…</t>
  </si>
  <si>
    <t>Grimarest, Pedro</t>
  </si>
  <si>
    <t>Pedro Grimarest</t>
  </si>
  <si>
    <t>acción. En otro parte de la misma fecha di cuenta el expre­ sado General del re&amp;ulrado que ha tejido el moví miento he­ cho por el marisca] de campo D. Pedro Grimarest, por Montizon con el objeto de recorrer algunos pueblos de la Mancha, animarlos y evitar el saqueo que intentaban los enemigos en Ruidera, Viüahermosa y la Sof…</t>
  </si>
  <si>
    <t>cmo» Su z=iJoaquín Blake. tzrExcmo. Su D. Antonia Cornel* El General del exército de la Carolina ha remitido el par* te dado por el mariscal de campo D. Pedro Grimarest, en que le dice con fecha de 24 de mayo lo siguiente. „Elevo, sin mas que la precisa detención , á manos da V. S. el parre que á las nueve de esta noche me re…</t>
  </si>
  <si>
    <t>Grindel</t>
  </si>
  <si>
    <t>, un periódico intitulado la suelo á medida que iban caminando SS. MM. quinta esencia de todos los diarios. En la mañana del 10 salieron los Reyes El profesor Grindel, de Dorpart, ha de Memel después de haber recibido varios hecho saber por medio de nuestras gazetas, presentes de manos de 7 doncellas vestidas que á todo el qu…</t>
  </si>
  <si>
    <t>Grosvenor</t>
  </si>
  <si>
    <t>puesta ,, sin- quehasta ahora, haya, podido la. flotilla impedirlos. En estas circuns­ tancias ha sido necesario desembarcar la división del teniente general Grosvenor, cómo también los dos batallones ligeros de la real.legión Alemana.” “Luego que se rindió:. Ramakens, y. se hicieron los. arreglos, necesarios, di orden para q…</t>
  </si>
  <si>
    <t>Grouchi</t>
  </si>
  <si>
    <t>122</t>
  </si>
  <si>
    <t>landa saldrá de aquí la semana próxima pa­ Habiéndose interceptado la siguiente carta, ra Strasburoo. que manifiesta el estado lastimoso de anar­ El general Grouchi va i mandar la ca­ quía en que se halla la ciudad de Cádiz, ballería del exercito de Italia; y lia salido expuesta á cada Ynomento a los excesos de ya con el gene…</t>
  </si>
  <si>
    <t>uedó yerto de terror; no acertó á dar general en gefe que dos divisiones de caba­ disposición ninguna; y una horaaiespues de llería á las órdenes del general Grouchi re­ haber asegurado que se sepultaría debaxo conociesen la llanura de Udina, los enemi­ de las ruinas de Viena antes queabandonar gos han sido rechazados hasta m…</t>
  </si>
  <si>
    <t>ai ra, y los arrojó hácia Raab. «n los estados romanos. El 9 el virei se dirigió hácia Sarvar. La El martes último entraron en nuestro caballería del general Grouchi acometió la puerto dos bergantines, uno ingles y otro retaguardia enemiga en Vasvar, é hizo al­ austríaco, cargados de géneros coloniales, gunos prisioneros. que…</t>
  </si>
  <si>
    <t>ería .óel-general Montbrun, la camino de Comorn y de Pe;t. brigada del general Colbert y la caballería Los habitantes del p.tis están tranquilos, del general Grouchi sobre su derecha: el y no toman partido en !a guerra. La pro­ cuerpo del general Greaier, formando dos clama del Emperador ha conmovido los .mi­ escalones, de lo…</t>
  </si>
  <si>
    <t>os franceses se hiciesen dueños de duque de Auerstaedt en Nicolsbourg y al ctrolos campos atrincherados , que por espacio de lado delTava , el 1 o el general Grouchi en Ro40 días habían levantado y fortificado con 150 senberg, y el mismo dia el duque de Ragusa cañones de grueso calibre en Esling y Gros- en Znaim , es decir en…</t>
  </si>
  <si>
    <t>Grouchy</t>
  </si>
  <si>
    <t>72 *En la mañana de este mismo dia, el duque de Auerstaedt pa* só el Toya delante de Nicelsbourg, y el general Grouchy batió la retaguardia del príncipe Rosenberg, y le'hizo 4 ¿O prisioneros del regimiento del príncipe Carlos.” ícEl 11 al medio'dia el emperador llegó delante de Znaim a tiempo que la batalla había comenzado. E…</t>
  </si>
  <si>
    <t>Gruñe</t>
  </si>
  <si>
    <t>s ha salido sueco de 20© hombres á las órdenes del ge­ para el exército. Este príncipe va acompa­ neral de Tol!, con el objeto de oponerse á ñado del general Gruñe y de sus edecanes qualquiera expedición que se intente con­ el conde de Colloredo y el señor Delucottra la Suecia. te. S. A. el archiduque Maximiliano ha La gazeta…</t>
  </si>
  <si>
    <t>Gstay, Martin</t>
  </si>
  <si>
    <t>Martin Gstay</t>
  </si>
  <si>
    <t>- . . io9 Bes corresponda* = El Marqué de Astorga , Vrce-Presidente. — En Sevilla á 29 de eaeio de 1809. =± A D. Martin Gstay. E! General en xefe del exército del centro , Duque del Infantado v avisa con fecha del dia 2 dd corriente , que por ún testigo de vista ha sabido que los cuerpos de caballería que tenia de</t>
  </si>
  <si>
    <t>Gszaíi</t>
  </si>
  <si>
    <t>o* obras dé campaña qué si cío n que ocupaban, fueron desbaratado*había á tiro de cañón de la plaza. La del y derrotados. El io.° regimiento de húsa­ general Gszaíi los desalojó también de la's res los aguardaba en un llano, donde que­ alturas de S. Gregorio j y los regimientos daron muchos de el loü tendidos en el Caint2t.° …</t>
  </si>
  <si>
    <t>Guadix, Alon</t>
  </si>
  <si>
    <t>Alon Guadix</t>
  </si>
  <si>
    <t>, Salamanca , Zamora , Plasencia, tellano , la que consiguió con título de üímSegorbe, Urgel, Jaca, Osma, Calahorra, perador de las Españas nombrado D. Alon­ Guadix , Mallorca, Ibiza, Barbastro, Al- so VII. barracin y S. Marcos de León, como se ,,Este fne el primer exemplar que por puede ver en la presente colección. los años…</t>
  </si>
  <si>
    <t>Gual, Juan Bautista</t>
  </si>
  <si>
    <t>Juan Bautista Gual</t>
  </si>
  <si>
    <t>l regimiento de infantería de Cartage­ na de; Indias:: para el del presidio del Carmen al coronel D. Cosme: Antonio Urquiolá ; y para el de Bacalar á D. Juan Bautista Gual, capitán del batallón de Castilla fixo: de Cam~ Asimismo^ se ha servido S. M. nombrar sargento mayor veterano del batallón dé. milicias disciplinadas de Pu…</t>
  </si>
  <si>
    <t>Guarnerio, Luis</t>
  </si>
  <si>
    <t>Luis Guarnerio</t>
  </si>
  <si>
    <t>apellán D. Santiago y las preocupaciones , atraer los cultivado­ Delgado, ex-religioso escolapio, y médico res errantes por los bosques á sus hogares D. Luis Guarnerio. y á sus heredades, hacer que renazcan la art. ¿i. Quedan nombrados profesores calma y la esperanza del seno mismo de la del mismo real establecimiento D. Feli…</t>
  </si>
  <si>
    <t>Guaxardo, Tomas</t>
  </si>
  <si>
    <t>Tomas Guaxardo</t>
  </si>
  <si>
    <t>clase ciones del reía). Desde el nacimiento del de-S. Sebastian IX Joaquín Guia , y ai ca— reino de Italia V. M. en su sabiduría,ha— piran de llaves D. Tomas Guaxardo. A los bia concebido el plan de esta magistratura, tenientes de inválidos de las compañías de y había ya preparado los elementos en la. Pamplona D. Juan Zorn y …</t>
  </si>
  <si>
    <t>Guaze, Juan</t>
  </si>
  <si>
    <t>Juan Guaze</t>
  </si>
  <si>
    <t>ad y tropa se ha portado con la mayor bizarría , particularizando la sin­ gular conducta, de lps cadetes del batallón de Tarragona D. Josef Monguiot, D. Juan Guaze , D. Ignacio Urtet, D. Ráymundo Cortes , D. Juan Ixar , D. Carlos Salas, y D. Diego Rivagorda , que habiendo salido de guerrilla, escar­ mentaron bien al enemigo ;…</t>
  </si>
  <si>
    <t>Gudin</t>
  </si>
  <si>
    <t>te de Presburgo, en la que moneda, la escasez y carestía de víveres que tenia el enemigo algunas tropas. nos abruman, hacen todavía mas deplorable E! general Gudin ha dirigido con maes­ la suerte de la milicia, que sufriendoiguales- tría esta pperacion, que há sido executáda privaciones que nosotros, se ve también sin por el …</t>
  </si>
  <si>
    <t>Gudovvish</t>
  </si>
  <si>
    <t>del tratado y que lo-.firmó, ha sido elevado á la dignidad de canciller del imperio, la primera del estado, que equivale á feld-mariscal general. El conde Gudovvish, feld-mariscal general ha sido nombrado gobernador de Moscovr. El mavor general Betaneourt está nombrado teniente general de nuestro exército en Moldavia; ha cons…</t>
  </si>
  <si>
    <t>Gueheneuc</t>
  </si>
  <si>
    <t>idas de prisioneros ingleses y españoles. glaterra pedia fuesen admitidos en la nego­ Parts 3 de marzo. ciación los Reyes de Suecia , de Sicilia y El coronel Gueheneuc, edecán de S. E. del Brasil , á lo qual la Francia y Rusia no el mariscal duque de Montebelio, llegó aquí habían manifestado repugnancia; pero la In­ el 27 del…</t>
  </si>
  <si>
    <t>Gaceta de Madrid n.º 149</t>
  </si>
  <si>
    <t>701</t>
  </si>
  <si>
    <t>viuda de Rusia, ha salido para Petersburgo de pues Parts de mayo. de haber hecho seis meses de estancia en Ayer á las 7 y media de la tarde el Paris. coronel Gueheneuc, edecán de S. E. el El quartel general de S. M. el Empe­ duque de Montebello, se apeó en el pala­ rador estaba el dia n en Schoenbrunn, pa­ cio de S. A. S. el …</t>
  </si>
  <si>
    <t>Gueñena, Tomas</t>
  </si>
  <si>
    <t>Tomas Gueñena</t>
  </si>
  <si>
    <t>la capellanía que goza D. Ventura de Urrutia, al contado 4861 , y al fiado 7291 y medio: una heredad en dicho pueblo perteneciente á la capellanía de D. Tomas Gueñena, al contado 560 , y 842 al fiado: 3 dichas de la pia memoria de D. Domingo Maturana, al contado 621', y al fiado 934: dos dichas en el mismo pueblo correspondie…</t>
  </si>
  <si>
    <t>Guerra, Andrés Alvarez</t>
  </si>
  <si>
    <t>Andrés Alvarez Guerra</t>
  </si>
  <si>
    <t>gados por la villa. Los pretendientes y en Alvistur al citado D. Francisco Josef de Eceiza. dirigirán sus memoriales al escribano de ayuntamiento Por D. Andrés Alvarez Guerra, vecino de la villa de ella , que se proveerá en el mas benemérito dentro de Zafra, se endosaron con fecha 2 de diciembre del del término de 30 dias con…</t>
  </si>
  <si>
    <t>Guerrero, José González</t>
  </si>
  <si>
    <t>José González Guerrero</t>
  </si>
  <si>
    <t>, canónigo de la colegial de Baeza : pa­ ra una canongía de la iglesia colegial de S. Hipólito de Córdoba, vacante por muerte de D. Andrés Ocarol , á D. José González Guerrero , capellán de los reales exércitos : para la canongía va­ cante en la colegiata de Lorca por fallecimiento de D. Juan An­ tonio García , á D. Mariano G…</t>
  </si>
  <si>
    <t>Guiaza, Francisco</t>
  </si>
  <si>
    <t>Francisco Guiaza</t>
  </si>
  <si>
    <t>escribanía de D. Melchor Nicolás Truxillo, se manda citar y empla­ zar a los acreedores y herederos al juicio universal de concurso de acreedores de D. Francisco Guiaza, vecino que fue de Tarifa. Los que se consideren con algún de­ recho al referido concurso, acudirán á dicha escribanía á formalizar su derecho ton los documen…</t>
  </si>
  <si>
    <t>Guilieminot</t>
  </si>
  <si>
    <t>ba­ El Feld-mariscal barón de Aspres, ge­ sé actualmente en Presburgo el general de neral austríaco, nata ral de Gante, ha muer­ división Regoier, el general Guilieminot, to de resultas de las heridas que recibió en ge fe del estado mayor, y los edecanes ge­ la batalla de Wagrairi. Su cadáver ha sido nerales Sorbier y Fóntáne…</t>
  </si>
  <si>
    <t>Guillaume</t>
  </si>
  <si>
    <t>Estado; tan gravosos al cuerpo de los católicos. Se Classen, consejero de legación y consultor ha propuesto una enmienda, con el objeto general, y el capitán Guillaume, secretario de dar al Rei el derecho de sancionar la de legación. elección y nombramiento de Jos obispos ca­ Por el conde de Bcust, ministro del tólicos; pero …</t>
  </si>
  <si>
    <t>Guillermo</t>
  </si>
  <si>
    <t>adas. A Subteniente el primer .Condestable D. Sebastian Iglesias. Cuerpo de Pilotos. A Práctico primero , graduado de Aiferea de fragata , r\ segundo D. Guillermo :Mora. = Real .Alcázar de Sevilla 6 da mayo de 1809. Atendiendo la Junta Suprema Gubernativa del Reyno las muestras de patriotismo y adhesión á la buena causa que h…</t>
  </si>
  <si>
    <t>Burgo, gará hoi mismo, y que esperará aqbi á .S. M. Astigarrag.i (D. Josef). espitan de navin,1 e¡ Emperador , cuyo regreso se mira como Bdlesrrier (D. Guillermo ) ,ma vcr del re¡|’. mui próximo. La permanencia de SS. MM.II. miento i.úm. i.-, brigada irlandesa. en este sitio será, según se dice, de al­ Bendaña (marques), gent…</t>
  </si>
  <si>
    <t>l batallón de in­ fantería ligera , núm. 1. — Arribas ( D. Francisco) arcediano de Burgos. — Astigarraga ( D. José ) capitán de Navio.” “Balestrier ( D. Guillermo ) mayor del regimiento núm. 1, brigada irlandesa. — Bendaña ( marques ) gentilhombre de Cá(l) Yéase lo que diximos sobre esta orden en la gazeta del Gobier­ no núm.…</t>
  </si>
  <si>
    <t>GuiMadrid, Juan Bautista</t>
  </si>
  <si>
    <t>Juan Bautista GuiMadrid</t>
  </si>
  <si>
    <t>ropone hacer inmediatamente otra ex­ de las Españasy de Jas Indias. periencia. . Hemos decretado y decretamos lo si­ ESPAÑA. ; guiente : articulo i. „D. Juan Bautista GuiMadrid_ j de noviembre. ^ lart queda nombrado j uez de primera ins­ Extracto de las minutas de la secretaria tancia en esta villa en la plaza vacante por de …</t>
  </si>
  <si>
    <t>Guiral, Juan</t>
  </si>
  <si>
    <t>Juan Guiral</t>
  </si>
  <si>
    <t>nte Verde. El regimiento de Ciudad-Real al mando de su coronel el brigadier D. Angel Pe­ drero , con dos cañones de a quatro mandados por el teniente D. Juan Guiral, fueron á establecerse sobre el vado Largo. Los regimientos de Ronda y primero de Guadix* quedaron eu la calle de la Reyna. Los de la Corona y Jaén al mando de su…</t>
  </si>
  <si>
    <t>Guitart, Juan Bautista</t>
  </si>
  <si>
    <t>Juan Bautista Guitart</t>
  </si>
  <si>
    <t>ismas juntas ; de D. Andrés Alfonso Choya, D. Martin de Villaíaz , D. Manuel Silvela y D. Francisco Iturribarria , para alcaldes dé casa y córte ; de D. Juan Bautista Guitart, para juez de primera instancia en Madrid; del teniente del rey José, D. Joaquín Magallon, pa­ ra capitán de su caballería de línea; de D. Francisco Fog…</t>
  </si>
  <si>
    <t>Guitón</t>
  </si>
  <si>
    <t>e dia cogimos 30 hombres, 2 banderas, y 3 piezas de arti­ llería. El general de brigada de Bruyeres , oficial de grandes esperanzas, quedó herido. El general Guitón cargó bizarramente sobre el enemigo coa el regimiento décimo de coraceros.” (*) “Informado el emperador de que el príncipe Juan de Litchtenstein habia llegado á l…</t>
  </si>
  <si>
    <t>Gus</t>
  </si>
  <si>
    <t>264</t>
  </si>
  <si>
    <t>es lia dirigido una pro­ clama , exhortándoles á que se porten como buenos vecinos. SUECIA. Desde el 14 de julio hasta el 15 de agosto. La suerte del rey Gus­ tavo Adolfo llama siempre el interes y la atención de ios buenos. Se le permite ya pasear en los jardines de su encierro de Gripsholm : su esposa é hijos pueden andar p…</t>
  </si>
  <si>
    <t>a , cuya ratifkacion.se anunció en Petersburgo el 12 de octubre. — El 13 salieron de Estockeuno diputados para inventariar las propiedades del último rey Gus­ tavo Adulfo. —Se concede ú los buques ingleses mas tiempo para sa­ car sus efectos de Suecia. — En Ionkiping se tiene el congreso para, la paz entre esta última potenci…</t>
  </si>
  <si>
    <t>Gutiérrez, Aidres</t>
  </si>
  <si>
    <t>Aidres Gutiérrez</t>
  </si>
  <si>
    <t>rada Solano , 12 rls. para una gorra de quartel* Doña Josefa Alvarado , 30 rls. para dos mochila?. D. Lorenzo Paez, 20 rls. para dos pares de medias. D. Aidres Gutiérrez, 10 rls. para un par de medias. Doña María Manuela Escobar, 1 o rls. para un par de medias* D. Benito Alvarado , 20 rls. para dos pares de inedias* D. Sebast…</t>
  </si>
  <si>
    <t>Gutiérrez, Aiexanrfr</t>
  </si>
  <si>
    <t>Aiexanrfr Gutiérrez</t>
  </si>
  <si>
    <t>ia que fundó Ana dé de Sagasta, teniente corregidor de esta vjlla, y escriba­ Villa, y se hall? á .cargo de los padres Mercenarios denía numeraria de D. Aiexanrfr© Gutiérrez ,;una casa sita esUtcorte, núip- p/imataz. 327, en. 56956 rs., y ocu­ en la calle de ¡a Cabeza de e?ta misma villa, núm. 24, pa: %x 27 pies y medid. Otra…</t>
  </si>
  <si>
    <t>Gutiérrez, Benito</t>
  </si>
  <si>
    <t>Benito Gutiérrez</t>
  </si>
  <si>
    <t>Mariscal., 10 rls. vn. para jm par demedias* D. Juan Ruiz, ao rls. para .dos pares de medias. Manuel Montenegro , ao rls. para d.*s pares de medial* D. Benito Gutiérrez , 30 rls. para dos mochilas.</t>
  </si>
  <si>
    <t>Gutiérrez, Fernando</t>
  </si>
  <si>
    <t>Fernando Gutiérrez</t>
  </si>
  <si>
    <t>ria á D. Fran­ dencias opresoras , y de envolver cada día cisco María de Roxas; el de la de Cala­ en mayores males á los infelices que girnen horra á D. Fernando Gutiérrez, y el de baxo su yugo. Mientras que ellos disponen Ciudad Real á D. Pedro de Porras: la vara en provecho suyo de quantos caudales pue­ de alcalde mayor de …</t>
  </si>
  <si>
    <t>Gutiérrez, Josef</t>
  </si>
  <si>
    <t>Josef Gutiérrez</t>
  </si>
  <si>
    <t>s infames ministros. El General en Xefe del exército de Extremadura Don Gregorio de la Cuesta, con fecha de i 2 del corriente ha da­ do cuenta de que D. Josef Gutiérrez, Capitán del segundo regimiento de Voluntarios de Madrid, y Comandante de la tropa de dicho cuerpo, y de otras partidas puestas sobre lo* vados de la orilla d…</t>
  </si>
  <si>
    <t>Gutiérrez, Pedro Marcos</t>
  </si>
  <si>
    <t>Pedro Marcos Gutiérrez</t>
  </si>
  <si>
    <t>D. Juan Francisco Gallo. 3 ooo D. Luis Escolar. 8.000 D. José Manuel Balbontin. 2.000 D. Juan Antonio Estanillo. 2.000 D. José Bernabé lzita. 16.000 D. Pedro Marcos Gutiérrez. 8.000 D, Francisco Almirante. 10.000 D. Juan Manuel Bustillos. 2.000 D. Manuel Diez Cortina. 1.000 D. Francisco y D. Joaquín de la Cortina. 30.000 El c…</t>
  </si>
  <si>
    <t>Gutiérrez, Ramón</t>
  </si>
  <si>
    <t>Ramón Gutiérrez</t>
  </si>
  <si>
    <t>ablo Fornier, otra vez á humillarse á los pies del vence­ teniente de infantería, capitán de la misma dor á pedirle la paz. Los ministros de arma ; á D. Ramón Gutiérrez , teniente que S. M. tienen el corazón verdaderamente fue del regimiento de infantería de fíiírgos, ingles; su patriotismo es todavía mayor teniente del regim…</t>
  </si>
  <si>
    <t>Guzman, Fer</t>
  </si>
  <si>
    <t>Fer Guzman</t>
  </si>
  <si>
    <t>masiado conocido el influxo que tuvo desorden, de la miseria y del oprobio. Su cerca de él su combleza Doña Leonor de hermana Doña Isabel, casada con D. Fer­ Guzman , y lo que contribuyó á ellos. Su nando de Aragón, que se apellidaron des­ único lujo legítimo el Rei D. Pedro r , Ma­ pués Reyes católicos, aumentó la deuda in: …</t>
  </si>
  <si>
    <t>Guzman, Manuel</t>
  </si>
  <si>
    <t>Manuel Guzman</t>
  </si>
  <si>
    <t>seminario con­ ciliar de Orihuela : para la dignidad de arcipreste de la colegial de Sta. María de la ciudad de Baeza , vacante por fallecimiento de D. Manuel Guzman , á D. Pedro Jacinto Ogayar, prior en S. Gil de la misma ciudad : para una ración de la colegial de Ba­ za , vacante por muerte de D. Juan Antonio Gqillen , á D.…</t>
  </si>
  <si>
    <t>Gzerni-Jorge</t>
  </si>
  <si>
    <t>á otros, y los demas han sido mos una artillería formidable. Las tropas arrojados á la otra orilla.] executan todos los dias grandes maniobras. ,, El general Gzerni-Jorge ha hecho for­ El campo, establecido de ocho dias á esta mar atrincheramientos en los pantos prin­ parte, es mui singular por ia elegancia y el cipales por d…</t>
  </si>
  <si>
    <t>H, Marcos de Cruentes</t>
  </si>
  <si>
    <t>Marcos de Cruentes H</t>
  </si>
  <si>
    <t>seo y dis­ ciplina y evitar enfermedades en las tripulaciones. Por el Real Tribuía! d¿l CiasuUdo de comercio de la ciudad de Valencia y escribanía de D. Marcos de Cruentes H¡idg&gt;, se cita y emplaza á los acreedores á les bienes de D. Joaquín de Joveilar , y D. J uan B atista Lurieña , asentistas que fjáron de maderas para el …</t>
  </si>
  <si>
    <t>Haberrnan</t>
  </si>
  <si>
    <t>ho la conducta del mayor ,,Sin embargo, con el sobrescrito de Palm, del gefe de batallón ligero bávaro, humanidad manda ahora los asesinatos; con del teniente coronel Haberrnan, de ios ca­ el de fidelidad excita á la rebelión; invoca pitanes Haider y Bemard , del tercer regi­ la paz , y suscita las guerras civiles , y hace mi…</t>
  </si>
  <si>
    <t>Habert</t>
  </si>
  <si>
    <t>283</t>
  </si>
  <si>
    <t>do sabido, el brigadier D. Felipe Perena , por un pliego interceptado-dirigido por.el coronel Ro,bert, comandante de las tropas enemigas de Ainsa, al general Habert en la villa de Antillon , que aquel con unos 43 hombres in­ tentaba pasar el Cinca y sorprehenderlo, tomó púa posición ven­ tajosa en Trancedo, y les opuso una vi…</t>
  </si>
  <si>
    <t>Gaceta de Madrid n.º 309</t>
  </si>
  <si>
    <t>donde, creyén­ seria poner á S. M. en las manos de un dose seguras, meditaban nuevos latrocinios; primer ministro de carácter mui violen-, quando el general Habert, habiendo pasado to, y que vista su adhesión á la causa de el 22 de setiembre el Cinca al frente de 60 ia emancipación de los católicos, no podía húsares, cada uno…</t>
  </si>
  <si>
    <t>Hace</t>
  </si>
  <si>
    <t>s­ tados , ha salido esta mañana á las dos con Petersburgo 31 de maya. su guardia y el regimiento del gran duque de Berg , para establecer su quartel general Hace algunos dias que llegó aqui de en Mulhausen. S. E. el conde de FurstensFinlandia el general príncipe Bragation, y teín, ministro secretario de Estado, y los •se le …</t>
  </si>
  <si>
    <t>Haddick</t>
  </si>
  <si>
    <t>eía ya dueño de to­ ha mostrado mucha destreza y serenidad. do el reino : de 10© hombres mandados por Muchos generales han perdido sus e.,h.illos, el general Haddick, y formados de ¡as re­ y quatro edecanes del virei han sido fini­ servas de las plazas tuertes de Hungría; dos levemente. Este príncipe se ha bailado de 5 á 6©, …</t>
  </si>
  <si>
    <t>HaEl</t>
  </si>
  <si>
    <t>nador.do , se La mostrado siempre digno de ser Ames de su llegada i esta ciudad , en una libre é independiente.” ~ -i /- conversación que tuvo con el general HaEl domingo próximo el cuerpo legisla­ bert &gt; por cuyas tropas:ha sido hecho pri­ tivo será presentado solemnemente á la au­ sionero «.preguntándole este sobre Jas qua—…</t>
  </si>
  <si>
    <t>Hamil</t>
  </si>
  <si>
    <t>res.” “El 9 llegó el duque de Brunswick á bordo del Mosquito, buque de guerra, y fué saludado,con 19 cañonazos por la guar­ nición y la esquadra; el. teniente coronel Hamil.ton habia salido al puerto á recibirle.” Idem.. S..A..S., el duque de Brunswick, ha llegado á Londres. Se.apeó en la fonda de Clarendon con el capitán Goa…</t>
  </si>
  <si>
    <t>Han</t>
  </si>
  <si>
    <t>a ellas se emplearán por diaciones de Straubing' en la Baviera infe­ ahora en otras cosas de mayor importancia. rior. El regimiento de infantería del duque Han cesado igualmente todos los trabajos Cárlos tomará hoi el mismo camino con un comenzados en Ems y en otras plazas que tren de artillería. debian ponerse en estado de d…</t>
  </si>
  <si>
    <t>Hau</t>
  </si>
  <si>
    <t>ora qualquiera que hubiere en ellas de sigue después de haber abandonado á Síes— ganarlos por un cierto tiempo para la mesa zin, Kuttno y Klodawa. El general Hau- capitular ú otro destino. ke» con arreglo al plan formado por el ge­ art. ii. En los primeros años de ?u neral comandante en la orilla izquierda , ha provisión Ies …</t>
  </si>
  <si>
    <t>Hay</t>
  </si>
  <si>
    <t>ente contra nuestros piquetes avanzados, los quales fueron sostenidos por el tercer batallón de los Reales, y por los regimientos 5 y 35 al mando del coronel Hay. Estos cuerpos, algunos destacamentos dé la artillería real, y los batallones 95 y ligeros de la real Legión alemana recibieron al enemigo con su acostumbrada intrep…</t>
  </si>
  <si>
    <t>Hc-mos, Alfon</t>
  </si>
  <si>
    <t>Alfon Hc-mos</t>
  </si>
  <si>
    <t>y á los vélites D. Amadeo Juy contribuir al mismo tiempo al adorno de galdo, D. Josef Manzone, D. Cayetano la capital; Fiore, D. Francisco Perracino, D. Alfon­ Hc-mos decretado y decretamos lo si­ so det Rincón, D, Meiiton Rico, D. Cir­ guiente : ios Ermeler, D. Cirios D'aiguebelles , Doa articulo 1. Cedemos al comercio de Fr…</t>
  </si>
  <si>
    <t>Hd-henzollern</t>
  </si>
  <si>
    <t>iciales y sóldAdós, jtodos sé pdriarOn¡ co­ mo hétíójesú los Genérales optrmañéétóoU siempre al frente de sus trópas ; el Tentonté -Máriscal dé Campo Príncipe Hd-henzollern ty¿y élhGébéráíic'Srlueipé'iuis' Liejite^stein se.aba. lanzaron ; ellos, mismos sLn las banderas; $ y sé introdujeron cqn ellá? '&amp; -1113:110 Jtifl íiosqi^…</t>
  </si>
  <si>
    <t>Hecho, Borghesej</t>
  </si>
  <si>
    <t>Borghesej Hecho</t>
  </si>
  <si>
    <t>1416</t>
  </si>
  <si>
    <t>lido ya el sente tratado serán cangeadas dentro de seis 26 al medio dia para Fontainebleau , adon­ dias, ó antes si se pudiese. de han ido también la princesa Borghesej Hecho y firmado en Viena á 14 de oc­ los ministros, los grandes dignidades del tubre de 1809.= Firmado , J. B . Nompe­ imperio, y otras muchas personas de dis…</t>
  </si>
  <si>
    <t>Hemos, Rohan y Schnelteív</t>
  </si>
  <si>
    <t>Rohan y Schnelteív Hemos</t>
  </si>
  <si>
    <t>campo de bata­ lla» De parte de los austríacos quedaron heridos , ademas efe los. Generales Eusigaan y los dos Príncipes Lichtensteiiy los Generales Príncipe Rohan y Schnelteív Hemos perdido algunas baterías por la muerte de los que las servían y de los caballos : no pudieron reponerse Otros inmediatas mente á causa de: la ra…</t>
  </si>
  <si>
    <t>Hen</t>
  </si>
  <si>
    <t>n excluidos del gobierno, y Rafael Bustamante , y á los vélites D. Fran­ que quisieran tener en él influencia, no ce­ cisco Prina , D. Leonardo Vila, D. Hen- san de sembrar-cizaña ; y arrimándose á al­ sique Víctor, D. Josef Cabanellas, D. To­ guno de los partidos de la junta , se esfuer­ mas Monroi, D. César Lebrand y Don za…</t>
  </si>
  <si>
    <t>Hen, Juan Antonio</t>
  </si>
  <si>
    <t>Juan Antonio Hen</t>
  </si>
  <si>
    <t>Exército, y Superintendente substituto de la Rea/ Fábrica del Tabaco, por ídem, 300 rs. =r D. Fran­ cisco Domí nguez é hijo, mensuaimente, 100 rs. = D. Juan Antonio Hen riquez , Intendente de Marina , 528 rs. = Varici vecinos de la Parroquia de S. Julián , por una vez, 446 r3.= J&gt;. Antonio Olavarría, 40 rs. == D. Miguel Baeza…</t>
  </si>
  <si>
    <t>Henestrosa</t>
  </si>
  <si>
    <t>nuestra artillería. Hace el General Henestrosa un particular elogio de los xefes , oficiales, y tropa de todos los cuerpos, que á. porfía se disputaban el paso del Puente para atacar á los enemigos ^ y añade que á ia hora de salir el parte no se había aun incorporado Esc</t>
  </si>
  <si>
    <t>%6% del General Henestrosa , y-varios'oficiales, ca­ yendo algunos caballos y inaletas en poder de nuestra tropa : que en esta ha habido dos ó tres muertos, y diez ó doce heridos, además de un oficial entre los primer</t>
  </si>
  <si>
    <t>Henriod</t>
  </si>
  <si>
    <t>ntuario, en el guerra. que había levantado atrincheramientos, y puesto sus almacenes y depósitos de armas. Las tropas del tercer cuerpo de exérci­ El coronel Henriod , fiado en el valor to mandado por el general Súchel, des­ de sus tropas, dio las órdenes correspon­ pués de haber derrotado completamente en dientes para acomet…</t>
  </si>
  <si>
    <t>executaron coa tal presteza, otra vez. que al caer la tarde se hallaban ya las tro­ Todos los cuerpos franceses se distin­ pas en la primera cima. El coronel Henriod guieron á porfía en este ataque peligroso, hizo colocar en dicha cima un canon y un y señaladamente los coroneles Aigremont y ■obús, y batir desde allí el santua…</t>
  </si>
  <si>
    <t>Henrique</t>
  </si>
  <si>
    <t>1 de febrero de 1809</t>
  </si>
  <si>
    <t>Gaceta de Madrid n.º 32</t>
  </si>
  <si>
    <t>de nuestra corte Mr. el conde de Stackelberg. Durante la ausencia de SS. MM. el ministerio continuará despachando los negocios baxo la dirección del príncipe Henrique, á excepción de aque­ llos ¿uyo examen se ha reservado el Rei, los quales se remitirán á S. M. para que los despache por sív Como en las plazas de Sttetin, .Glo…</t>
  </si>
  <si>
    <t>de su vecino. Ageno en todo tiempo de una El Rei D. Henrique 11, sn hermano política dudosa y obscura, S. M. no quiso bastardo , compró á costa del estado el fa­ adoptar en este estado de cosas una imper­ vor de los señores para ocupar, bañándose fecta</t>
  </si>
  <si>
    <t>de advertir que aun en «declararon por bien probadas las éxcepesta época, después de las provisiones de «♦ dones opuestas al privilegio, y por libres D. Henrique 11 y m en el de 1401,00 te mi los pueblos y labradores de pagar cosa verificó su observancia hasta fines del si­ malguna por razón de voto, imponiendo so­ glo xv, en…</t>
  </si>
  <si>
    <t>26 de octubre de 1809</t>
  </si>
  <si>
    <t>Gaceta de Madrid n.º 300</t>
  </si>
  <si>
    <t>1513</t>
  </si>
  <si>
    <t>general pegaron fuego. Los tres navios de línea que y brigadier, y el segundo mayor del re­ había apostados en el Belt siguieron el mis­ gimiento del príncipe Henrique. mo rumbo que la esquadra; pero el &lt;üa 10 Las cartas de Berlin refieren que se han volvieron al Belt con mayor número de tomado ciertas disposiciones para faci…</t>
  </si>
  <si>
    <t>Gazeta del Gobierno n.º 38 · 2.ª serie (extraordinaria)</t>
  </si>
  <si>
    <t>56</t>
  </si>
  <si>
    <t>IA DEL GOBIERNO DEL SABAD3 28 DE OCTUBRE DE 1803. ESPAÑA. Sevilla 27 de octubre. 'Lacorta división que al mando deí eoronel del Regimiento de Ultonia D. Henrique .O-Donell, entró en Gerona el 2 ó de setiembre abriendo paso para el convoy, no era ya necesaria en aquella plaza, y aumentan ba inútilmente el consumo de subsistenc…</t>
  </si>
  <si>
    <t>Henriquez, Francisco Xavier</t>
  </si>
  <si>
    <t>Francisco Xavier Henriquez</t>
  </si>
  <si>
    <t>ntonio Diez Martínez, 1200 rs. zr: D. Gabriel Gonzá­ lez , 60 rs. = D. Francisco García , por una vez , 60 rs.trrD. Josef Espinosa , ídem , 300 rs. = D. Francisco Xavier Henriquez , por sí y por su escribiente D. Juan Muuoz Psbon, 328 rs. El P. Mro. Fr. Antonio de Castro , Provincial de Car­ melitas calzados , por una vez , 2…</t>
  </si>
  <si>
    <t>Henriquez, Tomas</t>
  </si>
  <si>
    <t>Tomas Henriquez</t>
  </si>
  <si>
    <t>guel San­ voluntad de servir' al estado baxo el pre­ tos de Ulloa y D. Francisco Martínez: se­ sente gobierrto y y sépase de una vez quien minaristas D. Tomas Henriquez, 'D. An­ es el amigo, quien eF enemigo, para esti­ drés de Gorvea, £&gt;. Luis Colinat D. An­ mar á aquel y protegerle, para que este tonio Ponce de León , D. Ju…</t>
  </si>
  <si>
    <t>Heredero, Nicolás-Antonio</t>
  </si>
  <si>
    <t>Nicolás-Antonio Heredero</t>
  </si>
  <si>
    <t>u empleo , Dr. D. Eugenio de Llano y Pfavia , cura de S. Pedro. e P&amp;rda santa iglesia * Dr. D. Antonio Gómez de la Lastra. ■'’ - . 'Por su empleo Dr. D. Nicolás-Antonio*Heredero, '' :;i¿ -srí‘ ‘ Pét la vicaría . .. D. Antóñio’de Riaza y D-JosefíCaravaño. . ! ' ' ■ i* ^ ¿Por dos &gt;bot*farios' D. Francisco Garrido. ‘ Por las com…</t>
  </si>
  <si>
    <t>Heredia, Joaquin</t>
  </si>
  <si>
    <t>Joaquin Heredia</t>
  </si>
  <si>
    <t>Juan Domec.- D. Fran­ cisco Gantolaria — D. Francisco de Paula Perpiñan, muger é hi­ jo. — Doña Bárbara Garay. — Conde Parsen, marques de Bárboles. — D. Joaquin Heredia. — D. Ildefonso Quartero.--Doña Ven­ tura Lisa. — D. Pedro Silves— José Fornies. -- D. José Latasa. — D. José Marracó. — D. Tomas Castillo Larroy. -- D. Vicen…</t>
  </si>
  <si>
    <t>Heredia, José</t>
  </si>
  <si>
    <t>José Heredia</t>
  </si>
  <si>
    <t>586</t>
  </si>
  <si>
    <t>guridad de su buena conciencia,, y la esperanza de hacer ver algún, día al público su inocencia y buena con lucra.— Este iia por fortuna ya llegó , y D José Heredia-* que lo tiene justificado en esta causa * reclama justamente ía sa­ tisfacción k que se ha hecho» acreedor, de que se vindique su ho­ nor , sé haga público y not…</t>
  </si>
  <si>
    <t>Heredia, José Francisco</t>
  </si>
  <si>
    <t>José Francisco Heredia</t>
  </si>
  <si>
    <t>Juan Ju­ rado, auditor que ftié cíela capitanía-general de Caracas-: para la plaza de oidor de Caracas, vacante por .muerte de D. Miguel .Aunóles, á.D. José Francisco Heredia, asesor de la intendencia ¿e Panzacola; parala plaza de oidor de México , . vacante por ascenso de D, Ciríaco González Carvajal á consejero del supremo …</t>
  </si>
  <si>
    <t>Heredia, Josef</t>
  </si>
  <si>
    <t>Josef Heredia</t>
  </si>
  <si>
    <t>tase.” acudieron al punto , pudieron disuadir á la canalla de semejante atentado; mas no suce­ Proclama del gobernador de Cádiz, pu­ dió lo mismo con D. Josef Heredia , emplea­ blicada el dia 2~ de febrero. do en rentas , el qual fue sacrificado sin pie­ Nos D. Félix Jones, mariscal de cam­ dad , y cosido á puñaladas al tiemp…</t>
  </si>
  <si>
    <t>Herencia, Nicolás López</t>
  </si>
  <si>
    <t>Nicolás López Herencia</t>
  </si>
  <si>
    <t>vido S. M. conferir seguientes; Las noticias que corren' acerca la contaduría de la real escuela veterinaria de los ataques del señor Cuesta y Alburá D. Nicolás López Herencia. querque después del de Medellin son t.m favorables (2), que ya los consideran todos AVISO. «n la corre, d¿ donde sé continua haber sa­ Respecto á que …</t>
  </si>
  <si>
    <t>Hería</t>
  </si>
  <si>
    <t>desgracia , se pusieron ya en li­ mal informados de los negocios del Austria, bertad en Carintia por un cuerpo d'e fiábay hablan con mocha encono de! príncipe Hería francesa que había sorprehendiJo sú CárloS.'Este archiduque es enire todos los escolta, quando después de ajustádo'el'ar­ príncipes de tu casa el que ha merecido …</t>
  </si>
  <si>
    <t>Hermo, Dámaso</t>
  </si>
  <si>
    <t>Dámaso Hermo</t>
  </si>
  <si>
    <t>á L&gt;. Genaro Faus­ do á su ignorancia es consiguiente la des­ tino dei Rincón , á De Lorenz &gt; d-J Iruegas, gracia común y la oprobiosa dependencia á D. Dámaso Hermo&amp;o, á D Francisco de los extraños en las cosas mas necesarias Iturmcndi, á D. Miguel O juendo , á L&gt;on á la vida, y debe por consiguiente diri­ Juan Manuel de Gavi…</t>
  </si>
  <si>
    <t>Hermosa, Fernando</t>
  </si>
  <si>
    <t>Fernando Hermosa</t>
  </si>
  <si>
    <t>. C. 10.000 D. Domingo Ignacio Lardizabal. 50.000 D. Mateo Palacios. C. — 50.000 D. Antonio Ugaldéa. C. 2.000 D. Gregorio Saenz de Sicilia. C. 15.000 D. Fernando Hermosa. C. 12.000 D. Josef Marrugat y Boldú. C. 6.00a El P. Fr. Jayme Codina., por el convento de Santo Do­ mingo. 24.00a R1 Sr. marques del Apartado. 80.000 Dst iU…</t>
  </si>
  <si>
    <t>Hernández, Juan</t>
  </si>
  <si>
    <t>Juan Hernández</t>
  </si>
  <si>
    <t>a , 200, = D. Manuel Garda Muro, íaoo. = D. Miguel Rebato , 25. zz D. Gregorio Castriciones, vecino de S. Salvador , 4®. = D. Víctor Zavala , 200. zz D. Juan Hernández, 100. — D. Juan Antonio Gómez, Contador de .Ejército, 200. = D. Juan Josef Echevarría , 100. = D. Juan Antonio Ara ojo, 200. = D* Nicolás de Rivera, Adalid nis…</t>
  </si>
  <si>
    <t>Hernández, Manuel</t>
  </si>
  <si>
    <t>Manuel Hernández</t>
  </si>
  <si>
    <t>agosto acerca de la ce­ didor á D. Jo'ef Gómez; por ayudante de sación de todos los empleados. fundidor á D. Euaenio Luzon ; por ayu­ dante agregados D. Manuel Hernández; y Jamas es el hombre mas tenaz y fiero por acuñadores á D. Antonio Oreiro y que quando no puede presentar razones de D. M tnucl V-dlcjo. sus hechos , y solo…</t>
  </si>
  <si>
    <t>Hernández, Pedro</t>
  </si>
  <si>
    <t>Pedro Hernández</t>
  </si>
  <si>
    <t>nifestar una firmeza de ánimo digna de la santa causa que defendemos. Tampoco debo dexar de hacer mención particu­ lar de los comandantes de columnas D. Pedro Hernández ide Texada , y D. Maniul Carbón , que el mismo Areizaga</t>
  </si>
  <si>
    <t>Hernández, Tiburcio</t>
  </si>
  <si>
    <t>Tiburcio Hernández</t>
  </si>
  <si>
    <t>quen en los pape­ el convenio. Este retardo inconcebible no les periódicos los experimentos que el se­ es el solo que podemos citar; pues también ño- D. Tiburcio Hernández emprendió el el cuerpo de sir David Baird, que débia año pasado con acuerdo del doctor en me­ cooperar con el de sir Juan Moore, llegó á dicina D. Antonio …</t>
  </si>
  <si>
    <t>Herrasti, Andrés Pcrez</t>
  </si>
  <si>
    <t>Andrés Pcrez Herrasti</t>
  </si>
  <si>
    <t>437 D. Andrés Pcrez Herrasti, D. Joaquín de Zayas , teniente del regimiento de Málaga : al ayudante general D. f rancisco Hernández . capitán del regimiento de caballería de la Reyna: al sargento mayor del quarteí ge­</t>
  </si>
  <si>
    <t>Herrera</t>
  </si>
  <si>
    <t>Antonio Zea. = Josef Ramón Mila de Dada en Bayona á 6 de julio de 1808.= la Roca. = Tgnacio de Tejada. = Nicolás de Firmado = Josef. = Por S. M. , el ministro Herrera. = Tomas la Peña. = Ramón María secretario de Estado = Mariano Luis de de Adurriaga. = D. Manuel de Pela yo. = Urquijo. Manuel María de Upategui. = Fermín Igna­…</t>
  </si>
  <si>
    <t>Herrera, Josef</t>
  </si>
  <si>
    <t>Josef Herrera</t>
  </si>
  <si>
    <t>Luis Colinat D. An­ mar á aquel y protegerle, para que este tonio Ponce de León , D. Juan Josef Ca­ otro busque donde quiera su susrento, y el para, D. Josef Herrera, guardia marina amparo de su vida: y de sus propiedades. de ja real armada, D. Manuel Graiwinckel Reconozca el elegido' la beneficencia del que y D. Josef Craiwi…</t>
  </si>
  <si>
    <t>Herrera, Manuel Díaz</t>
  </si>
  <si>
    <t>Manuel Díaz Herrera</t>
  </si>
  <si>
    <t>rcía Santa' María , D. Luisv Na vane te , D. Manuel de Luengas : á Al-* féreces de navio los de fragata D. Josef de Tiscar, D. Sal­ vador Spadafora , D. Manuel Díaz Herrera , D. Juan Du­ ran : á Alférez de fragata fl guardia marina D. Ignacio «egra.</t>
  </si>
  <si>
    <t>Herrera, Pedro</t>
  </si>
  <si>
    <t>Pedro Herrera</t>
  </si>
  <si>
    <t>a mil trescientos quarenta y dos reales y tres quartilíos. E N PRENDAS» D. Manuel de Arias , un par de medias.r=D. Josef Carmona, un par de medias. =:D. Pedro Herrera , un par de medias.es D. Félix Díaz , una camisa.—Doña Rosa de Castro, unos zapatos.-=L“. Leandro Riso , dos pares de botines.es:Doña Anto­ nia üomtogüez , un p…</t>
  </si>
  <si>
    <t>Herreras, Juan Gutiérrez</t>
  </si>
  <si>
    <t>Juan Gutiérrez Herreras</t>
  </si>
  <si>
    <t>egidor de la ciudad de minios de la América meridional, dexando Toledo; y la de la villa de Villalpando á instruidos en el método de usarla y conser­ D. Juan Gutiérrez Herreras. varla á los facultativos. En solo el vireinato de Santa Fe fue aplicado este remedio á Por real decreto del 3 J de mayo se ha mas de 50© personas, si…</t>
  </si>
  <si>
    <t>Herrero, José</t>
  </si>
  <si>
    <t>José Herrero</t>
  </si>
  <si>
    <t>do con sus órdenes, y principalmente, ios que mandaban guerrillas, que eran el capi tan 1.® de.Barcelona;!). José Lorenzo, el teniente de la Coro­ na D. José Herrero , el del general D. Juan Granelia . el teniente graduado de capitán del de Orense D. José Novoa, y ei subteniente de Betanzos D. Juan Martínez ; diciendo haber­ …</t>
  </si>
  <si>
    <t>Herrero, Manuel</t>
  </si>
  <si>
    <t>Manuel Herrero</t>
  </si>
  <si>
    <t>dez , teniente coronel del real cuerpo de Ingenieros , y á D. José Boado , capitán del mismo :.á D. Félix Prat, comandante del 1.° de Barcelo­ na : á D. Manuel Herrero , í). Pedro Perez y D. Benito Salgado, coronel y tenientes del regimiento de la Corona; i D. Pedro Linares y D. José Carrion, coronel y teniente coronel del re…</t>
  </si>
  <si>
    <t>Hertal</t>
  </si>
  <si>
    <t>io de Estado Mariano Luis de Urquijo.” Augsburgo n de octubre. Ayer han entrado en esta ciudad ál Continuación del discurso sobre la instrucmando del capitán Hertal nuestros volun­ ■cion ptiblica. ? tarios» que hasta aquí habían estado eo Como la mayor parte de los hombree Kempten y en otras comarcas del Aligan.. juzga de las…</t>
  </si>
  <si>
    <t>Hervías, Diego</t>
  </si>
  <si>
    <t>Diego Hervías</t>
  </si>
  <si>
    <t>e este dex?., á D. Miguel Gómez Aivarez. Igualmente se ha servido S. M. nombrar para el Deanato de ia Catedral de Guadix vacante por fallecimiento de D. Diego Hervías, á D. Vi­ cente Ramos Gurcia. También se ha servido nombrar para la vara de Alcalde ma­ yor primero de la Ciudad de Granada , vacante por falleci­ miento de D. …</t>
  </si>
  <si>
    <t>Hervo</t>
  </si>
  <si>
    <t>as pri­ dida por una miserable cerca, por un mal meras campañas. En el combate de Peissing foso , y una contraescarpa todavía peor. ha sido muerto el general Hervo , gefe del Luego que llegó nuestra artillería, y se estado mayor del duque de Auerstaedt, el colocaron en batería varias piezas de á 12, qual ha sentido mucho la p…</t>
  </si>
  <si>
    <t>Hi, Gregorio</t>
  </si>
  <si>
    <t>Gregorio Hi</t>
  </si>
  <si>
    <t>mente á Bonaparte el derecho de esta­ capitán de caballería, gefe de esquadron; blecer allí una escala, por decirlo asi , ne­ á D. Angel Boulancourt, D. Gregorio Hi­ cesaria para su empresa , y le han propor­ dalgo , D. Josef B.irrachino y D. Manuel cionado ademas los medios de asegurar y Vellido , Subtenientes del regimiento…</t>
  </si>
  <si>
    <t>Hidalgo, Antonio</t>
  </si>
  <si>
    <t>Antonio Hidalgo</t>
  </si>
  <si>
    <t>Santos , 70 rls. para un poncho. D. Bartolomé Tomar?» , 48 reales .para unos pantalones. I). Francisco Xavier D z , 20 rls. para dos pares de medias. D. Antonio Hidalgo ^ 26 rls. para dos pares de botines. Doña María Manuela M rcado , 48 rls. para unos pantalones* JD. Manuel Mariscal., 10 rls. vn. para jm par demedias* D. Jua…</t>
  </si>
  <si>
    <t>Hiií</t>
  </si>
  <si>
    <t>ado por una altura elevada , so­ bre la qual se colocó en escalones con segunda línea competente una división de infantería inglesa á las órdenes del general Hiií. Habia en­ tre esta altura y una cordillera de montañas mas distantes una caña­ da, que el general en xefe ingles Wellesley no mandó ocupar al prin­ cipio en consid…</t>
  </si>
  <si>
    <t>Hiiler</t>
  </si>
  <si>
    <t>417</t>
  </si>
  <si>
    <t>último tín ; al dia siguiente se destacó de esta es- un combate tan glorioso d los cuerpos de quadra un navio de línea, que dio la vela excrcito del general Hiiler y del archidu­ para el Sur, y una fragata que se dirigió que Luis, ha sido de algunos meses á esta hacia el Norte. parte fortificada de tal modo, que puede Se lee …</t>
  </si>
  <si>
    <t>Hilaire, Saint</t>
  </si>
  <si>
    <t>Saint Hilaire</t>
  </si>
  <si>
    <t>de los campos un Te Deum. El día que saliéróa dé aquí las tropas francesas S. A. S. el príncipe Fernando dió un gran banquete , al que asistieron el general Saint- Hilaire y los oficiales superiores 'de su éstado mayor.’ Durante la comida S. A. R. maní» íestó á los franceses la mayor satisfácCión y la amistad mas franca. S. Á…</t>
  </si>
  <si>
    <t>Hilario</t>
  </si>
  <si>
    <t>spector de sanidad de ia guardia Francbi (D. Antonio) , cabo del núm. i.°, reai. brigada irlandesa. Cifuentes ( D. Pedro) , tesorero general. Félix ( D. Hilario), teniente del mismo re­ Cladera ( D. Cristóbal), gefe de división éa gimiento. el ministerio de lo Interior. Fernandez Moratin (D. Leandro), secre­ Clari (D. Mario),…</t>
  </si>
  <si>
    <t>n del rey. — Franco' (D. José) mayor del regimiento de infantería delinea núm.i.— Franchi (D. Antonio) cabo del núm. 1 , brigada irlandesa. — Félix: (D. Hilario) teniente del mismo regimiento. — Fernán­ dez Moratin (D. Leandro) secretario de la interpretación dé' lenguas. — Ferrandiz (D. Vicente) teniente coronel de artille­ …</t>
  </si>
  <si>
    <t>Hill</t>
  </si>
  <si>
    <t>s que amaneciese. La brigada dél mayor general Beresford, que formaba nuestra retaguar­ dia, ocupaba el frente de tierra de la ciudad, y la del mayor general Hill se colocó de reserva en el promontorio que hai á espaldas de la misma ciudad. (Se continuará.) IMPERIO FRANCES. París 2$ de enero. TRIGESIMO DIARIO DEL EXERCITO DE …</t>
  </si>
  <si>
    <t>ada de , guardias al .del Mayor general Wirde.\ No hay elogia, que basté, para los oficiales y para las tropas que han estado á sus ordenes. El mayor general Hill y el coronel, Crauford cocí tus brigadas sostuvieron por la izquierda de nuestra posición sus puestos avanzados. Lo mas recio de la acción recayó Sobré los regimien…</t>
  </si>
  <si>
    <t>a. El ataque general empezó por la marcha de diferentes colanas de infantería enemiga en el valle, con el obgeto de atacar la altura ocu­ pada por el general Hill. Estas colunas fueron cargadas per dos cuer­ pos de dragones ingleses al mando del general Anson , dirigidos por el teniente genefaiiPayne, y sostenidos per la brig…</t>
  </si>
  <si>
    <t>Hillcr</t>
  </si>
  <si>
    <t>Gaceta de Madrid n.º 263</t>
  </si>
  <si>
    <t>partido para la aquella ísleta de lá Holanda. Pero á lo me­ Hungría, y le ha reemplazado el teniente nos, por ésta vez, no nos acosarán nues­ de feld-mariscal Hillcr, que está en Praga. tros aliados de no haber’trabajado sino pa'.ti GRAN BRETAÑA. nuestro propio ínteres: tolo quanto henos hecho no les trae á la verdad utilidad…</t>
  </si>
  <si>
    <t>Hiller</t>
  </si>
  <si>
    <t>ase­ guraba ademas que debian llegar otras muchas tropas coa dirección á Italia. El Archiduque ¡Luis ha establecido su quartél general en Weis, y el General Hiller en Vogiabruek; el Princi­ pe de fHohenzóÍlern permanece todavía en Lintz , pero sti cuerpo 'de exército se deberá establecer, por lo que apa­ rece, en -Scharding. …</t>
  </si>
  <si>
    <t>ing , en el lu­ gar mismo adonde , según las noticias anteriores , había lle­ gado un gran numero de pontones. Se nos avisa tambre» que el cuerpo del General Hiller se concentra en Saltzbur­ go, y que por aquella parte se espera una invasión muy próxima. Ya se dexa entender que esta operación será com­ binada con la que se pr…</t>
  </si>
  <si>
    <t>, y los han trasladado á Pest en la gran Napoleón. La experiencia pues de lo Hungría. pasado no sirve de nada para aquellos á El archiduque Luis y el general Hiller, quienes la Providencia quiere castigar ó batidos ya en Ebensberg , han perdido hoi destruir para establecer el mejor orden de 6 de mayo 83 hombres, que ha hecho …</t>
  </si>
  <si>
    <t>partar las llamas y abrir camino. El gene­ cha el día 2 , y el 3 llegó á Lintz. El ar­ ral de división Legrand, con el a6.° de in­ chiduque Luis y el general Hiller, con las fantería ligera y el i8.°de línea, se dirigió al reliquias de sus cuerpos reforzados con una castillo en qne el enemigo había puesto 800 reserva de grana…</t>
  </si>
  <si>
    <t>Gaceta de Madrid n.º 146</t>
  </si>
  <si>
    <t>e que está cientes. f peaetrado S. M. el Emperador , se ha dado El cuerpo de exército del teniente de orden para sacar de Viena aquellos objetos feld-mariscal Hiller es basrante considera­ que pudieran empeñar mas particularmen­ ble para oponerse á los esfuerzos del ene­ te al enemigo en intentar alguna empresa migo. Su resis…</t>
  </si>
  <si>
    <t>y situación de las fuerzas austríacas. Exército . de Alemania , i8o9 hombres , mandados por el Archiduque Carlos. Exército del Danubio, 4p9,. por el General Hiller. De Polonia, i2p9, por el Archiduque Fer­ nando. De Italia; 949, por el Archiduque Juan. De Dalmacia, 309, por eLGeneral Vakcovieh. Del Tiro!, 309 , por el General…</t>
  </si>
  <si>
    <t>wehr , terminado la derrota El mariscal duque de Dantzick Se di­ de los cuerpos del archiduque Luis y del rigió hacía InsprUck , y el dia 14 encontró general Hiller» y acabado de perder la re­ en Vorgel al general Chasteller con süs ti­ putación del general enemigo. Viendo este roleses , y lo arrolló, cogic'ndole 700 pri­ Ja …</t>
  </si>
  <si>
    <t>Gazeta del Gobierno n.º 37</t>
  </si>
  <si>
    <t>emigos nos han querido hacer creer. El Archiduque Carlos les ha obli­ gado á retroceder io leguas en los dias 28 y a9 del mes ..próximo pasado ; y el General Hiller , que manda los cuer­ pos y. 0 y 6. 0 del exército, ha conseguido ^igualmente ventajas muy considerables. En Polonia ocupan los austríacos á Varsovia , y en Itali…</t>
  </si>
  <si>
    <t>El mismo-dia el y. 0 cuerpo, del exército fue atacado* vivamente sobre el Laber, cerea de Siegenbourg. El Archidu­ que Luis se retiró con el Teniente general Hiller hacia el' 5ser para cubrir á. Landsbut, Se han reunido los, dos cuerpos,. El 21 el Mariscal Davoust atacó el 4,. 0 cuerpo adé exército en; las: inmediaciones de E…</t>
  </si>
  <si>
    <t>ado, del Inri y del Isser , no conservó aquel ejercito comunicación inme­ diata c©n los cuerpos j* ° y 6, 0 mandados por el Archínduque Luis y por el General Hiller ; cosa tanto mas sen^ sible quanto al mismo tiempo que se verificaba el paso* del Danubio , el General Hiller , cuyo cuerpo formaba el ala izquierda del exército …</t>
  </si>
  <si>
    <t>General sacar de estos batallones de vo­ luntarios que se han presentado ansiosos de que se les em­ plee activamente en. campaña. 99 Las fuerzas del General Hiller están apoyadas en el Lacado de Salzburgo , en el Voralberg y el Tirol. Este último país no solo está ya casi enteramente libre de-tro­ pas bávaras y francesas , si…</t>
  </si>
  <si>
    <t>con anticipación sus personas y bienes, en vista de los movimientos de los exércitos, y de los anuncios que á este fin les habia dado el Gobierno. El General Hiller ha efectuado su retirada por la orilla derecha del Danubio; pero, con el mejor órden, aunque perseguido por el principal «x-ército francés. Se ha reforzado no sol…</t>
  </si>
  <si>
    <t>jeras y seductoras con que el Tirano procura adormecer ai pueblo de Viena. „ Según las últimas noticias que el Gobierno ha recibido, el exercito del General Hiller , cuyo número excede con mucho al de 5*08 hombres , se hallaba el 6 de este mes apostado en las cercanías de . Iczels.dorf, en Jas fronteras de la Moravia , y en d…</t>
  </si>
  <si>
    <t>ántes de la ba­ talla del 22 , al exército del Archiduque Fernando , la insurrec­ ción de los tres primeros Palatinados de Hungría, y el exército del General Hiller, tenia refuerzos mas considerables que los de Bona­ parte. Ahora se conoce bien lo formidables que son los armamentos del Austria, y las incoherencias de los bole…</t>
  </si>
  <si>
    <t>nemigo mui superior en número, le la culpa de los desastres de esta jornada resistió largo tiempo, y no se retiró á su decisiva. El teniente de feld- mariscal Hiller antigua posición detras del Oere, sino qnan- ha hecho dimisión de su empleo, y el conde do sevió precisado á ello. Nuestra pérdida, de Bellegarde se dice que la …</t>
  </si>
  <si>
    <t>ia oriental para negociaciones de paz. ir á Moldavia. El exército austríaco ha tomado pocos dias há las posiciones siguientes: el cuerpo AUSTRIA. del general Hiller ha baxado el Danubio hasta Pest; este cuerpo forma actualmente Vierttt 4 de setiembre. el aU izquierda del exército: el del prínci­ El 29 del mes anterior se publ…</t>
  </si>
  <si>
    <t>Hír, Justo</t>
  </si>
  <si>
    <t>Justo Hír</t>
  </si>
  <si>
    <t>Soleré Los Tenientes D, Manuel Juárez , D. Justo Hír pan­ dee » D. Ramón,-Velasco , D* Juan. Pacheco, y D. Juan Mar, teo Plaza , que la e^.de. la compaña* suelta:.de Darcrca* y. el Subteniente D&gt; Antonio Garniel;: entre la* sol Jacios se. distinguieron, [</t>
  </si>
  <si>
    <t>Hiriat</t>
  </si>
  <si>
    <t>17 de enero de 1809</t>
  </si>
  <si>
    <t>Gaceta de Madrid n.º 17</t>
  </si>
  <si>
    <t>ador de Austria, y Mr. el marques de Torlonio, romano. IMPERIO FRANCES. Burdeos jj de diciembre. Ha arribado a Pasage la goleta la Amable Marieta, su capitán Hiriat, que viene de la Guadalupe. El bergantín la Hiena de Burdeos, su capitán Roriol, que viene de Fort-Royal (la Martinica), y que arribó á Pasage, ha entrado en Bayo…</t>
  </si>
  <si>
    <t>HISTORICA, MISCELANEA</t>
  </si>
  <si>
    <t>MISCELANEA HISTORICA</t>
  </si>
  <si>
    <t>ría. ESPAÑA. Por ana &lt;5rden del día del archiduque Cirios ;‘del 25 de junio, se ha hecho saber Madrid sé de julio. al exército el descontento de este príncipe MISCELANEA HISTORICA.’ par lacondacta de la insurrección húngara en varías ocasiones, y señaladamente en la En el monitor del xz de este mes se ha batalla de Raab. Toda…</t>
  </si>
  <si>
    <t>Hofer</t>
  </si>
  <si>
    <t>jarlos, quedando convencido de que era imposible reducir i aquellos miserables de otro modo que por hambre. —Antes dé la ba­ talla dei 13 , qüando el comandante Hofer supo la órden de Le­ febre para presentarse en Inspruck, respondió: que vendría, pero acompañado de 10c) tiradores. Con esta ocasión , el gobierno francés publi…</t>
  </si>
  <si>
    <t>Hoffer</t>
  </si>
  <si>
    <t>Gazeta del Gobierno n.º 31 · 2.ª serie</t>
  </si>
  <si>
    <t>291</t>
  </si>
  <si>
    <t>291 las montañas de Brenner es el capitán Hoffer, de Pageyer. “Los insurgentes (dice un capitulo de Ulma con fecha 19 de' agosto), mantienen una posición cerca del desfiladero de Lueg, no lejos de Steinack , y la defienden mas con troncos</t>
  </si>
  <si>
    <t>Hoghton</t>
  </si>
  <si>
    <t>es del exército que tengo la honra de maadar, dirijo á V. E. los partes de ios oficiales generales, comandantes de las divisiones, y el del Bjigadier general Hoghton, cuya brigada se halló en la acción del 1, 0 así como también los estados de nuestra pérdida en las acciones del 1 y del 2, con las quaies es­ pero se hayan term…</t>
  </si>
  <si>
    <t>Hoi, Barclai de Tolli</t>
  </si>
  <si>
    <t>Barclai de Tolli Hoi</t>
  </si>
  <si>
    <t>599</t>
  </si>
  <si>
    <t>rnea. Pero el eerreo portador de nuamente fixa sobre las manos de los que estos pliegos encontró en el .camino á otro le hablan. ruso que; llevaba al general Barclai de Tolli Hoi debe publicarse la declaración de la una orden.del geoeral Koorring, para que. guerra. se suspendiesen las hostilidades en el norte El'archiduque Fe…</t>
  </si>
  <si>
    <t>HOLANDA</t>
  </si>
  <si>
    <t>lo puesto, ni una batería siquiera , y tiene mas ¡nduxo en el pueblo. lio atreverse á hacer la menor tentativa con­ tra ninguu fuerte? La opinión mas general HOLANDA. r es que la llegada de numerosos batallones de voluntarios, y la certidumbre de ser Amsterdan s de setiembre. atacados por un exército, que era ya f &gt;rLa divisi…</t>
  </si>
  <si>
    <t>Holstein, En</t>
  </si>
  <si>
    <t>En Holstein</t>
  </si>
  <si>
    <t>ta lo que sigue: para el Báltico, sin detenerse nada cerca de Una comisión, compuesta de cinco miem­ JLandscrona. bros, estará encargada del gobierno general En Holstein va á reunirse un cuerpo del pais de Saltzburgo. Los individuos de considerable de tropas á las ordenes del esta comisión serán: i.° S. A. el príncipe mayor g…</t>
  </si>
  <si>
    <t>Holzlunger, Sebastian</t>
  </si>
  <si>
    <t>Sebastian Holzlunger</t>
  </si>
  <si>
    <t>mas ventajas en España , se retirarán sus tropas para la guerra del Austria* En el sobredicho parte se contiene le acción del Subte­ niente de Suizos D. Sebastian Holzlunger. Había salido este á la descubierta con una partida de voluntarios de la re­ serva del General , y tiradores de Murcia. Desalojó, á los enemigos de la av…</t>
  </si>
  <si>
    <t>Hombourg</t>
  </si>
  <si>
    <t>333</t>
  </si>
  <si>
    <t>ad al trono. - de orientalistas , que se ha propuesto pu­ Acaba de fallecer á la edad de 70 años blicar un periódico sobre las lenguas y li­ el mayor general Hombourg. teratura de Oriente. El conde Venceslao Todas las cartas que se reciben del Aus­ Rezewuski se ha encargado de los gastos tria.superior y. de la Hungría hablan …</t>
  </si>
  <si>
    <t>Hope</t>
  </si>
  <si>
    <t>Ndm. &lt;2 # 280 * *r .9 DEL MARTES 21 DE FEBRERO DE 1809. GRAN BRETAÑA, Londres 24 de enero. Anoche llego á esta capital el capitán Hope con pliegos del teniente ge­ neral sir David Baird para el lord Castlereagh , uno de los principales se­ cretarios de Estado de S. M. El contenido de dichos pliegos es como sigue: En el mar d …</t>
  </si>
  <si>
    <t>Hópe</t>
  </si>
  <si>
    <t>de los esfuerzos que se hacen para ©cunarla. Los oficiales de la ^retaría de Mr. Canning no se han acordado de bor­ rar esta frase de la relación del general Hópe. ¡Que descuido! Lot cuyos embar'¿¡¿dos se hallaban nehsdrtann^tr ^ciclados mos otroren lof transportes * porque el embarco se había hecho con desórdeií * confusiqn;…</t>
  </si>
  <si>
    <t>ia circunstanciada de los detalles del com­ bate , que fue largo y obstinado , y me pone en la preci­ sión de referirme al adjunto parte deh Teniente general Hope, en quien recayó el mando del exército, y que supo dirigir con tanto acierto y pericia el ardiente zelo é inven­ cible valor de las tropas de S. M., que á sus sabia…</t>
  </si>
  <si>
    <t>445</t>
  </si>
  <si>
    <t>ba á Francia. sentirse en un pais tan poblado de bosques en Las gazetas de Londres contienen una otros tiempos. Este carbón es de excelente carta del general Hope , donde se lee el por­ calidad , ligero , seco y suave ; se quebranta menor circunstanciado de los últimos ins­ y enciende con facilidad ,yda un calor su­ tantes de…</t>
  </si>
  <si>
    <t>land y el Beveland septentrio­ nal en cuya empresa se empleará la brigada de guardias. En la esquadrilla de la vanguardia se embarcará la brigada del general Hope, destinada para Domburgh ó el Veer-Gat x según parezca conveniente en vista de las circunstancias. En caso que el ene­ migo envie á Zoutland algunas fuerzas conside…</t>
  </si>
  <si>
    <t>Hope, Sir Juan</t>
  </si>
  <si>
    <t>Sir Juan Hope</t>
  </si>
  <si>
    <t>n, la división del marques de Huntley, y las brigadas ligeras de artillería pasasen á Zui-Beeveland1 para reunirse á la reserva.al mando del teniente general Sir Juan Hope ; y que los transportes .de caballería.y artillería juntamen­ te con los. de la división del general Grosvenor, luego que sus servicios no fuesen, necesari…</t>
  </si>
  <si>
    <t>Hora</t>
  </si>
  <si>
    <t>544</t>
  </si>
  <si>
    <t>,. Nuestro Sr. guarde la vida de V. E. mu­ chos años. Ubeda 10 de mayo de iSoq.znB. L. M. de V. E. si1 atento servidora Xavier Abadtaazz. Excmo. .Sr. D. Hora­ cio Sebastian!,” EN LA IMPRENTA REAL DE LA GAZfíTA*</t>
  </si>
  <si>
    <t>Hovvarth</t>
  </si>
  <si>
    <t>eneral Cottcn, y de un batallón de infantería destacado de la altura por el general Wellesley , luego que observó que se adelantaban los guardias. El general Hovvarth, qUe mandó la artillería inglesa, se coaduxo coala mayor bizarría, é' hizo los mas importantes servicios. Al teniente general ÍJTlFrancisco de Eguia r mi segund…</t>
  </si>
  <si>
    <t>Howaiski</t>
  </si>
  <si>
    <t>s. Habiendo pasado fuerte se rindió á la vista de los primeros el Danubio el teniente general Müorado- preparativos del bombardeo. ” wistch, el mayor general Howaiski tuvo el 15 de setiembre una acción con la van­ SUECIA. guardia del Seraskier Geogrew, la qual fue Estockolmo 2/ de octubre. rechazada hasta detras del baluarte …</t>
  </si>
  <si>
    <t>Hsnriod</t>
  </si>
  <si>
    <t>co­ gallinas semejantes. Los franceses hicieron mo estaba, ya defendido este ponto por pedazos mochas armas que cogieron , inuti­ buenos soldados. Ei coronel Hsnriod se lizáronlas moniciones que alli había, y pe­ xoaientó con dexar en él dos compañías de garon' fuego al santuario y á ana buena volteadores, que bastaron para r…</t>
  </si>
  <si>
    <t>Htll</t>
  </si>
  <si>
    <t>se ser forjada , y como por otra parte parecían ser buenas las disposiciones de los españoles, se dio orden para que la brigada mandada por el mayor general Htll comenzase á embarcarsé, y á las 3 de la tarde estaba ya toda ella á bordó. El mayor general Beresford, cuyo celo y habilidad son bien co­ nocidas de vos y de todo el…</t>
  </si>
  <si>
    <t>Huemes, Josef Antonio</t>
  </si>
  <si>
    <t>Josef Antonio Huemes</t>
  </si>
  <si>
    <t>Lie. D. Francisco Aparkiogr Lie;i). íraacisco Saldias, r ^ 7 4 Porsu,empU} '...i'. ‘l:' '' D. Josef Antonio Huemes. ^ &gt; , f&gt; .. ; , . J Por rentas reales D. Lucas Blazquez y D. León de Ja Riva. . P°r stt empleo D. Valentín González, administrador de rentas reales. f Por las maestros ¿c obras Bernardino</t>
  </si>
  <si>
    <t>Huertes, José</t>
  </si>
  <si>
    <t>José Huertes</t>
  </si>
  <si>
    <t>luntarios de la Corona , heridos los tenientes D. Pedro Perez y B. Benito Salgado , y el subteniente D. Mariano Felez 3 General, contusos el teniente D. José Huertes y el cadete D. Luis Vázquez , y muerto el cadete D. Ramón Luares3 Aragón , herido D. Vicente Jandenes 3 Betanzos , contuso el" ayudante D. Francisco Armero. Segu…</t>
  </si>
  <si>
    <t>Huguet</t>
  </si>
  <si>
    <t>abia tomado, por ser provisto. En Redondela había una corbeta un buque mucho más fuerte que el Palinuro. rusa, de 30 cañones y roo hombres de tri­ El alférez Huguet, su segundo, couduxo á la Martinica los 2 buques; y en el pulación perteneciente á la escuadra del parre que ha remitido recomienda ia me­ almirante Siniavin. Tre…</t>
  </si>
  <si>
    <t>Huici, Bruno</t>
  </si>
  <si>
    <t>Bruno Huici</t>
  </si>
  <si>
    <t>. Felipe Porte. — D. Felipe Arias. — D. Juan Casaus. — D. José Ponte.— D. Mariano Olaso.—D. Juan Mallada. — D. Mi­ guel Porte. — D. Jacinto Garisa. — D. Bruno Huici. — D. Manuel Larruga.— D. Ventura Ateza. — D. José Soler.— D. Miguel Echinique. — D. Antonio Lajíeña. — D. Baltasar Barragan. — D. Joa­ quín Palacios.— D. Baltasa…</t>
  </si>
  <si>
    <t>Hungría</t>
  </si>
  <si>
    <t>án en abundancia; pero la carne, Después de la derrota del cuerpo del que esta capital traia de lo interior de la general Jeiiachich, el Sr. Matieu , capitán Hungría, comienza á escasear. Los enemi­ agregado al estado mayor del exército de gos,-contra todas las razones política$, y Italia, fue despachado con un dragón de los …</t>
  </si>
  <si>
    <t>HUNGRIA</t>
  </si>
  <si>
    <t>a sido posible S. M. el Reí ha convocado á los esta­ lograr su intento. dos del reino para una junta solemne, y Ies ha comunicado la contestación del príncipe HUNGRIA. de Augusremburgo á la carta en que S. M. le avisaba su elección á la dignidad de prín­ Buda 10 de setiembre. cipe real de Suecia. Ya se hizo saber al pú­ blico…</t>
  </si>
  <si>
    <t>Huntmann</t>
  </si>
  <si>
    <t>apostado, recibid con tal ardor al enemigo9 que •e vid obligado á retirarse precipitadamente. »E1 batallón de las milicias de Eohemia , al mando del conde Huntmann , ha apresado en las cercanías de Obermied dos grandes barcos cargados de arroz y aguaradiente destinados para el exercito enemigo.0 Del quartel general imperial d…</t>
  </si>
  <si>
    <t>I, BeiliarcE</t>
  </si>
  <si>
    <t>BeiliarcE I</t>
  </si>
  <si>
    <t>e destinaba baxo las órdenes de V, M. como tuve el honor de prevenírselo en mi carta de la misma f?cha y hora. Copio adjunta la órden que se envió al General BeiliarcE' 9I 22 á mediodía para que la dirigiese por un oficial á V, M. ^ y no puedo concebir que es lo que podrá alegar el Duque en su defensa para no haber obedecido …</t>
  </si>
  <si>
    <t>I, Gabri</t>
  </si>
  <si>
    <t>Gabri I</t>
  </si>
  <si>
    <t>onde), superintendente general de Heredia ( D. Juan) , sargento 2.a de caba- ía ca'a real. lleiía. Me.011 ( D. Juan Antonio), gefe de diviHernández ( D. Gabri I), teniente del re­ sion en el ministerio de Hacienda. gimiento de infantería mini. 2.° Mti-a ( D. Tomas), granadero del regi­ Il.rva» ( D. Manuei), administrador gene…</t>
  </si>
  <si>
    <t>I-Jiller</t>
  </si>
  <si>
    <t>rchiduque Carlos, con inclusión de los refuerzos de Hungría &gt; 909 ? á las del archiduque Juan con inclu­ sión también de los refuerzos 609; á las del general I-Jiller en Krems 159 ; á las del general Kollowratli en frente de Lintz 159; en el Tirol entre 'austríacos é insurgentes 289 : ú las órdenes del archiduque Fernando 309…</t>
  </si>
  <si>
    <t>Ibarrela, Josef Antonio</t>
  </si>
  <si>
    <t>Josef Antonio Ibarrela</t>
  </si>
  <si>
    <t>y D. Andrés Benito Quintana xefes de di­ visión; á D. Juan Joséfde Aspiróz, D. Cristóbal Fernandez'Cuesta, D. Serapio Saviñac , D. Juan Santa-María , D. Josef Antonio Ibarrela., D. Vicente Perez de Hervás, D. Manuel Celestino Carirasco., D. Juan Burand y D. Juan Teran oficiales primeros ; á ©. Mateo Bravo y Lomas, D. Antonio …</t>
  </si>
  <si>
    <t>Ibarrola, Josef Antonio</t>
  </si>
  <si>
    <t>Josef Antonio Ibarrola</t>
  </si>
  <si>
    <t>l . Fernandez Cuesca, todo lo concerniente á la organización ’y X). Serapio Saviñac, D. Juan Santa María, gobierno de los regimientos que se van for­ D. Josef Antonio Ibarrola , D. Vicente Pe­ mando de infantería y-caballería, su ves­ rez de Hervás, D. Manuel Celestino'Car­ tuario , armamento y montnra. rasco , D. Juan Durand…</t>
  </si>
  <si>
    <t>Ibarrola, Tpoiás</t>
  </si>
  <si>
    <t>Tpoiás Ibarrola</t>
  </si>
  <si>
    <t>a R1 Sr. marques del Apartado. 80.000 Dst iUtstre arehicofradía del Santisimo Sacramenta de la. Ca­ tedral. 10.000 D. Manuel Antonio Basail. C. 4.000 D. Tpoiás Ibarrola. C. 20.000 D. Jjian Fernando Meoqui. C. 30.000 D. Manuel del Cerro. 20.000 El Capitán de Artillería D. Manuel Gil de la Torre. 4.000 D. Francisco de Santiago,…</t>
  </si>
  <si>
    <t>Icedo, José González</t>
  </si>
  <si>
    <t>José González Icedo</t>
  </si>
  <si>
    <t>389 didas mas severas los desórdenes , que no hacen sino prolongar lina guerra destructora del pueblo : manda que estos particulares, »tue son D. José González Icedo , D. Diego de Alva, D. Juan Bello , D. José Barcena , D. Florentin Carranza , el vizconde de Rascón , D. Juan Peñalosa ,y D. N. Arteaga , todos conocidos con el …</t>
  </si>
  <si>
    <t>IchwardorfT</t>
  </si>
  <si>
    <t>ren das cargada de algodón y lana. Estas dos! en campaña. Este cuerpo asciende ya á 600 presas han sido hechas por el corsario el hombres. JBravo, su capitán IchwardorfT. El gobierno se ocnpa tambien en mejo­ El señor de s.tínte Creix , miembro del rar los establecimientos de beneficencia y instituto y de la antigua academia …</t>
  </si>
  <si>
    <t>Igle, Vicente</t>
  </si>
  <si>
    <t>Vicente Igle</t>
  </si>
  <si>
    <t>Bassecourt. “ D. Josef Marín de Aló?. = Marqués de Malespina. =rr D. Gregorio Rodríguez =D, Manuel Zappino. zzD. Tomas O-Doneju. Marqués de Zayas. = D. Vicente Igle­ sias. = D. Rafael Manglano. A Brigadieres los Coroneles D. Josef Escudero.” D. Msnu?l de ííurrigíiray.rrrD.Joref Navarro Falcon. =■ Marqués de Malpica.zz D. Jose…</t>
  </si>
  <si>
    <t>Iglesias, Francisco</t>
  </si>
  <si>
    <t>Francisco Iglesias</t>
  </si>
  <si>
    <t>5*34 D. Pedro Cortina González. 10.000 El subteniente D. Francisco Iglesias, 1.000 D. Santiago Cnavarria. 3.000 D. Manuel Besanilia Ruiz. 3.000 Las quarenta y ocho partidas que anteceden, componen los 8502 pesos exhibidos por el Real Consulado. El Colegio de San Il</t>
  </si>
  <si>
    <t>Iglesias, Manuel Mateo</t>
  </si>
  <si>
    <t>Manuel Mateo Iglesias</t>
  </si>
  <si>
    <t>20.000 El Capitán de Artillería D. Manuel Gil de la Torre. 4.000 D. Francisco de Santiago, Q. 12.000 la cofradía del Santo. Crista de Burgos. I 2.00Q D. Manuel Mateo Iglesias. C. 45.000 D. Ang#l Puyade. C. 25.OOO La cofradía de nuestra Señora de Aranzazu. 7.000 Él Sr. gobernador del Estado D&gt; Manuel Santa María. 400.000 D- Le…</t>
  </si>
  <si>
    <t>Iglesias, Pedro</t>
  </si>
  <si>
    <t>Pedro Iglesias</t>
  </si>
  <si>
    <t>e Camarera y su padre. -- El conde de Canillas.— El marques de Villamejqr. -- D. Vicente Suero. — D. Bartolomé Vincenti. — D. Juan Pedro Vincenti. *- D. Pedro Iglesias. — D. Francisco Ortega. — D. Manuel de la Quintana. — D. Juan Antonio López. — D&lt; Manuel González del Campo. -D. Juan Rayara. — D. Segismundo Malats. — D. José…</t>
  </si>
  <si>
    <t>Iglesias, Sebastian</t>
  </si>
  <si>
    <t>Sebastian Iglesias</t>
  </si>
  <si>
    <t>erto. A Capitanes de fragata ios Tenientes de navio D. Diego .Escalera , y D. Jayme Aiberni. Cuerpo de Brigadas. A Subteniente el primer .Condestable D. Sebastian Iglesias. Cuerpo de Pilotos. A Práctico primero , graduado de Aiferea de fragata , r\ segundo D. Guillermo :Mora. = Real .Alcázar de Sevilla 6 da mayo de 1809. Aten…</t>
  </si>
  <si>
    <t>Iglesias, Vicente</t>
  </si>
  <si>
    <t>Vicente Iglesias</t>
  </si>
  <si>
    <t>mbar­ go de acudir al todo , y vi con suma satisfacción que los generales de la primera y segunda división los mariscales de campo marques de Zayas y D. Vicente Iglesias , llenaron sus deberes, así como el de la reserva D. Juan Berhuy, y el teniente general D. Juan de Henestrosa, quemando la primera división de caballería , a…</t>
  </si>
  <si>
    <t>Ignacio</t>
  </si>
  <si>
    <t>racia de guardia real. Dios y por la constitución del estado, REI Ca.miaño ( D. Josef) , ministro en Suiza. 1 de las Españas y dé las Indias. Calvo ( D. Ignacio), capitán de caballeril, O'do el gran consejo de la Orden Real Cambronero ( D. Manuel),consejero de E|. de España, tado. Tiernos decretado y decretamos lo siCapón ( D…</t>
  </si>
  <si>
    <t>i.° audiencia de Navarra. Cornide (D. Antonio), mayor del regi­ Guillet, gefe de batallón de la artillería de miento núm. a.® la guardia. Cortinez ( D. Ignacio), capitán del regí— Gamin, coronel de los caballos ligeros de mier.to núm. i.° la guardia. Cornebois, sargento de granaderos del Real García (D. Ventura), capitán de c…</t>
  </si>
  <si>
    <t>Moradil.o (D. Francisco Ignacio), regente Tr..ngero. de la chancilleria de Vailad.úid. .Joven kíe Salas ( D. Josef Ignacio) , conse­ Muzquiz (marques D. Ignacio) , consejero jero de Estado. de Estado. ICiudAan (D. Juan), general de exéiciro. Navarro (D. Josef), teniente general de Lauchder (D. Josef) , fusilero del regi­ arti…</t>
  </si>
  <si>
    <t>esquadron de los caballos li­ Tellechea (D. Antonio), gefe de esqua­ geros de la guardia real. dron. Ponce de León (D. Juan), coronel de in­ Tejada ( D. Ignacio), gefe de división en fantería. el min terio de Indias. Portier ( D. Antonio ) , gefe de división en Thibauz, tesorero de la corona. el ministerio de Negocios extrang…</t>
  </si>
  <si>
    <t>eal. — Bravo (D. Tadeo) regidor de Madrid. — Brousse , mayor de caballos ligeros de la guardia real.” “Caamano (D. José ) ministro en Suiza. — Calvo (D. Ignacio) capitán de caballería. — Cambronero ( D. Manuel ) consejero de Estado. — Capón (D. Francisco ) granadero del regimiento de infantería de línea núm. i. —Carafa, genti…</t>
  </si>
  <si>
    <t>dro) consejero de Estado. —Moral (D. José Joaquin). — Mcradillo (D. Francisco Ignacio) regente de la chancillería de Valladadolid. — Muzquiz (Marques D. Ignacio) consejero de Estado.” “Navarro ( D. José ) teniente general de artillería. — Novoa (D. .Diego) capitán del regimiento núm 1 infantería de línea. — Novella (D. Roque)…</t>
  </si>
  <si>
    <t>tería de línea. — Salcedo (D. Basilio) capellán de honor.5* “Tascher , coronel y edecán del rey.—Tellechea (D. Anto­ nio) xefe de esquadron.— Te ada (D. Ignacio) xefe de división en el ministerio de Indias. — Thibauz, tesorero de la corona. — Turdonnet (D. Agustin) comandante de esquadron.” “Valguarnera (D. Juan) comandante d…</t>
  </si>
  <si>
    <t>) , teniente general1 de la exícocion del presente decreto. =s Firma­ nuestros reales exércitos. dos YO EL REI. == Por S. M. el gran Muzquiz (marques D. Ignacio), consejero canciller de la Ordca Manuel de Negrete de Estado. . •-•-— y de la-Torre.” Obregen ( D. Pedro), teniente general de nuestra real armada. En los últimos pe…</t>
  </si>
  <si>
    <t>Ignacio, Fermín</t>
  </si>
  <si>
    <t>Fermín Ignacio</t>
  </si>
  <si>
    <t>uración. mara. Benavent (marque» ) , primer montero. ESPAÑA. Beraza ( D. Antonio), administrador geni* ral de correos. Madrid 2$ de octubre. Béu-za ( D. Fermín Ignacio). Bigaré, general y edecán del Reí. GRAN CASCILLERÍA ■ DE LA ORDEN REAL Bouligni (D. Francisco) , gefe de batallq, DE ESPAÑA- Bouvard , mayor de volteadores de…</t>
  </si>
  <si>
    <t>fi 6 mara. — Benavent (marques) primer montero. — Beraza (D. An­ tonio ) administrador general de Correos. — Beunza (D. Fermín Ignacio). — Bigaré, general y edecán del rey. — Bouligni (D. Francisco ) xefe de batallón. -- Bouvard , mayor de volteadores de la guardia real. — Bravo (D. Tadeo) regidor de Madrid. — Brousse , ma</t>
  </si>
  <si>
    <t>Ignacio, Francisco</t>
  </si>
  <si>
    <t>Francisco Ignacio</t>
  </si>
  <si>
    <t>edo) , oficial primero en el mi­ Estado. nisterio de lo Interior. Moral ( D. Jos . f Joaquín). J ¡cquot ( D. Juan), ea£ ira i del Real Ex- Moradil.o (D. Francisco Ignacio), regente Tr..ngero. de la chancilleria de Vailad.úid. .Joven kíe Salas ( D. Josef Ignacio) , conse­ Muzquiz (marques D. Ignacio) , consejero jero de Estado…</t>
  </si>
  <si>
    <t>Monval, xefe de esquadron de la artillería de la guardia real. — Mora y Lomas (D. Pedro) consejero de Estado. —Moral (D. José Joaquin). — Mcradillo (D. Francisco Ignacio) regente de la chancillería de Valladadolid. — Muzquiz (Marques D. Ignacio) consejero de Estado.” “Navarro ( D. José ) teniente general de artillería. — Novo…</t>
  </si>
  <si>
    <t>Ignacio, José</t>
  </si>
  <si>
    <t>José Ignacio</t>
  </si>
  <si>
    <t>idor de Madrid. — Isla (D. Pedro) oficial primero en el ministerio efe lo interior. —Jacquot (D. Juan) capitán del real extrangero. — Joven de Salas (D. José Ignacio) consejero de Estado. — Kindglan (D. Juan) general del exército.” “Laischder (D. José) fusilero del regimiento real extrange­ ro — La-Torre (D. Dámaso) corregido…</t>
  </si>
  <si>
    <t>Ignacio, Josef</t>
  </si>
  <si>
    <t>Josef Ignacio</t>
  </si>
  <si>
    <t>J ¡cquot ( D. Juan), ea£ ira i del Real Ex- Moradil.o (D. Francisco Ignacio), regente Tr..ngero. de la chancilleria de Vailad.úid. .Joven kíe Salas ( D. Josef Ignacio) , conse­ Muzquiz (marques D. Ignacio) , consejero jero de Estado. de Estado. ICiudAan (D. Juan), general de exéiciro. Navarro (D. Josef), teniente general de L…</t>
  </si>
  <si>
    <t>uertes. El M. I. y V, Sr, Dean y Cabildo de esta santa Iglesia Ca­ tedral, 50.00a El Sr. mariscal de Castilla. 6,000 D. Domingo Morillo, (*) C, 2.000 D. Josef Ignacio . guirrevengoa. C. ' 25.000 El Sr. marques de Santa Cruz de Inguanzo, G, 25.000 D-Josef Vicente Olloqui. C. 25.000 El Sr. conde de la Cortina, G. 50.000 El caba…</t>
  </si>
  <si>
    <t>Ignacio, Miguel</t>
  </si>
  <si>
    <t>Miguel Ignacio</t>
  </si>
  <si>
    <t>elez de Elorriaga, cura de! lug sr de Elorriaga. en la provincia de Alava: para la abadía de la colegiata de Ze* narruzá, en el señorío de Vizcayá, á D. Miguel Ignacio de la Madrid y Lobianopara una canongía de la iglesia catedral de Mortdoñedo á D. Jo­ sef Fernandez Solis, cura de la parroquia de santa María dé Renueva , ar­…</t>
  </si>
  <si>
    <t>II, José</t>
  </si>
  <si>
    <t>José II</t>
  </si>
  <si>
    <t>á la salubridad; y cegados una vez los fosos, se construirán encima nuevos edificios, que servirán de adorno y unirán la ciudad con sus arrabales. El emperador José II tenia intención de hacer lo mismo que se está haciendo ahora {1), gran- e R EtaÑ l. Londres 15 de noviembre. Según cartas de Smyrna la Persia se dispone á obra…</t>
  </si>
  <si>
    <t>Iiiller</t>
  </si>
  <si>
    <t>el puente, y El día 1 2 se levantó el bloqueo dé Kufíreunirse aló con los cuerpos del archidu­ tein. El gentilhombre de S. M. Germain, que Luis y del general Iiiller ; pero el exér- que se había encerrado en esta plaza, se ha cito francés estaba reunido en aquel punto portado con valor.</t>
  </si>
  <si>
    <t>Iilana, Juan de Mata</t>
  </si>
  <si>
    <t>Juan de Mata Iilana</t>
  </si>
  <si>
    <t>, por el cuerpo de ti no­ bleza: Sr. D. Domingo Alvarez, presbítero, por el estado eclesiástico: el P. abad de S. Basilio¿ por el estado regular: Sr. D. Juan de Mata Iilana, por vecinos de parroquias: Sr. D. Roque Antonio de Lema, por las dipu­ taciones de barrio; y Sr. D. Pedro Rubio , por los Cinco Gremios mayores. Consejo …</t>
  </si>
  <si>
    <t>Iírazinski</t>
  </si>
  <si>
    <t>Gaceta de Madrid n.º 7</t>
  </si>
  <si>
    <t>lería Senarmohr. Tamhjeú ha sido nombrado ayudante comandante el mayor Segur, de cuyaVálud se desesperanzaba mucho; pero ya está fuera de peligro. El.conde Iírazinski, coronel de caballería ligera polaca, aunque enfer­ mo, estuvo en el ataqúe ,á la cabeza de su cuerpo. Han sido nombrados individuos de la legión de Honor , por…</t>
  </si>
  <si>
    <t>IJgarte, Miguel</t>
  </si>
  <si>
    <t>Miguel IJgarte</t>
  </si>
  <si>
    <t>dé las colunas á cue estaban unidos, y recomienda al teniente coronel D. José Fuen­ te Pita , al mayor de brigada D. José Velarde , y al subteniente D. Miguel IJgarte, todos tres de dicho real cuerpo, pues unidos alas guerrillas llevaron varias órdenes á la caballería.” “Creo de mi obligación recomendar.á V. E. para que lo el…</t>
  </si>
  <si>
    <t>Ilde</t>
  </si>
  <si>
    <t>ndrán por uniforme una casaca, Mair, subteniente del regimiento Real Exchupa y calzón de los mismos colores que trangero, teniente de tefi¡nterí;¡: á D. Ilde­ usaban en el cuerpo de que hayan salido, fonso Rífi, subteniente del real cuerpo de con la sola diferencia de llevar el cuello y Ingenieros , teniente del referido cuer…</t>
  </si>
  <si>
    <t>Ililíer</t>
  </si>
  <si>
    <t>és en el Brabante al mariscal Dumonexército del general Bellegarde , y particu­ ceau, que apoyará las operaciones del prín­ larmente en el cuerpo del general Ililíer, cipe de Pontecorvo. por habérsele distribuido de los almacenes La división del general Travers está en­ de Budweis harina ya calentada. cargada de la defensa de…</t>
  </si>
  <si>
    <t>Ilope</t>
  </si>
  <si>
    <t>campaña; y este general resolvió Londres 7 de marzo. avanzar mediante á habérsele juntado la ca­ CAMARA DE LOS COMUNES. ballería y la artillería del general Ilope. Du­ Sesión del 24 de febrero. Concluido el rante este tiempo el exército francés no es­ discurso de Mr. Ponsonbi, Mr. Tiernei to­ taba ocioso: forzaba todos los pa…</t>
  </si>
  <si>
    <t>Inarte, Juan Josef</t>
  </si>
  <si>
    <t>Juan Josef Inarte</t>
  </si>
  <si>
    <t>el trono de España, y enemigo de su grandeza» Los Sres. D. Manuel Cebrian é hijo, del comercio de Va­ lencia , en 29 de Noviembre último remitieron á D. Juan Josef Inarte , del comercio de Cádiz, con el último endoso á favor de este , trece Vales Reales de las cantidades, números y creaciones siguientes: Números» 364*550* Qua…</t>
  </si>
  <si>
    <t>Infanson, Joaquín</t>
  </si>
  <si>
    <t>Joaquín Infanson</t>
  </si>
  <si>
    <t>de del regimiento de caballería del Infante , es­ S lavarra, está nombrado subteniente. D. Nicolás Martini, sargento i." de la tá npmbrado, teniente. D. Joaquín Infanson, subteniente qne compañía de vélites de nuestra real guar­ fue del regimiento provincial de Oviedo, dia , está nombrado subteniente. está nombrado subtenient…</t>
  </si>
  <si>
    <t>Infantepor</t>
  </si>
  <si>
    <t>331</t>
  </si>
  <si>
    <t>chísimo en estaaeeion - abrprííícipe- CanQsa por su exactitud eji -concurrir á-mi, plan , al ’capitán' A-lnaagro.por el zelp con que cooperó , -y al capitán Infantepor su ,admirable conducta en el ataque. — Lá bala roxa y las bombas del enemigo , aunque tiradas con profusión, tengo el.gusto de decir que no hicieron ningún dañ…</t>
  </si>
  <si>
    <t>Ingersleben</t>
  </si>
  <si>
    <t>trin; el mayor Rauch, que según se dice, contri­ buyó á que cayese en manos de los franceses la espada de Federico el grande; y aun se asegura que el general Ingersleben , comandante de Custrin, se fugó eri el momen­ to en que iba á ser arrestado.</t>
  </si>
  <si>
    <t>Ingles</t>
  </si>
  <si>
    <t>! t &gt;(-• VJ4.L ( trabajo sostendré por estos puntos poro ion de tropa considerabie &amp;c. ESP AN A. Ciudad-Rodrigo 16 de marzo. Con noticia que tuvo el coronel Ingles vViíson, que mandaba las tropas españolas situadas en la villa de S. Felices y otros pueblos inmediatos, de que un destaca­ mento de caballería francesa se dirigía…</t>
  </si>
  <si>
    <t>8 por Nanci. «han sido» general» sus proyectos devmd. Mañana á las 9 de la noche se harl en «quando salid de Portugal para entrar en CO S* ve que el general Ingles experimen­ bres, seguramente que no es mal contentadizo. ta gran satisfacción por todas partes*, ¡venturo­ Y, como ciertamente es un bi^n hombre , de­ so mortal I …</t>
  </si>
  <si>
    <t>Iñigo, Manuel</t>
  </si>
  <si>
    <t>Manuel Iñigo</t>
  </si>
  <si>
    <t>udad fueron losr} sopores D. Luis Tomé, prestado á vuestra augusta Persona y ála D. Andrés del Qiifellq, D. &gt; Tomas. de la .constitución. ■ &gt; Puente, D. Manuel Iñigo de; Angulo y Don j ,,Nos reputamos dichpsos, Señor, de Miguel de Corres. 'I .haber merecido el honor de ser elegidos en­ El arcediano D. Francisco de Arribas di­…</t>
  </si>
  <si>
    <t>Interino</t>
  </si>
  <si>
    <t>Peres de Castro, con el carácter de Encargado de Negocios. Asi mismo ha nombrado S. M. Secretario de dicho Ministerio en el Brasil á D. Luis Noeli, y Secretario Interino en Lisboa á D. Martin Folch. Con Real permiso ha establecido en esta ciudad D. Juan ce la Vega Camp'uzano, maestro de primeras letras la en­ señanza de sordo…</t>
  </si>
  <si>
    <t>Io, Guillelmo Atanas'o Xarami</t>
  </si>
  <si>
    <t>Guillelmo Atanas'o Xarami Io</t>
  </si>
  <si>
    <t>184</t>
  </si>
  <si>
    <t>po conste la modestia de quien hace mas recomendables las pruebas de zelo y ardor por la buena cau­ sa , que ha dado en la Junta ae que es individuo. D. Guillelmo Atanas'o Xarami1Io individuo del real co­ legio académico de la villa de Madrid , maestro, de prime* ras letras en ella , revisor de escritos sospechosos 4 profe­ s…</t>
  </si>
  <si>
    <t>Ipsilanti</t>
  </si>
  <si>
    <t>a en Bucha- de Moría y conde de Montarco. rest, teniendo á su cargo la educación y en­ art. 11. Nuestro gran canciller de la señanza de los hijos del príncipe Ipsilanti, orden está encargado de la execucion del hospedar de la Valaquia, quien, conocien­ presente decretó. do su mérito, lo habia empleado en delica­ En nuestro pa…</t>
  </si>
  <si>
    <t>Iriarte, Bernardo</t>
  </si>
  <si>
    <t>Bernardo Iriarte</t>
  </si>
  <si>
    <t>M. que cesase el fuego en todos los puntos. A las f llegaron á la tienda de S. A. S. mayor general el general Mor* ¡la, vocal de la junta militar, y D. Bernardo Iriarte, diputado de la villar ¿Manifestaron' que todos los hombres sensatos conocían que estaba Madrid Sin recursos, y que era una locura el defenderla mas tiempo; p…</t>
  </si>
  <si>
    <t>pu­ taciones de barrio; y Sr. D. Pedro Rubio , por los Cinco Gremios mayores. Consejo de Estado. Excmo. Sr. conde de Montarco. Consejo de Indias. Sr. D. Bernardo Iriarte, Sr. D. Josef Antonio de Ürrlza, Sr. D. Ful­ gencio de la Riva y Sr. conde de Torremuzquiz. Consejo de Hacienda. Sr. D. Manuel de Valenzuela y Sr. D. Francis…</t>
  </si>
  <si>
    <t>iremos nuestro juramento, y á V. M. no le pesará de la confianza que se digne concedernos, ni de la clemencia que ha usado con nosotros.” Discurso de D. Bernardo Iriarte d nombre del consejo de Indias. „Se8or: El consejo de Indias tiene el honor de presentí rseá V. M. I. y R. para ofrecerle el homenage de su profundo respeto,…</t>
  </si>
  <si>
    <t>l conde de Moutarco, y uovedad en su importante salud. por individuos de ella al marques D. Igna­ S. M. no cesa de examinar con la mas cio Mnzquiz» á D. Bernardo Iriarte, al escrnpulosa atención el estado actpal de conde de Guarnan y á D. Zenon Alonso. aquel feracísimo terreno, en- el qual se le Por presidente de Ja sección d…</t>
  </si>
  <si>
    <t>Iriarte, Juan Josef</t>
  </si>
  <si>
    <t>Juan Josef Iriarte</t>
  </si>
  <si>
    <t>n extraviado , y se suplica á quien ios haya recogido 9 se sírva entregarlos en Valencia á los Sres. D, Manuel Cebrian é hijo : en Cádiz al expresado D. Juan Josef Iriarte 5 y en Sevilla á D. Dionisio Lomo , de este comercio*</t>
  </si>
  <si>
    <t>Irusta, Francisco</t>
  </si>
  <si>
    <t>Francisco Irusta</t>
  </si>
  <si>
    <t>tor general de contribucio­ santidad del lugar. nes D. Francisco Gallardo, el contador ge­ ART. ni. Nuestros ministros de la Jus­ neral de las mismas D. Francisco Irusta, ticia y de Negocios eclesiásticos quedan en­ -otros dos empleados, y cinco comerciantes, cargados de la execucion del presente de­ con el objeto de la forma…</t>
  </si>
  <si>
    <t>Isabel</t>
  </si>
  <si>
    <t>24 de enero de 1809</t>
  </si>
  <si>
    <t>Gaceta de Madrid n.º 24</t>
  </si>
  <si>
    <t>n ti camino, que estaba mui malo, hasta que llégóeleoéhe dé la Reina , que iba en compañía de las princesas Augusta é Isabel, y de ladi Ailesburi. La princesa Isabel se apeó al insíantéYy él Rei sübió al coche de la Reina. La princesa tuvo que ir á pie un buen trecho por medio del lodo, hasta que llegó eí coche, en que iban l…</t>
  </si>
  <si>
    <t>no vil, con y ayudantes generales. el príncipe Guillermo de Hesse-Casse!. Con motivo del cumpleaños de S. M. la Escriben de Oporto haberse descubier­ Emperatriz Isabel habrá ho¡ en palacio un to en Lisboa el plan de una conspiración, gran baile de máscara, al que se asegura y que han sido arrestadas muchas personas, están con…</t>
  </si>
  <si>
    <t>scrupulizaban el quebrar y hacer una multitud de víctimas en tantos Antes de la unión de D. Fernando con infelices acreedores del estado , y se puede Doña Isabel se padecían imperfecciones, decir que desde Felipe 11 todos los Reyes aunque menores, en el sistema de hacienda han hecho su quiebra mas ó menos d:simude Aragón. Vem…</t>
  </si>
  <si>
    <t>nes extrangeras nes francesas que se encontrasen cargadas de que comerciasen con los puertos franceses. mercancías españolas. Los franceses encon­ La Reina Isabel, luego que la grande trándose en igual caso en el año 1*40, ex­ armada de ios españoles fue destruida por pidieron igual decreto ; y reclamando con­ las tempestades…</t>
  </si>
  <si>
    <t>981</t>
  </si>
  <si>
    <t>as ciencias, y se tado : aun no ha llegado allí ninguna esquaafanan por instruir á sus compatriotas. dra de transportes» ni los enemigos han S. M. la Emperatriz Isabel se ha dignado desembarcado mas gente. Pero en todo ca­ visitar el gabinete de historia natural y la so se están comando por nuestra parre las academia de las c…</t>
  </si>
  <si>
    <t>Isasi, Josef</t>
  </si>
  <si>
    <t>Josef Isasi</t>
  </si>
  <si>
    <t>, 1®- == D. Fetiro Josef Arrechea , 1®. = D. Manuel Francisco Arreqei, 1®. = D. Josef Manuel Arrechta , io¿&gt;. =5 D. Pedro# Martínez Delgado , 100. zz D. Josef Isasi , i®*=D. Josef Munilla , 500. zz D. Sebastian Melón , 500. = D. Loren­ zo Moreno, 4®. = D. Juan Josef B^rberena, 5* zz D. Dosningó Gómez de Segura , 200, = D. Man…</t>
  </si>
  <si>
    <t>Isla, Pedro</t>
  </si>
  <si>
    <t>Pedro Isla</t>
  </si>
  <si>
    <t>dera gefes de división 5&gt;á-D- -Joaquín-Abaí- Rafael Tenorio, D. Dónuogo "V'cngoa y.' tua, D* Luis Bellocq y D. Pedro Isla,: ofi­ JD. Gregorio del Castillo, ó á los oficiales-ciales primeros; á D. Fausto Foronda,Don primeros D. Josef de Hueros y D. Camilo Santiago. Torres, D» t Joaquín Cituentes,; Arroyo , segú</t>
  </si>
  <si>
    <t>ÍTernoesand, He</t>
  </si>
  <si>
    <t>He ÍTernoesand</t>
  </si>
  <si>
    <t>relación circunstanciada de todo ló de Cronstedt y la capitulación ajustada por ocurrido. . .sn* , dicho mayor general, que tengo el honor ■ Quartrl -general He ÍTernoesand 24 de de enviar á V. Al' R. con el Sr. Furu— marzo de x8o^.—Pirnia¿tozzC. N. t)E Klsrmarck , capitán del regimiento de infantería ker, general dé infanter…</t>
  </si>
  <si>
    <t>Iturbe, Gabriel Manuel</t>
  </si>
  <si>
    <t>Gabriel Manuel Iturbe</t>
  </si>
  <si>
    <t>Antonio Aristi. 2.000 D. Joaquín de Echarte. 15.000 D. José María Landa. 4.000 D. Domingo Llano Torre. 2.000 D. Ignacio Suarez. 9.000 El subteniente D. Gabriel Manuel Iturbe. io ooq D. Manuel Tirso Salceda. 2.ooo# D. José Gregorio Urbizu. 10.000 D. Baltasar Casanueva. 10.000 D. Teodoro Salazar del Puerto. 30.000 El capitán D.…</t>
  </si>
  <si>
    <t>Iturraldé, Cipriano</t>
  </si>
  <si>
    <t>Cipriano Iturraldé</t>
  </si>
  <si>
    <t>cente Puchol. — D. Julián Navarrete. — D. Pedro Yoldi. — D, José Unceta. — D. Fermín de Lusarreta. ~ D. Eulogio Espi­ no.— D. Francisco Barraneche. — D. Cipriano Iturraldé.— D. To­ mas Yoldi.—D. José Sánchez. — D. Luis Manuel de Benavides. — D. Lorenzo de Sobrecosas/ — D. Manuel Cárrica. — D. Venancio</t>
  </si>
  <si>
    <t>IV, Carlos</t>
  </si>
  <si>
    <t>Carlos IV</t>
  </si>
  <si>
    <t>, y recuerda á Bonaparte que ha­ bia habido justos motivos para suspender la pensión del Rey Carlos desde 1.0 de Agosto. Tenemos pues , que el pobre Rey Carlos IV no ha hallado recurso alguno , ni en la ca­ ridad del Conde del Imperio, ni en la de los comerciantes de Marsella; circunstancia ¿olorosa y apurada.</t>
  </si>
  <si>
    <t>IV, Cárlos</t>
  </si>
  <si>
    <t>Cárlos IV</t>
  </si>
  <si>
    <t>zeta este rasgo de verdadero patriotismo. ________ *________ Representación del príncipe de Asturias D. Fernando (ahora nuestro Rey y Sr.) &amp; su padre D. Cárlos IV, en octubre de 1807, sobre los excesos y conducta del privado Godoy. Publícala un pa­ triota aragonés. — Precede una introducción histórica acerca de la famosa caus…</t>
  </si>
  <si>
    <t>contra su conducta militar durante^el mando de las tropas españolas en Portugal por las repetidas órdenes qjte se le comunicaron en tiempo del Señor D. Carlos IV, y aun en el tiempo que .permaneció en Madrid nuestro augusto soberano el Sr. D. Fernando VII; y después, de su ausencia por el Sr. infante D. Antonio y su Junta de …</t>
  </si>
  <si>
    <t>512</t>
  </si>
  <si>
    <t>xo mis ór­ denes un tan solo soldado del antiguo régimen, siendo así qué todo este estado mayor se halla nombrado en sus respectivos pues­ tos por el rey Carlos IV, que la demas tropa de mi mando no se compone de una juventud descarriada como V. S. también supo­ ne , sino que se halla legítimamente nombrada y organizada por d…</t>
  </si>
  <si>
    <t>IV, Fernando</t>
  </si>
  <si>
    <t>Fernando IV</t>
  </si>
  <si>
    <t>498</t>
  </si>
  <si>
    <t>atamente para completar su armamento 600 fusiles que acaba de recibir el mis­ mo marques , de Palermo , habiéndoselos regalado S. M. siciliana el Sr. D. Fernando IV. El Gobierno supremo, á cuya noticia ha llegado este rasgo pa­ triótico del marques de Villafranca, manda que se le den las gra­ cias mas expresivas, y que se man…</t>
  </si>
  <si>
    <t>IVlarcos</t>
  </si>
  <si>
    <t>0 muertos y 60 prisioneros. Entre los muertos de les patriotas se cuentan do3 oficiales de gran distinción, y de muy expe­ rimentado valor , á saber, D. IVlarcos de. Torres , coronel de Dragones , que á la cabeza de -solos ocho de eftos , con Ja mayor bizarría atacó un núniero muy superior de enemi­ gos , y con su propia espa…</t>
  </si>
  <si>
    <t>Ixar, Juan</t>
  </si>
  <si>
    <t>Juan Ixar</t>
  </si>
  <si>
    <t>ularizando la sin­ gular conducta, de lps cadetes del batallón de Tarragona D. Josef Monguiot, D. Juan Guaze , D. Ignacio Urtet, D. Ráymundo Cortes , D. Juan Ixar , D. Carlos Salas, y D. Diego Rivagorda , que habiendo salido de guerrilla, escar­ mentaron bien al enemigo ; la del subteniente del mis­ mo cuerpo D. Josef de Moya…</t>
  </si>
  <si>
    <t>Izquier, Francisco González</t>
  </si>
  <si>
    <t>Francisco González Izquier</t>
  </si>
  <si>
    <t>f María las solemnidades y condiciones con que de­ Castro oidor de la chaocillería de Valla- ban celebráis; para producir efectos legales dolid , y a D. Francisco González Izquier­ en la sociedad. do alcalde del crimen del mismo tribunal. ,, Jesucristo le dio un grado de santifica­ Por decretos del mismo dia ha venido ción qu…</t>
  </si>
  <si>
    <t>J, Soult</t>
  </si>
  <si>
    <t>Soult J</t>
  </si>
  <si>
    <t>?4r £J/ Mariscal Soult J al General Franceschi desde la Puebla d&amp; Sanabria á 26 de junio. » Haced saber inmediatamente á .S. M. C. la necesidad! que esta tropa experimenta en todos los artículos , y que se rae remitan á- Zamora tocios- los bagages y efectos mi­ litares. El-Gene</t>
  </si>
  <si>
    <t>J, Zacarías</t>
  </si>
  <si>
    <t>Zacarías J</t>
  </si>
  <si>
    <t>na «¿udiencia particular, indicando el asunto de ella, en la inteli— gencia de que recibirá contestación puntual. í' &gt; , - ■&gt;. , ' ' ‘ VENTAS. El Sr. D. Zacarías J^osef de Garrido,,alcalde y juez ordinario de la ciu­ dad de Vitoria / como comisionado regio en ella y su jurisdicción para la enagenacion de fincas de obras pías …</t>
  </si>
  <si>
    <t>Jacinto</t>
  </si>
  <si>
    <t>gua; sef Vazqnez de geometría descriptiva, y. D. Fernando Peñaranda , ex-religioso esco- D. Alexandro Blanco de dlbaxo. lapio, de retórica y poética; D. Jacinto art; iti. Quedan nombrados profeso­ Lago y D. Ignacio Romaza de aritmética, res de las escuelas públicas de primeras le— álgebra, geometría y principios de geogra­ tr…</t>
  </si>
  <si>
    <t>Jacob</t>
  </si>
  <si>
    <t>14 de junio de 1809</t>
  </si>
  <si>
    <t>Gaceta de Madrid n.º 165</t>
  </si>
  <si>
    <t>nación libre é independiente. Vuestras des­ tal ha prestado el juramento de estilo en gracias han dimanado de vuestra unioii con manos de S. A. R. El arzobispo Jacob de el Austria: vuestra saogre ha' corrido en re­ Lindholm ha hecho igualmente el jura­ giones lejanas para su provecho ; y vuestros mento acostumbrado en manos d…</t>
  </si>
  <si>
    <t>Jacobn</t>
  </si>
  <si>
    <t>, consejera de Castiüo-Ljrroi ( D. Dunasn). Estado. Cervino(D. Domin¿o) , teniente general de Echague ( D. Francisco Antonio). ejército. Echegaraya ( D. Jacobn), capitán del re­ Cea ( D. Francisco Antonio), gefe de divi­ gimiento núm. 2.°, infantería de línea. sión del ministerio de lo I iterior. Echeverría (D. Pedro Ramón), …</t>
  </si>
  <si>
    <t>Jaégerhorn</t>
  </si>
  <si>
    <t>e ante el tribunal militar de la cor­ ¿(uto-precio* ;r‘ te real, en donde será revisada y termina­ SAXONÍA. da la causa el dia U de enero de 1810. El coronel Jaégerhorn y el teniente ruso , ídpsick y He octubre. Schewisch han llegado aquí de Finlandia. -También ha llegado de Aland á Grislebamm En el día se está efectuando la …</t>
  </si>
  <si>
    <t>Jaime</t>
  </si>
  <si>
    <t>ente por estos medios dó que estos religiosos no retuviesen bie­ después de publicadas las pragmáticas de nes raíces ni en particular ni en común , y D. Jaime ir , que prohibían estas adquisi­ que vendiesen á los seglares quantos hubie­ ciones. Hubo con este motivo muchos al­ sen adquirido hasta aquella época. tercados por un…</t>
  </si>
  <si>
    <t>Janee</t>
  </si>
  <si>
    <t>, 33» SÍ mayor Nicolás embistió el fuerte con un y heridos. Pero el capitán Janee, que esta­ ba con calentura hada algunos dias, y que escuadrón del i.° de húsares, y le obligó á capitular. Hemos _encontrado en el puerto sin embargo había mandado toda la manio­ a lanchas</t>
  </si>
  <si>
    <t>Janner</t>
  </si>
  <si>
    <t>de los pacientes en un establo Ademas de las diputaciones-de Motrico respirando el aliento de las vacas. y Aranzazu * de que se dió^noficia en la El doctor Janner debió á la casualidad gazeta de ayer * se presentaron; Igualmente el importante descubrimiento de que lava- á S.M. el domingo 12 del corriente nume­ cuna ó viruela …</t>
  </si>
  <si>
    <t>Jardon</t>
  </si>
  <si>
    <t>a primera brigada de la división Mermet,, que los arrolla y desalojó de Elviña. El segundo regí-* miento de infantería ligera se cubrió de gloria. El general Jardon, á la ca&lt;beza de los volteadores, les infundió un valor extraordinario. El enemigo, arrojado de sus posiciones, se retiró á las huertas que hai al rededor de la C…</t>
  </si>
  <si>
    <t>Jas</t>
  </si>
  <si>
    <t>o, envié casi todas las tropas que pude recolectar para su defensa al cargo del acreditado D. Beni­ to San Juan. Pero las numerosas tropas con que el Emperador Jas cargó, las envolvieron y dispersaron. De otra parte procuré fortificar á Madrid contra un ataque brusco ó correría, aspillando su cercado, poniendo baterías, fosos…</t>
  </si>
  <si>
    <t>JBlake</t>
  </si>
  <si>
    <t>es vergonzosos ve se restablecerá la paz en estos países. que acaba de experimentar en Aragón el Sin embargo, muchos habitantes honrados exército del'general JBlake ; la notoria im­ del *Tirol y del Voralberg , previéndo la posibilidad de comunicar i los españoles un tormenta que va á descargar sobre estos verdadero espíritu …</t>
  </si>
  <si>
    <t>JBurke, Edmundo</t>
  </si>
  <si>
    <t>Edmundo JBurke</t>
  </si>
  <si>
    <t>766</t>
  </si>
  <si>
    <t>os gravá­ Madrid 13 de junio. menes á la nación, es constante que está El día 9 del corriente el Exento. Sr. medida produxo entonces saludables efec­ D. Edmundo JBurke, ministro plenipoten­ tos, y que los habría producido después, si ciario de Dinamarca cerca de nuestra corte, para la circulación de estos vales,y para su tuvo…</t>
  </si>
  <si>
    <t>Jcsef</t>
  </si>
  <si>
    <t>por ahora de este Noche del 2.4 al 25. corregimiento; á D. Justo Galarza , audi­ r Ataque de la derecha. Se han comen­ tor de Guerra de Pamplona, y á D. Jcsef zado dos baterías detras de la tercera para­ Carafa. Igualmente ha nombrado S. M. al­ lela en la orilla del Ebro , para oponerse á caldes del crimen del propio tribunal…</t>
  </si>
  <si>
    <t>JDijon</t>
  </si>
  <si>
    <t>Gazeta del Gobierno n.º 9 (extraordinaria)</t>
  </si>
  <si>
    <t>s , tomó todas las disposiciones convenien­ tes para sorpréhérideiioslo- qué consiguió en parte, á pesar de la ’vigílatóía de los ene­ migos, pues el general JDijon que los man­ daba se vió obligado á abandonar su coche y montar á caballo párá libirtarse de ser he­ cho prisionero. Sin embargo no pudo lograrse el total buen éx…</t>
  </si>
  <si>
    <t>Jea</t>
  </si>
  <si>
    <t>DEL LUNES 8 DE MATO DE l8og. - '--------------- --- ---- ------- --------------------------------------------——— SEVILLA. Correspondencia segunda con D. Jea^utn María Sotelo. Niim. i. ° aparte del Sr. D. Gregorio de la Cuesta a /4 Junta Suprema. ,, Excmo. Sr. = La avanzada de este exército á ]a vista de Fuente del Maestresa d…</t>
  </si>
  <si>
    <t>Jeí</t>
  </si>
  <si>
    <t>d que no es sino una quimera, na­ México ; al marques Cabulero, gobernador cí Ja de los de ninguna experiencia de los del consejo de Hacienda , y ex- secretario Jeí hombres; en efecto, ¿qué es lo que hai ó despacho de Gracia y Justicia, y á D. Se­ puede haber independiente en la naturale­ bastian Piñuela, ex-ministro de la Ju…</t>
  </si>
  <si>
    <t>Jeiiachich</t>
  </si>
  <si>
    <t>y el perfectamente el rio. vino están en abundancia; pero la carne, Después de la derrota del cuerpo del que esta capital traia de lo interior de la general Jeiiachich, el Sr. Matieu , capitán Hungría, comienza á escasear. Los enemi­ agregado al estado mayor del exército de gos,-contra todas las razones política$, y Italia, f…</t>
  </si>
  <si>
    <t>o de pocos dias esperamos noti­ batería todas estas piezas, y la escuadra cias importantes de Hungría. rusa ancló contra el viento, y se hizo fir­ El general Jeiiachich, que había llega­ me. Todo estaba á punto para recibir bien do á la Stiria superior, hadándose cortado, al enemigo, el que, viendo frustrada su ha tenido que …</t>
  </si>
  <si>
    <t>Jeliachich</t>
  </si>
  <si>
    <t>de L?j?dshu£ y Dingelfiogen. El enemigo parece que quiere disputar eí paso el exército desea con ardor llegar á Jas manos con el enemigo. El Teniente general Jeliachich ha pasado el íno cerca de Rosenbdm y Wasserbourg* y marcha sobre Munich;- Cerca de Haag se ha tomado un puesto avanzado enemigo. Se han hecho prisioneros 13: …</t>
  </si>
  <si>
    <t>Jellachich</t>
  </si>
  <si>
    <t>de Dantzick va Se ha notado como cosa singular que persiguiendo á la división austriaca, man­ uno de los oficiales austriacos que prime­ dada por el general Jellachich , que ocupa­ ro han sido hechos prisioneros en esta guer­ ba á Munich. ra , es cabalmente el edecán del príncipe El Reí de Baviera ha estado en perso­ Cirios, …</t>
  </si>
  <si>
    <t>Rei de Quando en el siglo pasado se presenta Baviera, hizo publicar en el Tirol la pro­ al gobierno un proyecto con el objeto de clama firmada pof el general Jellachich: en hacer navegable el Tajo desde su nacimien­ un mismo dia sé proponia al Reí que que­ to hasta Toledo , consultado uno de los dase neutral, y se Intentaba s…</t>
  </si>
  <si>
    <t>tado , generales Grainville, Bucalowítz y Som- Hemos decretado y decretamos lo si­ marriva , y sostenidas por una reserva á las guiente : órdenes del general Jellachich , atacaron al articulo 1. Todos los acreedores del general Vandamme en el pueblo de Urfar, estado, ya sea por capitales, 6 ya por atra­ mas arriba de la cabez…</t>
  </si>
  <si>
    <t>poco daño , coa grande admiración de todos, ALEMANIA. Documentos que precedieron á los movimientos y levantamiento patriótico del Tirol. Proclama del General Jellachich , Teniente General del exército imperial austríaco á los habitantes del Tirol.—Ti­ roleses, zz Si sois aquellos mismos que erais poco tiempo ha: si os acordái…</t>
  </si>
  <si>
    <t>estando ex­ puestas al fuego déL enemigo , no dexan de entonar sus can­ ciones marciales.:* Ayer á las; oace d¿ lá mañana la vanguardia del Tenien-te general Jellachich ha entrado en Munich. El Rey y la Rey-.na sé han refugiado á Ausburgo.. El 4. 0 cuerpo dé exército ha pasado sin resistencia alga- * na el her por Dingeifioge…</t>
  </si>
  <si>
    <t>Jenner</t>
  </si>
  <si>
    <t>do en estos últimos tales efectos y resultas. ‘ , tiempos el nuevo preservativo encontrado A principios del siglo anterior la esposa por el. inmortal doctor Jenner; y si bien de un embaxador ingles cerca de. la corte las innumerables experiencias que se han re­ de Cónstantinopla, habiendo observado que petido en Europa, Améri…</t>
  </si>
  <si>
    <t>ecto, á poco tiempo después de Concedido. haber sido descubierto en Inglaterra este art. xiv. Inmediatamente que se haya preservativo por el inmortal doctor Jenner, firmado esta capitulación se le podrá ^emi­ empezó á introducirse su uso en la Catalu­ tir con un oficial á S. M. el Emperador de ña, donde hizo progresos mui ráp…</t>
  </si>
  <si>
    <t>Jenner, Antonio Hernández Hui</t>
  </si>
  <si>
    <t>Antonio Hernández Hui Jenner</t>
  </si>
  <si>
    <t>para otra á pesar de ser un descubrimiento de su na­ de alcalde del crimen de la chancillería de ción , y de habérselo remitido el mismo Valladolid á D. Antonio Hernández Hui- Jenner. D. Francisco Balmis logró á fuerza ci ; y para la fiscalía del crimen de este tri­ de constancia, de persuasiones y de racio­ bunal á D. Josef …</t>
  </si>
  <si>
    <t>Jfellachich</t>
  </si>
  <si>
    <t>la guardia imperial, que viene de París , co nueva obra ofensiva ni defensiva cu dicha donde acaba de formarse, y pasa á Viena, plaza. El cuerpo del general Jfellachich, he­ iv. La artillería de la plaza, las muni­ cho prisionero por el exército del príncipe ciones, almacsnes y provisiones qualesquie-</t>
  </si>
  <si>
    <t>Jinto, Francisco</t>
  </si>
  <si>
    <t>Francisco Jinto</t>
  </si>
  <si>
    <t>otro conforme á los modelos que se le chantre de esta propia catedral: para la ca­ darán. Todos estos estados serán dirigidos nongía que este dexa á D. Francisco Jinto por el intendente á nuestro ministro de lo de Nobajas, racionero de la misma iglesia; Interior para que formando por ellos un y para la ración que resulta vaca…</t>
  </si>
  <si>
    <t>JMoncei</t>
  </si>
  <si>
    <t>strct, Mossel y Paiinge , y van xea y de Ovenflakkee; pero no se refiere i ser empleados en el exército. ninguna circunstancia que dé probabilidad El mariscal JMoncei, duque de Concá este hecho. gtiano, bahía venido aquí para concertar un ataque contra la isla de Sud- lirvelanti; IMPERIO FRANCES. pero ya es inútii, porque los…</t>
  </si>
  <si>
    <t>Jnlian</t>
  </si>
  <si>
    <t>( D. Bienvenido), teniente coronel y Ferrandiz (D. Vicente), teniente coionel escudero. de artillería. Clairmont Tonnerre, coronel y edecán. Fuentes (D. Jnlian). Colonna, escudero. Four (D. Juan), sargento i.° del Real Colonna (el conde), intendente de Soria. Extrangero. Colonna (D. Marco Antonio), montero. Gainza ( D. Luis).…</t>
  </si>
  <si>
    <t>Jo, Juan</t>
  </si>
  <si>
    <t>Juan Jo</t>
  </si>
  <si>
    <t>tante. España va á ver por la primera diócesis de Osma, vacante por fallecimien­ vez un fidelísimo quadro de ia deuda nacio­ to de D. Angel Andino: á D. Juan Jo­ nal baxo sus diversas denominaciones y ra­ sef Felipe, capellán de número inas antiguo mificaciones. Ya no habrá mas misterios in­ de dicha colegiata, para una ració…</t>
  </si>
  <si>
    <t>Jo, Manuel Vélaseos D</t>
  </si>
  <si>
    <t>Manuel Vélaseos D Jo</t>
  </si>
  <si>
    <t>.— Dt Ignacio Antonio de Cortabarria.— D. Ramón Ger.— D. Francisco Xavier de Balmis. — D. Juan Polo. — Marques de. Béigída. — Marques- de Casteiar. — D. Manuel Vélaseos—D Jo­ sé Olatte. — D. Francisco y D. Manuel del Valle. — Duque de Yiilahermosa.— D. Felipe Vallejo. — Marques de las Horma­ zas.— D. Manuel Soria. — D. Ramón …</t>
  </si>
  <si>
    <t>Joa</t>
  </si>
  <si>
    <t>422</t>
  </si>
  <si>
    <t>ías el decreto siguiente: asegurarnos que los impuestos bastarán para Napoleón íkc. los gastos del presente año , sin necesidad Habiéndonos cedido el príncipe Joa-</t>
  </si>
  <si>
    <t>del corriente ha nombrado en el ministerio délo interior k D. José María Lauz , D. Francisco Antonio Zea y D. Cnstoval Cladera xefes de división ; á D. Joa­ quín Albaytua , D. Luis Bellocq y D. Pedro Isla , oficiales pri­ meros ; á D. Fausto Foronda, D. Santiago Torres, D. Joaquín Cifuentes, D. Antonio Tejada, D. José María C…</t>
  </si>
  <si>
    <t>isa. — D. Bruno Huici. — D. Manuel Larruga.— D. Ventura Ateza. — D. José Soler.— D. Miguel Echinique. — D. Antonio Lajíeña. — D. Baltasar Barragan. — D. Joa­ quín Palacios.— D. Baltasar Val. — D. Mariano Ramírez.-- D. Lo­ renzo Puchol. — D. Vicente Laborda. — D. Antonio Vicente.— D. Vicente Puchol. — D. Julián Navarrete. — D.…</t>
  </si>
  <si>
    <t>Joan</t>
  </si>
  <si>
    <t>n) , general y edecán del Gomales Arnaud ( D. Vicente), secretario Reí. del consejo de Estido. Mariner ( D. Josef) , sargenta t .° del bar Guerrero ( D Joan), capitán del regimien­ tallón de infantería ligera ruin. 1.° to ruin. 2.u, infantería de línea. Mauri ( D. J uan ). Gcj é, coronel de volteadores de la guar­ Marquiua (L…</t>
  </si>
  <si>
    <t>onio ) , gefe de división en Thibauz, tesorero de la corona. el ministerio de Negocios extrangeros. Turdonnet ( D. Agustín), comandante de Quintano ( D. Joan ) , «sendero del Rei. esquadron. Rapatei, gefe de esquadron de los caballos Valguárnera (D. Juan), comandante de ligeros de la gnardia real. esquadr &gt;n. Rastignae, escud…</t>
  </si>
  <si>
    <t>casa Pina y Ruiz (D. Juan de), intendente de consular del Imperio francés el 1j de mar­ - exército. zo del año próximo de 1810, con el fin de Pricfc (D. Joan ) , capitán del regimiento acordar lo que tengan por conveniente. Real Extrangero. Ramírez de Arellano (D. Cayetano) , gefe de batallón del regimiento Josef Napo­ En (a …</t>
  </si>
  <si>
    <t>de de Wallis, gobernador civil de aquel Los franceses han derado sin demoler reino. «na pane de la,s fortificaciones,; pero según Los feld-mariscales príncipe Joan de todas las apariencias el gobierno austríaco Lichtemtein y conde Colloredo son ahora mandará dérribar las que han quedado, pues presidentes del consejo áulico de…</t>
  </si>
  <si>
    <t>Joaqnin</t>
  </si>
  <si>
    <t>rt. 11. Aquellos que sin ser emplea­ »»Hallándose vacante la silla episcopal dos por Nos pertenezcan hayan pertene­ &lt;5 de Huesca por fallecimiento de D. Joaqnin cido ¿ qualquiera corporación» en. cuya ra­ Sánchez de Cntanda» y atendiendo á las zón han debido prestar el juramento citado»: recomendables prendas de D. Miguel de …</t>
  </si>
  <si>
    <t>Joaquín</t>
  </si>
  <si>
    <t>n notado movimiento alguno de tropas. El Duque de Campo Chiaro espera aquí nuevas órdenes, y parece que la exaltación al trono de Ñapóles de S. M. el Rey Joaquín, se ha hecho saber á la corte de Viena mucho mas tarde de lo que se creía, por io quai dicho mi­ nistro no podrá pasar á aquella capital hasta que la Corte haya resp…</t>
  </si>
  <si>
    <t>miento doi -fe. cr Francisco* Trillo de Soto. =—} uan de Espina. = Diego Ponz y A ce ved o. = D. Alonso Rámonlsr D. Mateo.Payo. ezD. Anéonio Gil. s= ¡D. Joaquín de laqTorre.er D.^ntonió Pandek). = Josef Santa María. =: Bernardode GasTro. sr^Josef 'Roig. rrCristó* bal Conde, El. conde de / San Juan.—Francisco Jaeobo Acevedo. =…</t>
  </si>
  <si>
    <t>nde ncia Me D» Joaquín María SoteU. jNum. &amp;v:5&gt; •Carta del ¿Ge*eral Z). Gregorio Me la Cuesta. Excitk&gt;. Sr. ~ ¡Dirijo á \V. E. &lt;el adjunto pliego que D. Joaquín .María Sordo n.e lia dirigido ¿esta mañana para el ;S¿rmo, Sr. ¿Preside* te;por ¿medio de nuestras avanzadas , con •el &lt;.í5eio original que (me escribe;; y según me p…</t>
  </si>
  <si>
    <t>es males ? Es bien claro qne no te de reales guardias. Walotias , D. Félix queda otro arbitrio sino forzar la indecisión, Palacios, D. Pedro Cendeja, D. Joaquín cerrar la puerta ’á todo vano efugio ó res­ de Osés, D. Matías de la Torre y D. Fran­ tricción de la cavilosidad, precisar á que cisco. Xavier Vidarte: y se han condu…</t>
  </si>
  <si>
    <t>stro- compa­ triota-y compañero de armas, —El-marones de la Romana.” Manrcsu 20 de agostoi Escriben de las inmediaciones de Ge­ rona que el intrépido D. Joaquín ibañez. barón do Eróles,, ha</t>
  </si>
  <si>
    <t>nte S. M. Cckens, Teivere y Fiesinga. ha venido en nombrar adjuntos al intenden­ Es de advertir que quando se presentó te de la provincia de Madrid á D. Joaquín la esquadra enemiga delante de Eleíinga ei Bernardo Cantero y á D. Manuel Fraquio.</t>
  </si>
  <si>
    <t>Juan), sargento i.° del Real Colonna (el conde), intendente de Soria. Extrangero. Colonna (D. Marco Antonio), montero. Gainza ( D. Luis). Corbalan ( D. Joaquín), coronel del regi­ Galdiano (D. Josef María), regente de la miento núm. i.° audiencia de Navarra. Cornide (D. Antonio), mayor del regi­ Guillet, gefe de batallón de l…</t>
  </si>
  <si>
    <t>nt ■Tonnerre , coronel y edecán. — Colonna , escudero. — Colonna -( el conde ) intendente de Soria. — Colonna (D. Marco Antonio) montero. — Corbalan (D. Joaquín) coronel del regimiento núme­ ro i. — Cornide (D. Antonio) mayor del regimiento núm.- 2. — Cortinez (D. Ignacio) capitán del regimiento núm. 1. — Cor-</t>
  </si>
  <si>
    <t>cio de) , oficial Lasserre (D. Marcial ) , subteniente de ca­ en el ministerio de Negocios extranballos ligeros de La guardia real. geros. Magallon ( D. Joaquín ) , capitán de caba­ Zegers ( D. Francisco ) , oficial en el minis­ llería de líoea. terio secretaria de Estado. Mardaga ( D. Andrés ), brigadier de caba­ art. ir. Nu…</t>
  </si>
  <si>
    <t>D¿Fermín),mariscal de campo, y ■ Estado. - nuestro edecán. . Romero (D. Josef), director de caminos. Momehermoso ( marques de), primer -gen* Sdteio ( D. Joaquín .'María) , consejero de tiihombre de cuñará. &gt; Estado. ■&gt; .. Mora y Lomas (DJ Pedro), consejero de ART. n. Nuestros gran canciller y gran •Estado. ' tesorero de la Or…</t>
  </si>
  <si>
    <t>Joaquin, José</t>
  </si>
  <si>
    <t>José Joaquin</t>
  </si>
  <si>
    <t>rimer gentilhombre de cámara. — Monval, xefe de esquadron de la artillería de la guardia real. — Mora y Lomas (D. Pedro) consejero de Estado. —Moral (D. José Joaquin). — Mcradillo (D. Francisco Ignacio) regente de la chancillería de Valladadolid. — Muzquiz (Marques D. Ignacio) consejero de Estado.” “Navarro ( D. José ) tenien…</t>
  </si>
  <si>
    <t>Joaquina</t>
  </si>
  <si>
    <t>icia de los prelados diocesanos, y de­ de abandonar á su rapacidad todo quinto mas requisitos para percibir la pensión ali­ llevan. Pocos dias há qne Doña Joaquina menticia de zoo ducados anuales &amp;. de Val, viuda de un oficial militar espa­ Poruña equivocación involuntaria se ha ñol , que ha muerto en esta guerra en él puesto…</t>
  </si>
  <si>
    <t>Jones, Féíix</t>
  </si>
  <si>
    <t>Féíix Jones</t>
  </si>
  <si>
    <t>. para su inteligencia y la de los interesados , en contestación de su papel de i.° del corriente.znSevilla 3 de marzo de 1809.“Martin de Garay. ~ A. D. Féíix Jones. Parte iado por el Tiuque de Albur quer que al Conde de Carteojal, detallándole la acción del 21 de febrero últi mo sobre Consuegra. Excmo. Sr.~ El continuo movim…</t>
  </si>
  <si>
    <t>Jones, Félix</t>
  </si>
  <si>
    <t>Félix Jones</t>
  </si>
  <si>
    <t>al Gobierno Supremo de - la Nación, y á la faz del mundo.nzNro. $r. "guárde á - V.\ S. muchos años. Cá*diz i.° de marzo de 1809.:= Josef Mallá.~zzSr, D. Félix Jones. La Representación arriba citada del vecindario de Cádiz. • Los Vocales dé todos los barrios de esta ciudad ea re­ presentación de.:su vecindario, á vista de lo o…</t>
  </si>
  <si>
    <t>que traía para el raarqnes deVillel de par­ ma adjunta publicada á nombre del go­ te de la junta central, de que el es indivi­ bernador D. Félix Jones, y del guardián duo. No contentos con esto prendieron al de Capuchinos Fr. Mariano de Sevilla. mismo marques, y le llevaron á la cárcel, ,,Los que reflexionan sobre los sucesos…</t>
  </si>
  <si>
    <t>Jopfcf</t>
  </si>
  <si>
    <t>ndamos; 4o debeis par­ ticularmente á vuestra patria ,en premio de la confianza que .cié vos hace. El carácter franco t leal y bienhechor de S. M. el Rey Jopfcf es para -vos y vuestros compatriotas el garante mas seguro de quanto debeis prometeros. Por lo que hace á míf pe estimaré feliz si logro ser un intermediario útil ent…</t>
  </si>
  <si>
    <t>Jorge</t>
  </si>
  <si>
    <t>las Indias. Mariano Luis de Urquijo." Hemos decretado y decretamos lo si­ guiente: . Don Josef Napoleón por la gracia de - articulo i. ,,Nombramos á D. Jorge Dios y por la constitución del estado, Rei , vicario general que ha sido de! órdeu B-EI.de las Kspañas y de las Indias. de S. Agustín , por nuestro consejero de Hemos de…</t>
  </si>
  <si>
    <t>capitán de Redondo ( D. Antonio), subteniente del caballería. regimiento núm. 2.°, infantería de línea. V-n- Halen (D. Juan), oficial de orde­ Rei ( D. Jorge), consejero de Estado. nanza. Richer (D. Nicolás), teniente del regi­ Vázquez (D. Juan), capitán del regi­ miento Real Extrangero. miento núm. i'.°, infantería de línea.…</t>
  </si>
  <si>
    <t>520 dia reaL — Rastigñae , escudero del rey. — Redondo (D. Antonio) subteniente del regimiento núm¡ 2 infantería de línea. — Rey (D. Jorge) consejero de Estado. — Riclier (D. Nicolás) teniente del re­ gimiento real extrangero. — Rivacoba (D. Alexandro) capitán director de la fábrica de Placencia. — Roa (D. Rafael) cabo pri­ me</t>
  </si>
  <si>
    <t>Méndez Pacheco (D. Agustín), canónigo Los Señores de Segovia. Alcedo ( D. Antonio ) , mariscal de campo. Mevolhon (D. Gaspar), comandante de: Amichd (D. Jorge), oficial del regimiento esquadron. Real Extrangero. Morí ( O. Carlos ) , teniente general. Balbueoa (D. Josef) , capitán de caballería. Orozco (D. Nicolás Blasco) , nu…</t>
  </si>
  <si>
    <t>D. Agustín) , gefe de batallón del Lebrón (D. Carlos), capitán del regimien- regimiento Real Extrangero. , to núm. i." infantería de línea. Traxler (D. Jorge) , coronel de infantería. Leonard (D. Carlos), capitán del regi­ T’Serclaes (D. Cirios), coronel de infan­ miento núm. i.° brigada Irlandesa. tería. Makaruff (Ignacio ) …</t>
  </si>
  <si>
    <t>Jorge, Czerni</t>
  </si>
  <si>
    <t>Czerni Jorge</t>
  </si>
  <si>
    <t>771</t>
  </si>
  <si>
    <t>Nám. 167 771 GAZETA DE MADRID DEL VIERNES 16 DE JUNIO DE 1809. i SUECIA. órden del general en gefe Czerni- Jorge pa­ ra ponerse en marcha; y todos los cuerpos Estockolmo 11 de mayo. están ya en movimiento por quatro direc­ i . El 6 del corriente los estados reunidos ciones , á saber, hacia Drina, Nowibasar, en ;la dieta votar</t>
  </si>
  <si>
    <t>Jos</t>
  </si>
  <si>
    <t>feliz arribo , para lo que nombró á sus individuos los Sres* Dr. D. Antonio Cabré* ra , canónigo magistral de aquella Sta. Iglesia , y el brl* gadier D. Jos.f Alvarez Campana , teniente de Rey de la misma ciudad. El 6 del que-corre se presentaron di* ch os Sres. á S. A. S. el Sr, conde de Al tararira, vice­ presidente de la J…</t>
  </si>
  <si>
    <t>ano mayor del hospital del Buen Suceso , 6o rs. = El P. Fr. Pablo Carmena , Carmelita calza­ do , 160 rs. rzz D. Manuel María Adriaensen , 200 rs. rz D. Jos ír f Antonio Diez Martínez, 1200 rs. zr: D. Gabriel Gonzá­ lez , 60 rs. = D. Francisco García , por una vez , 60 rs.trrD. Josef Espinosa , ídem , 300 rs. = D. Francisco X…</t>
  </si>
  <si>
    <t>e el tér­ mino debe empezar ú correr desde el día en que se inserte en la Gazeta del Gobierno y en Ja de Valencia. Libros* ¿ Gritos de Madrid cautivo d Jos pueblos de España : un qua¿ferno en 4.0 impreso con permiso superior en la imprenta ce Hidalgo y se vende en el despacho principal de la Ga­ zeta del Gdbierno, calle de Ge…</t>
  </si>
  <si>
    <t>nzo) , regidor de Madrid, Mora y Lomas ( D. Pedro) , consejero dt lsia (D. Pedo) , oficial primero en el mi­ Estado. nisterio de lo Interior. Moral ( D. Jos . f Joaquín). J ¡cquot ( D. Juan), ea£ ira i del Real Ex- Moradil.o (D. Francisco Ignacio), regente Tr..ngero. de la chancilleria de Vailad.úid. .Joven kíe Salas ( D. Jos…</t>
  </si>
  <si>
    <t>Joscf</t>
  </si>
  <si>
    <t>de que hecha con el mejor órden posible, preten­ al fin la España toda ha de reconocer por den darla un carácter de ferocidad, que su Soberano al REI D. Joscf i; que esto se hace estremecer al hombre mas insensible, verificaría mui luego si solamente hubiera que apenas se haría creíble entre los cari­ de combatirse de exércit…</t>
  </si>
  <si>
    <t>José</t>
  </si>
  <si>
    <t>Gaceta de Madrid n.º 55</t>
  </si>
  <si>
    <t>orriente se cantó en la ígreria1 catedral de esta ciu­ dad un solemne Te Deum en acción de gracias por la entrada que hizo en Madrid nuestro Soberano D. José f Napoleón 1, y por haber sido arrojados de la península los exércitos ingleses por lasarmas victoriosas de S. M. el Emperador y Rei. Asistieron á este acto religioso eí…</t>
  </si>
  <si>
    <t>ito, irá acompasa io dei gran duque Constantino, y de una comitiva muy numerosa. Las gazetas de Madrid nos hablan de los pequeños viag.es que hace el rey José co;i el obgeto de recibir homenago de sus vasallos ; y que en efecto estos se le presentan al fren­ te del clero y oficiales de justicia , manifestando los mayores tran…</t>
  </si>
  <si>
    <t>scripción y confiscación de bienes.. Conformándose con este principio el general Suchet, que se titula gobernador de, Aragón y comisario regio por el rey José, ha expedido un decreto, por el que se mandan sequestrar todos los bienes y pertenencias de algunos patriotas aragoneses ; entre ellos el Sr. D. Martin de Garay, D. Val…</t>
  </si>
  <si>
    <t>170</t>
  </si>
  <si>
    <t>bridad del armisticio con Austria. Al lado de Súchel y de la piaría mayor de sus bandidos estaban colocados los mi­ nistros de la real audiencia [del rey José). El obispo auxiliar oji­ éis , como lo ha tornado de costumbre para agasajar á esos satélites del tirano , que se mofan déla religión y de los obispos. Los inmorta­ le…</t>
  </si>
  <si>
    <t>e Hamburgo ó Lubéck, baxo el título burlesco de ciu­ dad imperial, libreB NOTICIAS DE ESPAÑA. Madrid 8 de setiembre. En los dias últimos de agosto el rey José desempeñó los deberes de legislador de sus reyncrs imagina-* rios , publicando una infinidad de decretos de la mayor trascen­ dencia en el gobierno, y en la suerte de v…</t>
  </si>
  <si>
    <t>ste decreto no se comprehénden todos los que, gozando anteriormen­ te'de grandeza ó de título , estuviesen empleados en destinos por nombramiento del rey José. — III.° Todos los empleados en qaalqüier ramo de la administración civil y judicial dej rey no , y los militares que no hubiesen sido nombrados especíalas en te por el…</t>
  </si>
  <si>
    <t>guido en beneficio detestado : ios vales reales-se rémkiráh á Madrid , y solo correrán después da revalidados , poniendo en ellos un sello negro : el rey José , empero, indemnizará á los que justifiquen no haber tomado parte en los disturbios políticos, y ha­ ber procurado resistirlos, ó habbr padecido por ellos. (i) Sin emba…</t>
  </si>
  <si>
    <t>ciado posteriormente sus destinos; como aparecerá comparando las listas anteriores de los individuos de las secretarias con las que ahora reconoce el rey José.</t>
  </si>
  <si>
    <t>Bautista Sauvinet y D. Juan Agustín Ezterripa oficiales primeros, y á D. Francisco Zegers oficial segundo. Por otro decreto de 1:° de setiembre S. M. D. José ha nombra­ do en el ministerio de policía á D. José Mamerto Gome* Hermosiila xefe de división ; á D. José Montero , D. Simón del Castiiio, D. Cándido Revenga, D. Simón F…</t>
  </si>
  <si>
    <t>rpo, son dignos délos mayores elogios. También lo son los somatenes de Camprodon y su comandante D. Miguel Malety el dé Olot coa su comandante el Dr. D. José</t>
  </si>
  <si>
    <t>o sobre las armas, y despaché una» guerrillas para que la atacasen, mientras despachaba tres com­ pañías del tercio de Figueras al mando del teniente D. José .Btiach , con el fin de apoderarse de las alturas de mi derecha llamadas de S. Grau , y observasen sí el enemigo intentaba ata­ carme por dicho punto ; pero habiendo sab…</t>
  </si>
  <si>
    <t>les insurgentes llegarán á.ser soldados terribles.” “ La seguridad que se disfruta en .Madrid es muy precaria ; y agüero muy mal de ella , si el buen rey José.permanece aquí , y si ia guerra del norte ño permite venir al emperador-, ó enviar tro­ pas suficientes. Sin contradicción es esta la guerra mas sangrien­ ta que han te…</t>
  </si>
  <si>
    <t>enemigo es de bastante consi­ deración. D. José Manso , capitán de migueletes del. tercio de Berga ,. ha dado parte con fecha del mismo 26 al citado D. José , de Oizinellas, que sus guerrillas se habían tiroteado con las enemigas en las inme­ diaciones de S. -Feliu , y que al mismo tiempo qué los franceses com­ batían con nue…</t>
  </si>
  <si>
    <t>eses han apresado, ia fragata Casct‘atero.,. procedente- de- Rueños*-Ay res,, y enviada por Liniers. Ve­ rán cargada de mucha, suma de dinero para eL rey José, á quien</t>
  </si>
  <si>
    <t>­ tander. — Ariza ( D. Nicolás) ayudante del batallón de in­ fantería ligera , núm. 1. — Arribas ( D. Francisco) arcediano de Burgos. — Astigarraga ( D. José ) capitán de Navio.” “Balestrier ( D. Guillermo ) mayor del regimiento núm. 1, brigada irlandesa. — Bendaña ( marques ) gentilhombre de Cá(l) Yéase lo que diximos sobre …</t>
  </si>
  <si>
    <t>, mayor de volteadores de la guardia real. — Bravo (D. Tadeo) regidor de Madrid. — Brousse , mayor de caballos ligeros de la guardia real.” “Caamano (D. José ) ministro en Suiza. — Calvo (D. Ignacio) capitán de caballería. — Cambronero ( D. Manuel ) consejero de Estado. — Capón (D. Francisco ) granadero del regimiento de infa…</t>
  </si>
  <si>
    <t>Eche­ verría ( D. Cipriano ) intendente de Exército. — Escolari ( D. Pe­ dro ) cabo primero del regimiento núm. 1 , infantería de línea. — Escudero (D. José) subteniente del núm. 2. — Espert, coro­ nel y mayordomo del rey.—Espinosa (D. Manuel Sixto ) con­ sejero de Estado. — Estala ( D. Pedro) canónigo de Toleda” : Franceschi…</t>
  </si>
  <si>
    <t>5"18 ros de la guardia. — Gómez (D. Valerio} sargento primero del regimiento núm. I , infantería de línea. —Gómez Hermosi11a ( D. José) xefe de división en el ministerio de Policía. — Gómez de Teran ( D. Leonardo ) ministro en Holanda. — Gó­ mez de Ayala ( D. Pió) secretario de la legación en Holan­ da.—González (D. César)</t>
  </si>
  <si>
    <t>fie (D. Fermín) general y edecán del rey. — Mariner (D. José) sargento primero del batallón de infantería: ligera núm i.— Mauri (D. Juan). — Marquina (D. José) presidente de la junta de negocios contenciosos. — Mazo (D. Francisco) ayudante del re­ gi</t>
  </si>
  <si>
    <t>oba (D. Alexandro) capitán director de la fábrica de Placencia. — Roa (D. Rafael) cabo pri­ mero del regimiento núm. 1 infantería de línea. — Romero (D. José) sargento segundo del batallón núm. 1 infantería ligera. — Romero (D. Santiago) consejero de Estado. — Roederer, coronel y edecán del rey. — Rutiman (D. José) comandante…</t>
  </si>
  <si>
    <t>les.” En las gazetas del mismo gobierno intruso desde el 28 de octubre hasta el 5 de noviembre se anuncia de oficio, que los consejeros de estado del rey José, marques de Ba amar, D. Manuel Cambronera y D. Bernardo Iriarte, están encarga­ dos de examinar las solicitudes relativas á la conservación de títulos de grandeza y nob…</t>
  </si>
  <si>
    <t>$66 combinación de acontecimientos puede ya detener el esta­ blecimiento del rey José. Conocéis las inmensas fuerzas cié que dispone, el emperador Napoleón. El mismo golpe que ha arruinado la Austria, ha roto entre vosotros todos los re­ sortes de la insurrección, vuestro gr</t>
  </si>
  <si>
    <t>ra desmentir á la faz del mundo por todos los siglos la negra y horrible calumnia que en el próximo mes de marzo publicó en Madrid el intruso y falaz rey José , estampan­ do para alucinar á las provincias de la península y en toda Euro­ pa , que este reyno estaba ardiendo en divisiones intestinas. ¡ Mal­ vados ! La sangre esp…</t>
  </si>
  <si>
    <t>la Inglaterra , conducidas siempre por principios de derecho y elevación. No du­ déis , Sr. comandante, de la próxima ruina y total exter­ minio del rey José y sus exércitos de la España , á no servirles esta de sepulcro. — Seria un imprudente si con­ solase al conde Suchet viéndome salir del error en que me considera. Apreci…</t>
  </si>
  <si>
    <t>iosos dones para sostener la causa santa de nuestra libertad. En el monitor de 16 de noviembre, hablando de las grandes pro­ videncias tomadas por el rey José para mejorar en España la ad­ ministración de aduanas, añade : “que en los puertos de Bilbao, S. Sebastian y Pasages se poadrán oficinas para el comercio extrangero y d…</t>
  </si>
  <si>
    <t>633</t>
  </si>
  <si>
    <t>s de Stockolmo, Copenhague , Munick y Cassel. — Por todo el mes de diciembre se espera en Berlín á la familia real. suiza , hasta 16 de noviembre. El rey José {que los frkneeses lla­ man rey de España/ no mantendrá hasta nueva brden ministro en los Cantones. El señor Caamaño , que desempeñaba este encar­ go , vive en Berna co…</t>
  </si>
  <si>
    <t>Josef</t>
  </si>
  <si>
    <t>a en Vitoria por decreto de 20 de octubre de i8ot« á los Excmos. Sres. El duque de Campo Alange, espitan general, gran canciller de la mis­ ma orden; D. Josef deMazarredo, capitán general, gran tesorero; D. Gon* zalo O-Farril, teniente general;, el duque de S. Germán, capitart general de la guardia; el duque de Cotadiüa, ídem…</t>
  </si>
  <si>
    <t>Gaceta de Madrid n.º 41</t>
  </si>
  <si>
    <t>217</t>
  </si>
  <si>
    <t>V. M. se digne por un efecto de su augusta beneficencia res­ tituir la felicidad á esta capital y á su distrito, concediéndole la presencia de su REI D. Josef 1, á fin de que baxo su gobierno disfrutemos la tran­ quilidad y las ventajas que nos esperan, y de que tanto necesita la nack» española en las circunstancias actuales.…</t>
  </si>
  <si>
    <t>118</t>
  </si>
  <si>
    <t>tratado á esta capital ^libertándola de las desgracias que la amenazaban; y lo segundo pa­ ra prestar el juramento de fidelidad y obediencia á.su REI D. Josef i. No­ sotros tenemos él honor de presentar hoi á V. M. I. y R. el registro que contiene 27500 firmas de los padres ^y cabezas de familia de todas las casas de dá’capit…</t>
  </si>
  <si>
    <t>descalabro que han sufrido en la batalla del ió. Los oficíales de mar y tierra han prestado con el mayor entusiasmo el juramento de fidelidad al REI D. Josef 1. Es difícil poder formar idea de los ultrajes, que cuentan haber sufrido por parte de la ínfima clase del pue­ blo y por los apasionados entusiastas de los ingleses. E…</t>
  </si>
  <si>
    <t>il á principios de noviembre. A este tiempo se sabia ya allí por medio del capitán Smith , que los despachos de España enviados á Buenos-ayres por el rey Josef, ha bian sido interceptados, y arrestados sus emisarios. Saciar­ se también haberse abierto subscripciones en Buenos-Ayres ea favor de la causa del Rey legítimo , y qu…</t>
  </si>
  <si>
    <t>ue ni toda España, como dicen aquellos viles gazeteros, ni un solo pueblo, ni un solo hom­ bre conoce ni reconoce la necesidad de obedecer al nue­ vo Rey Josef: serán 200 españoles renegados, impíos, 4 inmorales, conquistados antes por las lecturas francesas, y ahora por los deseos de venganza, ó esperanza de fortu • na, los …</t>
  </si>
  <si>
    <t>quierda ; de forma que está apoyada á su secretaría del ministerio de Indias. derecha contra el camino, y á su izquierda art. iv. El citado botánico D. Josef contra el Huerba. El enemigo ha disparado Mociño &gt; como único individuo que ha que­ contra este punto algunos cañonazos. dado de dicha expedición, continuará tra­ , Ataq…</t>
  </si>
  <si>
    <t>quísimos caudales para sostener nuestra defensa^ acabarán de llenar la copa de amargo veneno que beberá el tirano de la Europa, y apurarán el intruso Rey Josef f siis infames ministros. El General en Xefe del exército de Extremadura Don Gregorio de la Cuesta, con fecha de i 2 del corriente ha da­ do cuenta de que D. Josef Gut…</t>
  </si>
  <si>
    <t>omo hermanos los que poco an­ y D. Antonio Blasco , alcaldes del crimen tes se batían como enemigos : Traternita- de ella , y conferir sus resultas á D. Josef tem diiigite. ; Habéis oido , ministros santos Cejudo de Aldana, sin perjuicio de conti­ de nuestro Dios, la doctrina de la divina nuar sirviendo por ahora el corregimi…</t>
  </si>
  <si>
    <t>e ei Colegio militar . de ia Orden de Alcántara y su Rector actual D. Ignacio Agíanlo Pizarra , no solamente no Iiiu jurado ni Teco nocido al intruso Rey Josef, siao que á la entrad** y ceremonia • de sus G^aerairs en? Salamanca';, yá di­ cho Colólo'y Rrttor estaban estabíéciios y domicitiados por la Justicia de ia Vilía dtl …</t>
  </si>
  <si>
    <t>l no podrá engañarse el cónsul; y lejos de vacilar, me apresuro derechos de nuestro augusto Soberano el ¿ destruir confidencialmente los informes Sr. D. Josef t. que pueda haber remitido á Bayona con En efecto, no solamente se ha formado este, motivo. El parlamentario ha sido en­ un cuerpo de 615 hombres de infantería viado p…</t>
  </si>
  <si>
    <t>an sus amigos. En .fin -Sr. General, yo estaré muy dispuesto á respetar los humanos y filosóficos principios,, que -según nos decís , profesa vuestro Rey Josef, quando vea que ausentándose de nuestro territorio , reconozca , que una Nación, cuya desolación se hace actualmente á su nombre, por vuestros sol­ dados , no es el te…</t>
  </si>
  <si>
    <t>Joséf</t>
  </si>
  <si>
    <t>ción liberal que le ha sido da­ da por S¿ M. el Emperador, y de que sale responsable el' carácter justo ,• leal y generoso de su augusto hermano ©1 -¿Rey Joséf? . Os es fácil , Señor , adquirir el titulo mas fcello y dulce á los ojos cíe la humanidad y al reconqeigniento de vuestra patria, empleando la influencia que vues­ tr…</t>
  </si>
  <si>
    <t>a han. sumergido en un- cúmulo' de males , de que debe libertarla’ el esfuerzo de sus hijos. Sea enhorabuena leal- y benéfico el carácter de vuestro1 Rey Josef ; estas- virtudes- podrá exercerlas en aquellos payses en que lo llamen- á reynar los derechos de su familia , ó lá voluntad de los pueblos. En quanto á mí, jamas reco…</t>
  </si>
  <si>
    <t>un to­ do á los verdaderos: amigos dé la España. ¿Que pueden de^ sear mas feliz y conveniente' que la constitución que les ase­ gura el gobierno dél Rey Josef? No retardéis por mas tiem­ po los bienes que: os promete , y de los que os es un seguro&gt; garante el carácter personal de este Príncipe. A un? hombre como' vos pertenec…</t>
  </si>
  <si>
    <t>'6i r SEVILLA. Noticiosa la Suprema Junta Gubernativa del Reyno de que por los Ministros del intruso Rey Josef se han nom­ brado en Madrid nuevos Directores del Banco, y de la Compañía • de Filipinas,, y se les Óbliga á empeñar el cré­ dito de estos establecimientos girando letras sobre el extrangero., y aun sobre la América …</t>
  </si>
  <si>
    <t>inducir á estos á la rebelión , los* pérfidos el Emperador Josef ti, suscitó á los holan­ agentes de la seducción les aseguraban que deses en 1784 para la abertura del Escal­ 30© austríacos vendrían á sostenérlós.Peta da* y en seguida salió de Amberes para</t>
  </si>
  <si>
    <t>de S. M. I. do mas allá del puente del Arzobispo la reta­ de todas las Rusias cerca del Rei-de-Es­ guardia del exército ingles;la han destruido paña D. Josef i; el señor de Salha, gene­ enteramente, y la han cogido 30 cañones, ral de brigada , mayordomo mayor de S. _M. sus caxas de municiones, una gran parte de ta Reina de We…</t>
  </si>
  <si>
    <t>esgracia por su par¡te que la de 2 (Caballos heridos., sien­ do la del enemigo 9- muertos y 3 heridas : esto sin haber podida contar con la tropa de: D. Josef.Felipe Mangudo.” “¿ En la misma hora , y; desde. Belinchon , recibo parte del te­ niente. D. Alfonso Octavio , que habiendo atacado con 80 hom­ bres a la barca de Villa…</t>
  </si>
  <si>
    <t>gefe de di visión D. Domingo Ven— £&gt;. Alonso Tovar y Ximenez y JD. .Anto-, goa lo que pertenece á lo personal y ma­ nio Benito gefes de .división; á D. Josef terial dé artillería y de ingenieros, itinera­ Ramón de Huertas y D.-Manuel Jápeegui rios para marchas de tropas y de oñciales oficiales^prinxeros; á .p. Juan Pereira, D…</t>
  </si>
  <si>
    <t>nio Zea y D. Cristóbal Cla- nomía rnral, los mercados y ferias &amp;c.; y dera. en ñn ; quanto tiene relación con las pa­ El gefe de la primera' división D. Josef tentes de descubrimientos, régimen de obre­ María Lanz tiene á su cargo todo lo relati­ ros , aprendices y maestros, expediciones vo á la administración civil, y á la p…</t>
  </si>
  <si>
    <t>ación holandesa da de este modo grandes bandas de la real orden Española al en las presentes circunstancias pruebas nada duque del Campo de Alanga, á D. Josef equívocas de su amor y fidelidad hacia su Mszsrredo , duque de Frias, marques de Soberano. Valdecarz-ma , principe Maserano , marques REINO DE ÑAPOLES. de Branciforte, …</t>
  </si>
  <si>
    <t>Francia; y si podéis atestiguar la verdad mos decretado y decretamos lo siguieuteti de lo que acabais de decirme , os daré li­ articulo t. Eximimos á D. Josef de bertad y la escolta necesaria p3ra que po­ Espinosa del cargo de director del depósi-v dáis volver con toda seguridad á vuestro to hidrográfico en esta villa de Madr…</t>
  </si>
  <si>
    <t>iii. Quedan nombrada* profeso­ y pasantes de los mismos profesores D. Ma­ res de las escuelas públicas de primeras le­ nuel Solis, B. Pedro Romeral , D. Josef tras del mismo colegio D. Antonio Ortega, Ortega Manceñido, D..Francisco de Cas­ D. Santiago Aívarez, D. Mariano Molla, tro, D. Antonio Torremocha y D. Ale— D. Julián R…</t>
  </si>
  <si>
    <t>te. Se asegura que S M. la E nperatriz lle­ Arribas (D. Fran- i-co) , arcediano de Burgo, gará hoi mismo, y que esperará aqbi á .S. M. Astigarrag.i (D. Josef). espitan de navin,1 e¡ Emperador , cuyo regreso se mira como Bdlesrrier (D. Guillermo ) ,ma vcr del re¡|’. mui próximo. La permanencia de SS. MM.II. miento i.úm. i.-, b…</t>
  </si>
  <si>
    <t>edro), cabo i.° del regi­ gimiento núm. r.°, brig.da irlandesa. miento núm. iinfantería de línea. Chamboran ( D. Moimes ), capitán del mis­ Escudero (D. Josef), subteniente del nú­ mo regimiento. mero 2.° Chelli (D. Miguel), gefe de batallón. Espert, coronel y mayordomo del Reí. Chevallier, gefe de batallón de la guardia Espi…</t>
  </si>
  <si>
    <t>Eugenio) , cirujano del regjipien-! Lirran ( D. Escol i .tico ). teniente del re— to Reai Extranjero. gimiento núm. r.0,:br-gada irandesa. Garrig* ( D. Josef) , alcalde de casa y corre* Lomb-rdi ( D. Francisco), oficial de orde— Gayé, gefe de esquadioa de caballos lige­ fie) fl Zd • ros de ía guardia. Í.P- Estanislao)., cons.…</t>
  </si>
  <si>
    <t>de la guardia real. Serbert (D. Lorenzo),' capitán del Real Paquiu, escudero del Reí. Extrangero. Pardo de Figueroa (D. Benito), ministro Silvestre (D. Josef) , tirador del regimien­ en Rnsia. to núm. i.°, infantería de línea. Paroise , primer médico de cámara. Soto-Mayor (duque), maestro de cere­ Pazos ( D. Domingo) , sargen…</t>
  </si>
  <si>
    <t>ayór y D. Josef Muntaner, y d« se­ guiente : , . gunda clase á D. Gerónimo Miro , D. Jo­ articulo 1. Andrés Alfonso Cho­ sef Pazos, D. Antonio Bodoi, D. Josef ya , D. Martín de V ¡líala*» D. Manuel Síl­ Barrera y D. Joaquin Frias. EN LA IMPRENTA REAL.</t>
  </si>
  <si>
    <t>on (D. Gaspar), comandante de: Amichd (D. Jorge), oficial del regimiento esquadron. Real Extrangero. Morí ( O. Carlos ) , teniente general. Balbueoa (D. Josef) , capitán de caballería. Orozco (D. Nicolás Blasco) , nuestro mi­ Barrachina (D. Josef)» teniente de grana­ nistro en Milán. deros del regimiento de infantería de lí—•…</t>
  </si>
  <si>
    <t>iente del re­ Rivas (D. Antonio Martin), corregidor de . gimiento Real Extrangero. Truxillo. Janoski (Alexandro), granadero del mis­ Roxas y Hierro ( D. Josef de) , del extin­ mo regimiento. guido consejo de Indias. Kaúfman (D. Francisco), capitán del pro­ St. Albín Durivoire........... comandante de pio regimiento. esqnadron…</t>
  </si>
  <si>
    <t>y-director de bienes nacionales. Melendeá Valdés (D. Juan) , consejero de Marie:(D¿Fermín),mariscal de campo, y ■ Estado. - nuestro edecán. . Romero (D. Josef), director de caminos. Momehermoso ( marques de), primer -gen* Sdteio ( D. Joaquín .'María) , consejero de tiihombre de cuñará. &gt; Estado. ■&gt; .. Mora y Lomas (DJ Pedro),…</t>
  </si>
  <si>
    <t>Josef, Pedro</t>
  </si>
  <si>
    <t>Pedro Josef</t>
  </si>
  <si>
    <t>es á los ciudadanos: no habrá ya esos misma, vacante por ascenso de D. Simón -estados parciales, tan pronto exagerados co­ Diez á canongía de ella: á D. Pedro Josef mo diminutos, siempre faltos, siempre in­ de Echevarría , presbítero, para la abadía exactos , y siempte arbitrarios. Sean quales de ía parroquia del lugar de Oll…</t>
  </si>
  <si>
    <t>Josefa</t>
  </si>
  <si>
    <t>mpleo desde hoy en cimentar sw verda­ dera felicidad. Oa presento una gloriosa carrera;; so.- dudo^ que acojáis con gusto la ocasión de ser. íitll al Rey Josefa y á. vuestros conciudadanos. Conocéis la fuerza y el nú­ mero de nuestros exércitos ; sabéis que el partido en que’ es halláis no ha obtenido la menor vislumbre de su…</t>
  </si>
  <si>
    <t>EertoI los oficiales franceses y alemanes, que mandaban; las trppap de.j, la guarnición de aquel puerto , brindó-uno de» los. primeros á la salud del Rey Josefa y al momento ma­ nifestaron lo£ segundos su determinación de no aceptar el brindis , mientras no se les~ asegurase que se haría, inme­ diatamente.-. qpspues el- mismo…</t>
  </si>
  <si>
    <t>Josefina</t>
  </si>
  <si>
    <t>18 de enero de 1809</t>
  </si>
  <si>
    <t>Gaceta de Madrid n.º 18</t>
  </si>
  <si>
    <t>ofrecer y regalar á S. M. el Emperador y Reí un yacht hermosísimo, amueblado y provisto de todos los aparejos necesarios. La embarcación nombrada la Emperatriz Josefina ,i que acaba de llegar de la Guadalupe á Burdeos, viene cargada con 100® libras de café» 8o$ de algodón, y 4® de cacao. • ; . } DECIMOOCTAVO DIARIO DEL EXERCI…</t>
  </si>
  <si>
    <t>desazonado; pero yo he procurado sosegarle, haciéndole presente la previsión de S. M. el Emperador. Entre las cartas interceptadas se halla una de la Emperatriz Josefina á Napoleón su esposo , en que le habla de las obras que se hacen en el palacio de las Tuileriás de. París, y de ios magníficos muebles, y de nuevo gusto con …</t>
  </si>
  <si>
    <t>JóséfJordán</t>
  </si>
  <si>
    <t>tima general , se ha servido ascender S. M. á Brigadieres á los Capitanes de navio D. Nicolás Viilalba , D. Juan de Pifia, D. Antonio Gómez Barreda , D. JóséfJordán, D. Ma­ nuel Posadas : á Capitanes de navio los de fragata D. Jo­ sef Mollineáo , D. Pedro Cabrera : á espitan de fragata el graduado de la misma clase D. Francis…</t>
  </si>
  <si>
    <t>Josela</t>
  </si>
  <si>
    <t>549</t>
  </si>
  <si>
    <t>arsovia z 1 de marzo. mi persona. Un conjunto de circunstancias Anteayer, con motivo de los dias de imperiosas impidió entonces satisfacer a S. M. la Emperatriz Josela, S. A. el prín­ vuestros deseos , cuya memoria será eter­ cipe ministro de la Guerra, los generales namente grata para mí, y estará siempre y todas las autorid…</t>
  </si>
  <si>
    <t>JoséRaniirez</t>
  </si>
  <si>
    <t>e. —Marques del Portago.—Marques de Lazan. — Con­ de del Montijo. — D. Antonio Samper. —D. Ramón ViJlaiba. — D. Lorenzo Caivo. — D. Antonio Valdés. — D. JoséRaniirez. — Marques de Revilla. — D. Luis Gonzalo. —- D Manuel de la Pe­ ña.— Dt Ignacio Antonio de Cortabarria.— D. Ramón Ger.— D. Francisco Xavier de Balmis. — D. Juan …</t>
  </si>
  <si>
    <t>Josif</t>
  </si>
  <si>
    <t>or el d¡:scontento &lt;]ue con su pleos respectivo,~, á s:J.ber: D. ]osif y Don conducta ha causado al Pllehle. de C:ídiz. Manuel de Heredi.:t. ~ d Lic. D. Josif de ~.Q Que mpuesto que d r!:."~contt!n(O Castro y Cubil/tri, y D. Jrlan de Dios de púhlico procede en ~ran p:lrt¿ de la demaLalz.:labuyu; que;: en caso que el pueblo ~¡…</t>
  </si>
  <si>
    <t>Jossef</t>
  </si>
  <si>
    <t>pues, la presencia de S. M. el Emperador no es necesaria, y un solo Teniente suyo bastará para acabar Jo que falta.—Por otra parte es probable que el Rey Jossef temará bien pronto las riendas del gobierno, y que su autoridad paternal dará á aquel desgraciad© pays la tranquilidad que nunca hubiera perdido si los estipendiaario…</t>
  </si>
  <si>
    <t>Jotef</t>
  </si>
  <si>
    <t>iondo y Berriola en sus ro­ las precauciones tomadas por los vireyes y bos y atrocidades. El-fiscal de la junta cri­ gobernadores respectivos. El Dr. D. Jotef minal extraordinaria D. Luis Arocena se de Flores, protomédico de Goatemala, suhalló preseote á esta prisión , y fue el au­ geto bien conocido en la república de las to…</t>
  </si>
  <si>
    <t>Jotra</t>
  </si>
  <si>
    <t>dicha cima un canon y un y señaladamente los coroneles Aigremont y ■obús, y batir desde allí el santuario d^ nues­ Konsioowskui, y el oficial español D. Jotra, señora del Tremedal , última esperanza sef Alcalde , que después de haberse some­ del pequeño cuerpo de exército de Villa- tido 4 su Soberano legítimo, pidió que se ca…</t>
  </si>
  <si>
    <t>Jouban, Juan Bautista</t>
  </si>
  <si>
    <t>Juan Bautista Jouban</t>
  </si>
  <si>
    <t>isco Grille 6 Brilieu : D. Andrés Borgas ó Bersi: Mar­ cos Andrés ó Andreu: Juana Basadre su muger: dos hijastros de dicho Andreu: D. Juan Berdalíes: D. Juan Bautista Jouban: Ma­ nuel Mantdian (alias Mojenja) : Juan Caula: José Benjamín: Jo­ sé Letre : Vicente Perez : Juan de Denis Mari: Froy'an de Pra­ do : D. Pedro Barrié :…</t>
  </si>
  <si>
    <t>Jourdan</t>
  </si>
  <si>
    <t>u Estado, mayor ; y en fin, Señor Miriscal , tendréis á bies en conseqüen Ja el recibir las órdenes de S. M. el Rey de Es­ paña , y entenderos con el Mariscal Jourdan hssta la vuelta del Emperador á Madrid, Et Príncipe de Neuf chatel, Ale­ jandro.** Por ércontexto de esta carta se ve que Josef, el augusto, hoy es Rey , y maña…</t>
  </si>
  <si>
    <t>omo esperamos, esta confederación , y que no vuelvan á ellos felices resultas. Acompañan á S. M. el se­ en el espacio de quatro semanas. Ha pasa­ ñor mariscal Jourdan, mayor general, «1 do mas adelante , y ha declarado que estas ministro de la Guerra, el general Dessoles, propiedades serán confiscadas á su tiempo el duque de …</t>
  </si>
  <si>
    <t>Gaceta de Madrid n.º 209 (extraordinaria)</t>
  </si>
  <si>
    <t>943</t>
  </si>
  <si>
    <t>XTRAORDINARIA DE MADRID DEL JUEVES 27 DE JULIO DE 1S09Hoi á las tres de la mañana ha llegado un edecán despachado del quarte! general de S. M. por el mariscal Jourdan , y ha traí­ do la noticia siguiente : Ei 26 de este mes S. M. al frente de los cuerpos primero y quarto, y de su reserva, ha encontrado el exército ingles, por…</t>
  </si>
  <si>
    <t>Jovellanos, Baltasar de Cienfuegos</t>
  </si>
  <si>
    <t>Baltasar de Cienfuegos Jovellanos</t>
  </si>
  <si>
    <t>2 27 con fecha de 3 de febrero, avisa desde F i güeras al Sr. D. Baltasar de Cienfuegos Jovellanos, secretario represen­ tante de ella, lo que sigue: , , No escribo de oficio los acontecimientos del dia de ayer, por- ponerme de acuerdo con el General Vorster ,. quien espera los partes de</t>
  </si>
  <si>
    <t>Jóven, Josef Ignacio</t>
  </si>
  <si>
    <t>Josef Ignacio Jóven</t>
  </si>
  <si>
    <t>os por el nuevo» y las sugestiones y fuego admira.” que soplaban los interesados en el desor­ den , produxeron en seguida la mas violen­ El limo. Sr. D. Josef Ignacio Jóven dt ta fermentación. La anarquía mas mons­ Salas por los individuos dei consejo de Es­ truosa prevaleció : los magistrados pruden­ tado. tes que solicitaro…</t>
  </si>
  <si>
    <t>Joyeuse, Villaret</t>
  </si>
  <si>
    <t>Villaret Joyeuse</t>
  </si>
  <si>
    <t>ficiales han sido muertos; y heridos Tr evito 20 de abril. el teniente coronel Packenham y muchos El quartel general de nuestras tropas oficiales. Ei general Villaret- Joyeuse se ha permanece aqui, y el enemigo se mantiene distinguido sobremanera en la defensa del detras del Piave. Ya ha experimentado por fuerte de Bourbon. 3…</t>
  </si>
  <si>
    <t>Jrlan</t>
  </si>
  <si>
    <t>Don conducta ha causado al Pllehle. de C:ídiz. Manuel de Heredi.:t. ~ d Lic. D. Josif de ~.Q Que mpuesto que d r!:."~contt!n(O Castro y Cubil/tri, y D. Jrlan de Dios de púhlico procede en ~ran p:lrt¿ de la demaLalz.:labuyu; que;: en caso que el pueblo ~¡add reserva q ill! se ha en¡ plca::io en la pujuzgue conveniente su primi…</t>
  </si>
  <si>
    <t>Ju, Juan</t>
  </si>
  <si>
    <t>Juan Ju</t>
  </si>
  <si>
    <t>s., por promoción de D. Juan Bazo y Berri á la de Lirha, a D. Juan de Cea ■: para la de Sta. Fe, vacante por falleeimiento de D. José Bazo y Berri, á D. Juan Ju­ rado, auditor que ftié cíela capitanía-general de Caracas-: para la plaza de oidor de Caracas, vacante por .muerte de D. Miguel .Aunóles, á.D. José Francisco Heredia…</t>
  </si>
  <si>
    <t>Juai</t>
  </si>
  <si>
    <t>argates, 1200; y ponchos , 64,. Representación escrita por D. Juan Escoiquiz : acusación y representación del ñscal Viegas : defensa de Escoiquiz por D. Juai de Madrid : piezas todas del proceso del Escorial, reunidas el un quaderno en 4.° Véndese á 10 rs. en la librería de Hidalgo. SEVILLA: EN LA IMPRENTA REAL.</t>
  </si>
  <si>
    <t>Juaillon, Vicente Josef</t>
  </si>
  <si>
    <t>Vicente Josef Juaillon</t>
  </si>
  <si>
    <t>ligera; á D. Domingo Vaiguarnera co­ habido gran patada en el patio del palacio mandante de esquadron de caballería de lí­ de las Tallerías. nea, y á D. Vicente Josef Juaillon subte­ La guardia imperial que estaba en Aus­ niente abanderado del segundo batallón del tria viene toda caminando hácia París, y regimiento nmn. 2° de…</t>
  </si>
  <si>
    <t>Juan</t>
  </si>
  <si>
    <t>o castillo todos los auxilios de, municiones- y. demas pertrechos, y de provisiones de bo­ ca para su . mayor defensa. A. las cinco de la tarde pidió D. Juan. Clarós. al Sr».Gobernador una compañía de miqueletes de Igualada,. de la guarnición de esta plaza, para reu­ niría con su; gente y; atacar al enemigo, á cuyo efecto di­…</t>
  </si>
  <si>
    <t>c* |e?oc £ pancisc" Xavier Caro. J Exc. Señor D. Lorenzo Bonn: z y (¿«imano* rv^^k.. fVExc. Señor Marques de la Puebla. a-.............. -\Exc. Señor D. Juan de Dios Kábé. Estremadura............ S *xc&gt; |e"ot £• ^Ia,rtin „de .?*'**• ^ Exc, Señor D. Félix Ovalle. Galicia y Exc. Señor Conde de Gimonde. ’**”**.............. ] Ex…</t>
  </si>
  <si>
    <t>da los sugetos si­ guientes : El corregidor D. Manuel Saenz de Buruaga; los individuos del ayunta­ miento D. Antonio Luengo Vázquez, regidor decano ; D. Juan de Dios Dáviia, regidor; D. Antonio Ovejero, regidor habilitado; D. Alonso Mar­ tin, id. , y D. Juan de la Cruz García Carpizo, procurador del comuh. De agregados á junt…</t>
  </si>
  <si>
    <t>tro REI; y persuadios que vuestro director general de Minas, y ministro de ia mas grande ínteres es que nosotros os im­ junta de Comercio y Moneda; y D. Juan pidamos el precipitaros en los horrores de Antonio Llórente, dignidad y canónigo de la revolución ; que os salvemos de una anar­ la santa iglesia metropolitana de Toledo…</t>
  </si>
  <si>
    <t>ército austríaco en Bo­ grandes preparativos para recibir á un gran hemia y en el Austria superior. El archi­ número de personages de la mas alta ce— duque Juan mandará el de la Carintia y de rarquía. Se cree que muchos Reyes y Prín­ la Carinóla. cipes de la confederación del Rin vendrán Entre las tropas que se reúnen en las …</t>
  </si>
  <si>
    <t>isv Na vane te , D. Manuel de Luengas : á Al-* féreces de navio los de fragata D. Josef de Tiscar, D. Sal­ vador Spadafora , D. Manuel Díaz Herrera , D. Juan Du­ ran : á Alférez de fragata fl guardia marina D. Ignacio «egra.</t>
  </si>
  <si>
    <t>o de dicho Ministerio en el Brasil á D. Luis Noeli, y Secretario Interino en Lisboa á D. Martin Folch. Con Real permiso ha establecido en esta ciudad D. Juan ce la Vega Camp'uzano, maestro de primeras letras la en­ señanza de sordomudos , lo que se avisa al público para que todos los que quieran aprovecharse de este estableci…</t>
  </si>
  <si>
    <t>ríacos antes que llegara Como todavía durará la avenida del Da­ un refuerzo numeroso enviado por el archi­ nubio hasta el 15 de junio , se ha pensado duque Juan , y que apenas pudo lograr el que para poder contar con la seguridad reunir los fugitivos. Hemos cogido 12 pie­ de los puentes, convenia clavar estacas en zas de arti…</t>
  </si>
  <si>
    <t>a seguridad que tienen en Suecia las educados, y á los sentimientos que dirigen propiedades inglesas, no consiente que nin­ á las gentes de honor. El príncipe Juan es gún buque nuestro entre en Gotenburgo ni el mismo que. en los campos de Hohenlinen qualquier otro puerto de aquel reino. Ni den mostró tanta impericia y tan poc…</t>
  </si>
  <si>
    <t>las ventas de fincas que se destinen para ex­ cesidad á D. Henrique m , nieto del bastar­ tinguirla, no será fuera del caso presentar do. Su biznieto D. Juan el n se vió forza­ un compendio histórico del modo con que do á aumentar esta deuda pública hasta el aquella se formó. exceso , para contemporizar con los devoraLos Reye…</t>
  </si>
  <si>
    <t>ualesquiera que hayan sido chispado de Pamplona, vacante por muer­ liechas las anteriores liquidaciones y califica­ te de D. Juan Josef Zudaire ; y á D. Juan ciones de los créditos, todo ha de pa'^ - nue­ Francisco Fresneda y Moros, sobdiácono, vamente por la vista de la liquidación: todo para una capellanía beneficial de la …</t>
  </si>
  <si>
    <t>as arriba de Bada, citan pasando en la actualidad , en las can­ con la esperaoza de reunirse con el archi­ sas que los motivaron , y que el éxito de­ duque Juan dando un gran rodeo. berá ser probablemente él1 mismo. El archiduque Fernaodo ha mandado *» El Danubio pasri siempre entre los an­ preparar raciones eo Teschen % y se…</t>
  </si>
  <si>
    <t>999</t>
  </si>
  <si>
    <t>"999 ' Eí, príncipe Juan de.Lichten'stéib , .qué ñeros, qne Tos ismaelitas enviaban baxo ha vuelto de Buda^, halsido-- presentado el pretextos diferentes con. la comisión secre­ día x8 á S. Mí.-, áquienha, entregado a</t>
  </si>
  <si>
    <t>eligió, y no diga que debe á otro go­ uardias Walonas, D. Francisco Xavier bierno lo que ha recibido del actual. Mani­ f Lzpeleta, D. Mariano Tejada, D. Juan ^íanuel Errazquin , y otros. fieste cada uno su modo de pensar y sus deseos, produzca los méritos y razones en t;:Él seminario sigue con toda tranquilidad, que se funda …</t>
  </si>
  <si>
    <t>izquierda en las dos orillas del Danubio. Los cuerpos de que debe componerse esté exército son Una parte del de el archiduque Carlos , el del archi­ duque Juan, los de Giulay, Chastellér y Mesko, y el dél archidu­ que Fernando, que viene ya caminando desde Polonia á ocupar sü posición. Se reunirán antes de espirar el término …</t>
  </si>
  <si>
    <t>as tropas, y atacó la plaza con tb— do conferido al archiduque Fernando , y da so artillería. Los circasianos se pusieron que tendrá á sus órdenes al príncipe Juan n foca después de una corta resistencia , y de Lichteustein. li fortaleza fue ocupada por el cuerpo del Sin embarga de que se cree aquí que la coronel Forster. paz…</t>
  </si>
  <si>
    <t>e ha declarado mas con seis lanchas cañoneras al bergantín in­ abiertamente contra él. Parece que el archi­ gles Alert (buque danés cogido en 1807 ), duque Juan goza en el dia, con preferencia lo apresó después de tina hora de combate, á todos los demás, de la confianza del Em­ y conduxo al ptierto de Frederikwaern. perador d…</t>
  </si>
  <si>
    <t>Gaceta de Madrid n.º 274</t>
  </si>
  <si>
    <t>parte en el gobierno. te de lo que ha costado, y esto aun quan- Sevilla 5 de setiembre de 1809. Mí do tuviésemos ínteres en conservarlo, y que amigo D. Juan: ,, No ignora vmd. que an­ la cosa estuviese en nuestro poder , lo que tes y después de la instalación de la junta no es asi. central no he perdonado diligencia ninguna „…</t>
  </si>
  <si>
    <t>Sevilla 29 de setiembre. El general D. Joaquín Biabe ha remi­ tido al Gobierno supremo copias de los dos partes siguientes que acababa de recibir de D. Juan. Ciaros. Expresan las operaciones de sus tropas y de las del Dr. Rovira para distraer al enemigo, mientras en Gerona entraba de refuerzo la división de D. Jayme García Co…</t>
  </si>
  <si>
    <t>1244</t>
  </si>
  <si>
    <t>ustríaco» el nombre de batalla de Esiing; si su exército en Engereau, destrozar los exércitos del archi­ quedó tan en esqueleto que no podía resistir duque Juan f Palatino, arrojarlos al otro lado un ataque, {cómo es que los austríacos le de- del Danubio, limpiar de enemigos todo el país xaron. ocupar y conservar en la orilla…</t>
  </si>
  <si>
    <t>I31® miento de infantería de línea , núm. x.° brigada irlandesa. Carafa , gentilhombre de cámara. Daban (D. Juan), gefe de batallón del re­ Casa-Calvo (marques), teniente general. gimiento núm. 2.° Casa-Mayor ( D. Juan), teniente del regi­ Dalesme ( D. Pedro), capitán del núm. i miento núm. t.°, briga</t>
  </si>
  <si>
    <t>de línea. gero. Mer.ch ( D. Luis), intendente. de Aragón. Hetas(D. Manuel), consejero de Estado. Meliro (conde), superintendente general de Heredia ( D. Juan) , sargento 2.a de caba- ía ca'a real. lleiía. Me.011 ( D. Juan Antonio), gefe de diviHernández ( D. Gabri I), teniente del re­ sion en el ministerio de Hacienda. gimien…</t>
  </si>
  <si>
    <t>y edecán del Rei. Pitel, gefe de esquadron de los caballos li­ Tellechea (D. Antonio), gefe de esqua­ geros de la guardia real. dron. Ponce de León (D. Juan), coronel de in­ Tejada ( D. Ignacio), gefe de división en fantería. el min terio de Indias. Portier ( D. Antonio ) , gefe de división en Thibauz, tesorero de la corona. …</t>
  </si>
  <si>
    <t>esplendor ,que resaltan so­ mont y D. -Tomas -Grande , y á los sub­ bre ella de un trono tan brillante de gloría. tenientes de inválidos de.Pamplona D. Juan „ El senado , conmovido vivamente por Bautista Guilson y D. Juan Bonada. To­ tan señalado beneficio, no piensa en habla­ dos estos'individuos se consideran como si ros de…</t>
  </si>
  <si>
    <t>) granadero del regimiento de infantería de línea núm. i. —Carafa, gentil-hombre de Cáma­ ra. — Casa-Calvo (marques) teniente general. — Casa-mayor (D. Juan) teniente del regimiento núm. i, brigada irlandesa. — Cassano , caballerizo. — Casa-Palacio (marques) general y edecán •del rey. - Casa-Valencia (conde ) consejero de Est…</t>
  </si>
  <si>
    <t>real extrangero. — Cortes (D. Antonio) alcalde de Corte. — Cosío (D. Diego) id. — Cout (D. Andrés) fusilero del núm. i , brigada irlandesa.ÍC “Daban (D. Juan) xefe de batallón del regimiento núm. ' i. — Dalesme (D. Pedro) capitán del núm. i , brigada irlan­ desa. — Delais ( D. David ) fusilero del real extrangero. — De­ les ,…</t>
  </si>
  <si>
    <t>nardo) consejero de Estado; — Iruegas (Don Lorenzo ) regidor de Madrid. — Isla (D. Pedro) oficial primero en el ministerio efe lo interior. —Jacquot (D. Juan) capitán del real extrangero. — Joven de Salas (D. José Ignacio) consejero de Estado. — Kindglan (D. Juan) general del exército.” “Laischder (D. José) fusilero del regim…</t>
  </si>
  <si>
    <t>fie (D. Fermín) general y edecán del rey. — Mariner (D. José) sargento primero del batallón de infantería: ligera núm i.— Mauri (D. Juan). — Marquina (D. José) presidente de la junta de negocios contenciosos. — Mazo (D. Francisco) ayudante del re­ gimiento número i infantería de línea. — Mench (D. Luis) in­ tendente de Aragó</t>
  </si>
  <si>
    <t>acio) xefe de división en el ministerio de Indias. — Thibauz, tesorero de la corona. — Turdonnet (D. Agustin) comandante de esquadron.” “Valguarnera (D. Juan) comandante de esquadron.- Val-. güarnera (D. Domingo) capitán de caballería. — Van-Halen (D. Juan) oficial de ordenanza. — Vázquez (D. Juan) capitán del regimiento núm.…</t>
  </si>
  <si>
    <t>Excmos. señores marques de la Roma­ na y O. Rodrigo Riquelme , se trasladasen al quartel general de la Carolina, para que en unión con ei Eterno. $r. D. Juan de Dios Gutiérrez Rabé , que ya estaba de comisionado en el exér­ cito de la Mancha , y con las pi.as-^mplias facultades respecto de este , hiciesen quanto estimasen 'co…</t>
  </si>
  <si>
    <t>a guardia real. Rossicr (D. Estéban ), cabalo ligero de la Boulangcr ( D- Nicolás), caballo ligero de guardia real. la guardia real. Ruiz Pazuengos ( D. Juan), corregidor de Colombiere (D. Luis de la ) , capitán de in­ Logroño. fantería. Sánchez Mendoza (D. Josef), alcalde de Datton (D. Antonio) , comandante de es- corte. qua…</t>
  </si>
  <si>
    <t>tería. Makaruff (Ignacio ) , sargento del regimien­ Veugoa (D. Domingo), gefe de división to Real Extrangero. .. en el ministerio de Guerra. Martí ( D. Juan), teniente coronel de in­ Ximena (D. Rafael), teniente de arti­ fantería. llería. Medrano (D. Rodrigo), gefe de batallón Yrribarren (D. Pedro). del regimiento Josef Napol…</t>
  </si>
  <si>
    <t>rona./- .. . -Llórente (D. Juan-Antonio)» consejero de Livenc ( D. Carlos de), escudero. .Estado , y-director de bienes nacionales. Melendeá Valdés (D. Juan) , consejero de Marie:(D¿Fermín),mariscal de campo, y ■ Estado. - nuestro edecán. . Romero (D. Josef), director de caminos. Momehermoso ( marques de), primer -gen* Sdteio…</t>
  </si>
  <si>
    <t>Juan, Josef de Sam</t>
  </si>
  <si>
    <t>Josef de Sam Juan</t>
  </si>
  <si>
    <t>do em ella , como lu ha hecho, siempre al frente del enemigo , y no&gt; é; ménos* de recomendar al Comandan­ te dé; lasv guerrillas* ef Teniente Coroné! D. Josef* de Sam Juan: á D. Juan Esponceda y Bd Pedro,Ramirez:, Teniente:Coronel, ySar-gento* mayor dél Regimiento; de. caballería, dé Bbrhon.5; á D) Juan Batres* Ayudante deCam…</t>
  </si>
  <si>
    <t>Juan, San</t>
  </si>
  <si>
    <t>San Juan</t>
  </si>
  <si>
    <t>batalla de Baylen recuerdan el nombre de este Xeíe • con:honor y con: gloria. Los Coroneles ¡Freí4* -re, Gamez, Príncipe de Anglona, y el Te­ niente Coronel San Juan , y demas Xeíes de ■ cihallería han aumentado glorias á glorias; ty /siete uiisei’ables, únicos extraviados de que se:tieiie úoticia , han sido entregados á la -…</t>
  </si>
  <si>
    <t>Juan, Sebastian de San</t>
  </si>
  <si>
    <t>Sebastian de San Juan</t>
  </si>
  <si>
    <t>al regimiento de Africa y juez ¡rd¿itar de. los pueblos y cantones donde he estado establecido , el teniente co­ ronel del real cuerpo de ingenieros D. Sebastian de San Juan, el sargento mayor agregado al citado cuerpo de Africa D. Juan Loarte, mayor de ór­ denes de mi división, el subteniente del misino D. Eduardo López, ayu…</t>
  </si>
  <si>
    <t>Juan, Sir</t>
  </si>
  <si>
    <t>Sir Juan</t>
  </si>
  <si>
    <t>mpestuoso que constantemente hemos experimentado,. juntamente con la dificultad déla navegaciónha hecho inútiles hasta aquí todos sus esfuerzos.” “El general Sir Juan,Hope me escribe que el 5 báxó el ene­ migo con mas de 28 lanchas cañoneras hasta frente de Batz, dón­ de hubo un vivo cañoneo por algunas horas; pero el fuego q…</t>
  </si>
  <si>
    <t>Juan-Antonio</t>
  </si>
  <si>
    <t>udante de palacio. Le Capitaine , coronel de granaderos de Darrigol ( D. Salvador ), pagador de la co­ nuestra guardia. ’ ■ ' rona./- .. . -Llórente (D. Juan-Antonio)» consejero de Livenc ( D. Carlos de), escudero. .Estado , y-director de bienes nacionales. Melendeá Valdés (D. Juan) , consejero de Marie:(D¿Fermín),mariscal de…</t>
  </si>
  <si>
    <t>Juana</t>
  </si>
  <si>
    <t>ontado 60.5.5 47 rs., y 83 20 y medio al fiado : varias heredades en los términos del lugar de Arroyabe, correspondientes á la obra pia fun­ dada pof Doña Juana ds Lania, reguladas al contado en 30480? y al fiado 45 720: á U misma obra pia pertenecen en los términos del lugar de Zurbano diferentes tierras? reguladas para vent…</t>
  </si>
  <si>
    <t>Jugurta</t>
  </si>
  <si>
    <t>555</t>
  </si>
  <si>
    <t>quel, del monte sagrado , á donde se habla retirado. Este , el cónsul y el senado se dieron igualmente el parabién , no menos por haber triunfado del rey Jugurta , que por haber arruinado al sedicioso Catilina. La degradación de la nación infame que nos oprime en el dia llegó hasta el punto de congratularse por las acciones m…</t>
  </si>
  <si>
    <t>Julián</t>
  </si>
  <si>
    <t>virtud de providencia del señor teniente D. León laguna, linda con tierra de D. Agustin DJvila, de ca­ de Sagasta, dada ante el escribano del número D. Julián bida 2 fanegas y it celemines. Otra al camino real de González Saez, conforme al real decreto de 18 de agos­ Madrid, linda con tierra de Félix Pozo, de cabida 2 fa­ to …</t>
  </si>
  <si>
    <t>.-anterior, di rigiéndose ¡hacia Toro; dexándose 40 carros cargados de bombas,y balas cod orros efectos. _____ ____________ El capitán.de - lanceros-D. Julián .Sánchez ba dado ¿astgudente Tespuesta á la -proclama -deTgeperal Marchaad,-publicada en la.gazeta dei Gobierno: nútn.40.</t>
  </si>
  <si>
    <t>— Fernán­ dez Moratin (D. Leandro) secretario de la interpretación dé' lenguas. — Ferrandiz (D. Vicente) teniente coronel de artille­ ría. — Fuentes (D. Julián). — Four (D. Juan) sargento pri­ mero del real extrangero.” “Gainza (D. Luis). — Galdiano (D. José María) regente de la audiencia de Navarra. — Guillet, xefe de batall…</t>
  </si>
  <si>
    <t>Junot</t>
  </si>
  <si>
    <t>, unja parte de los bailiages de Wilhíemsburgo, Harburgo y Winsen , 50001 francos: el general Sebastian! el bailiage dé Bleckede, 40015 francos; y el general Junot, duque de Abrantes , el de Agatenburgo, 3 5 008 francos de renta. GR AN BRETAÑA. . Londres 8 de diciembre. Según el contenido.de las gazetas holandesas que acabamo…</t>
  </si>
  <si>
    <t>las que mandaba en Morella. Las fuerzas enemigas consistían en una división del tercer cuerpo de exército que es el que ocupa al Aragón % y manda el General Junot r debía constar esta división, ó tal vez constaba quando empezó el sitio de Zaragoza, de ia á iaf&gt; hombres, y de 800 á caballos; pero se halla re­ ducida, según ias…</t>
  </si>
  <si>
    <t>sticio. (6) Después de haber sido perfectamente batido por el general Kienmayer, que hubiera acabado con las reliquias del exército que marida el ex-duque Junot, á no haber suspendido el armisticio su brillante campana.</t>
  </si>
  <si>
    <t>Just</t>
  </si>
  <si>
    <t>202 El barón Just, maestro de ceremonias de S. M.; el conde Zaluski. Por S. E. el duque de Frías, embaxador de S. M el Reí de España, El general Kindelan, miembro de la legión de Honor; el capitán Kindelan,</t>
  </si>
  <si>
    <t>Justis, Birtolomé</t>
  </si>
  <si>
    <t>Birtolomé Justis</t>
  </si>
  <si>
    <t>le sur Ilion, te­ trario hubiera sido esta su intención, es niente de caballería, capitán en Ja misma •ev-¡dente que no podían haber empleado arma; y D. Birtolomé Justis, capitán agre­ medios mas eficaces, ni que mas comple­ gado al regimiento de infantería española tamente hubiesen llenado sus deseos. (Ad- núm. 1.°, queda re…</t>
  </si>
  <si>
    <t>Justo, Josef</t>
  </si>
  <si>
    <t>Josef Justo</t>
  </si>
  <si>
    <t>rece oportuno ¡asertar en nuestra gaPiñuela (D. Sebastian ), consejero de Es- aétáu ‘ t ' ■ . tado. ■ ,, Gazeta del gobierno del jueves 7 de Salcedo (D. Josef Justo), teniente general diciembre de 1809. . de nuestra real armada y consejero de ’ 1 Sévtll* «Tde diciembre. ,, A consecuenEstado. - í- “• cía de la ^desgraciada acc…</t>
  </si>
  <si>
    <t>Jutochkoff</t>
  </si>
  <si>
    <t>ronel Sandely. „ Luego qae se dio por espira­ do el armisticio, que se celebró entre los ejércitos , llegó un oficial ruso despachado por el teniente general Jutochkoff con el aviso de que se iba á dar principio á las hosti­ lidades. mPoco después recibí aviso de haber atacado los ru­ sos mis avanzadas, las que en vista del .…</t>
  </si>
  <si>
    <t>Jutsehkoii</t>
  </si>
  <si>
    <t>5©6 mandaba el teniente general Jutsehkoii’, que tenía por se* gundos á los generales liachmanoñ] Dalgorucíd y Alexeyoff.=2 Al concluir ia acción propuso el comandante ruso una suspensión de hostilidades por 24. horas, para dar sepul</t>
  </si>
  <si>
    <t>Juy, Amadeo</t>
  </si>
  <si>
    <t>Amadeo Juy</t>
  </si>
  <si>
    <t>Ciasa de comercio que determinamos por nues­ burri, D. Rafael Martino y D. Antonio tro real decreto de 14 de octubre último, Romano; y á los vélites D. Amadeo Juy contribuir al mismo tiempo al adorno de galdo, D. Josef Manzone, D. Cayetano la capital; Fiore, D. Francisco Perracino, D. Alfon­ Hc-mos decretado y decretamos lo s…</t>
  </si>
  <si>
    <t>Jvllachich</t>
  </si>
  <si>
    <t>657</t>
  </si>
  <si>
    <t>la otra parte tante de Constantinopla al ministro de del Iser para marchar contra el cuerpo aus­ Londres, y que se secuestrasen las merca­ tríaco del general Jvllachich, que .ha vuel­</t>
  </si>
  <si>
    <t>JXJuanClaros</t>
  </si>
  <si>
    <t>17 de octubre de 1809</t>
  </si>
  <si>
    <t>Gazeta del Gobierno n.º 33 · 2.ª serie</t>
  </si>
  <si>
    <t>nuestro, exército. —:E1 genérale» xefe se hallaba ayer en la Selva con upa .división de 153,hom­ bres. El coronel D.-Francisco Rovira y el .teniente, coronel JXJuanClaros , estaban el. primero ,en Be&gt;alú , v el segundo. en-iBaj&amp;íJlas con'jipa Rábida ¡de tropas, y un sqnnate.n. .general. Id-del 2.8. -Según .noticias po$itiyas.…</t>
  </si>
  <si>
    <t>Kamensfcoi</t>
  </si>
  <si>
    <t>os de su exército tenían orden de avanzar hasta la frontera meri­ dional del distrito de Uleaborg, que debía ser el punto de reunión. El exército del general Kamensfcoi se puso en marcha en tres coíunas. La de la izquierda, al mando del general Demidow, caminaba á lo largo de las costas por Roukalai, Javala y Pihafoki sobre B…</t>
  </si>
  <si>
    <t>Kamenski</t>
  </si>
  <si>
    <t>ras que han precedido al glorioso éxito de la campaña de Finlandia. Estos pequeños combates han sido el resultado de las victorias conseguidas por el general Kamenski en Kaustana y Orowais; victorias cuyos detalles son bien conocidos. \ n La misma gazeta anuncia en un post scriptum que nuestras tropas han encontrado en Uleabo…</t>
  </si>
  <si>
    <t>a?¿¿ras el exército' pasó el Danubio el 6.4* agosto. 1* • &gt; Petérsburgb ^ dé setiembre. ; u », Los turcos no ^ opusieron resistencia El feld-maríscaí conde Kamenski , qué ninguna. Él teniente: geúeralSass s¿ puso ’dé tre* años á esta parte vivia retirado ea en movimiento desde Galatz , y pas'ó el Da­ sus estados, ha sido ases…</t>
  </si>
  <si>
    <t>Kamenskoi</t>
  </si>
  <si>
    <t>sobre Salahmi, y de aquí por Nissila, sobre Poppo, ciudad de la provincia de Uleaborg, con el objeto de reunirse eori el ala derecha del exército del general Kamenskoi. Ésta reunión se verificó ;con efecto algunos dias antes del armisticio en las cer­ canías de Mattila, en donde había penetrad® la vanguardia del general Tutsc…</t>
  </si>
  <si>
    <t>Kaminski</t>
  </si>
  <si>
    <t>rtad al- También entraron ayer en esta ciudad gunos,rusos que habían caído en poder de ' 800 hombres de infantería francesa-; ^&gt;or los austríacos. El general Kaminski manda manera que ascienden ya á 6©!hQjnb£efl&gt;las en el dia en Lembejrg. tropas que han llegado aquí de tres dias á El exército polaco consta ahora de 30® esta p…</t>
  </si>
  <si>
    <t>1013</t>
  </si>
  <si>
    <t>ués de ha­ V. E. de la resolución que había tomado berse unido con las tropas, de! gran ducado de trasladarme aqui, le supliqué, y él.me que manda el general Kaminski. Otro cuer­ prometió positiva y solemnemente, que eo po roso marcha camino de Cracovia á jun­ Tirnau recibiría yo noticias que me ins­ tarse con el exército del…</t>
  </si>
  <si>
    <t>Kaozzing</t>
  </si>
  <si>
    <t>Gaceta de Madrid n.º 10</t>
  </si>
  <si>
    <t>io. ¿5 GAZETA DE MADRID ... DEL MARTES 10 DE ENERO DE 1809. HEMEROTECA snnrrerFXL. • MADRID Petersburgo 25 de noviembre de 1808. Ha salido de aqui el general Kaozzing á tomar el mando del exército de Finlandia que tiene el general Buxhowden. De algún tiempo á esta parte la gazeta de la corte no'trae noticia ninguna de la Finl…</t>
  </si>
  <si>
    <t>Kauser, Juan</t>
  </si>
  <si>
    <t>Juan Kauser</t>
  </si>
  <si>
    <t>á los sar­ gar de ¡o futuro por lo que ya ha pasado. gentos primeros del mismo regimiento Don £1 rompimiento del tratado de Amiens Ezequiel Capelli y D. Juan Kauser , sub­ acarreó á los austríacos los desastres de Ul­ tenientes del expresado cuerpo. S. M. se na y Austerlitz. El regreso á Londres del ha dignado nombrar al baró…</t>
  </si>
  <si>
    <t>Kdirigipor</t>
  </si>
  <si>
    <t>ibido papeles de Suecia , que Augsburgo de febrero. aunque atrasados , contienen una relación in­ Quando en 1804 la instrucción pública teresante del general Kdirigipor sobre la recibió en toda la Baviera una nueva for­ batalla de Orivais. Por esta relación se ve ma , mandó el gobierno que se examinasen claramente que la pérd…</t>
  </si>
  <si>
    <t>Kellefman</t>
  </si>
  <si>
    <t>s castigos exemplares que se cia y tropelía. han hecho con los mas revoltosos. Baste Oviedo a r de mayo. decir que en el espacio de te meses pasan El general Kellefman acaba de llegar » de 900 los que han sido ajusticiados por esta ciudad , tres dias después que el mariscal asesinos y ladrones. Sin embargo, los deli­ Nei habi…</t>
  </si>
  <si>
    <t>Kellerinann</t>
  </si>
  <si>
    <t>an que los austriacos han pasado el sas Scc. Inn en la madrugada del dia 6 por las cer­ canías de Muhldorff. IMPERIO FRANCES. Se asegura que S. E. el mariscal Kellerinann, duque de Valmi , va á mandar el Strasburgo 11 de abril. exército de reserva del Rin , y que el ge­ Apenas hai dia en que el príncipe de neral Hedouville le…</t>
  </si>
  <si>
    <t>Kellerman</t>
  </si>
  <si>
    <t>. Es mui fácil atinar con los autores de semejantes mentiras: asi es como los ingleses saben hacer la guerra. Aguardamos aquí dentro de pocos dias al mariscal Kellerman, duque de Valmi, y á lós generales Molitor y Boudet. Sigue sin interrupción el paso de las tropas que entran en España: tam­ bién llegan varios trenes de arti…</t>
  </si>
  <si>
    <t>Kéllermán</t>
  </si>
  <si>
    <t>lo que puede contribnir á ^exterminar’dé las fronteras tan peligrosos huéspedes , ei obra de la mayor impor­ tancia* FRANCIA. Pcrís 17 de marzo, 1 El Mariscal Kéllermán1 ha llegado a Pau.^—Él General r Audrecssi, Embasador dé Francia en Yiena ha* venido ¿ I París: M. Dadria, secretario de la legación, ha quedado • encargado d…</t>
  </si>
  <si>
    <t>e las mas hermosas , bi­ zarras y aguerridas, se dirigirá hacia León, Londres i.° de atril. y que obrará de acuerdo con el que está á las órdenes del general Kellerman , que ha ( Extracto del ¿lobo.) salido ya de Valladolid, y pasado de ViEl Austria se encuentra en el día en tal llafranca del Bierzo. disposición, que es indis…</t>
  </si>
  <si>
    <t>la renun­ los soldados han logrado salvar uno de di­ cia que ha hecho D. Ramón Roberts, cura chos buques. que ha sido de Daganzo de abaxo , dióce­ El general Kellerman ha venido aquí sis de Toledo, del curato y administración por el camino de León , después de haber de la Iglesia y hospital de San Luis de los destruido á los …</t>
  </si>
  <si>
    <t>abia venido; y enterado Worster de los felices sucesos de su segun­ do , vino á unírsele para caer con todas -sus fuerzas sobre la capi­ tal. Pero el General Kellerman, temiendo la ruina total de su divi­ sión, la había evacuado el dia anterior ,.y tomado precipitadamen­ te; el camino dejEeon^Norfuéinaénos pronto V^^orster en…</t>
  </si>
  <si>
    <t>uque de Anhalt-Koethen , el duque Guillermo de Baviera con su es­ posa, el príncipe de Loevenstein-VVerthein , y el gran duque de He3se-Darmstadt. El mariscal Kellerman ha venido á hacer una vi­ sita á todos estos príncipes á quienes los acontecimientos de la guer­ ra han obligado á refugiarse aquí. Todos los alojamientos est…</t>
  </si>
  <si>
    <t>ven á Madrid 3 de diciembre. expensas de un pueblo desgraciado. Ayer tarde llegó un correo despachado ,, Nuestro corresponsal de Gibraltar es­ por el general Kellerman con la noticia de cribe que las provincias españolas están su­ haber derrotado en Alba de Termes e[ día mamente descontentas con el gobierno de 30 de noviembre…</t>
  </si>
  <si>
    <t>Kellermann</t>
  </si>
  <si>
    <t>540 del general Kellermann, y el sexto cuerpo estarán al mando de mariscal Mortier, que se espera aquí muy en breve.” “Vea V. E. qual es la suerte del sexto cuerpo: todos la pre­ veíamos. Así pueda V. E. no entregarn</t>
  </si>
  <si>
    <t>Key, Robert</t>
  </si>
  <si>
    <t>Robert Key</t>
  </si>
  <si>
    <t>erford , de 160 toneladas , armado con Nanci /p de febrero. 4 cañones de á n y 9 hombres de tripula­ El día 16 pasó por aqui el señor Bayer, ción, su capitán Robert Key. Fue apresa­ correo de S. M. el Emperador de Austria, do por los corsarios el gran duque de Perg que lleva pliegos á Paris. El 17 han pasado y el Alexandrino,…</t>
  </si>
  <si>
    <t>Kia-Kien</t>
  </si>
  <si>
    <t>429</t>
  </si>
  <si>
    <t>no de observarse que en el discurso del pre­ sente año está para celebrarse un jubileo en toda la extensión del imperio de la China al cumpleaños del emperador Kia-Kien que ha cumplido los 50. La razón de hacerlo es que por su política, mo­ deración y firmeza ha mantenido la independencia de su imperio, evitado toda conexión …</t>
  </si>
  <si>
    <t>Kieist</t>
  </si>
  <si>
    <t>973</t>
  </si>
  <si>
    <t>bastan­ mente al público varias obras, enfe las te numerosa. Se compone por la mayor quales se considera como de un mérito sin­ parte del cuerpo del general Kieist, que se gular el quadro que representa la lucha en baila ahora aquí. los juegos olímpicos, tan admirable por la Se aguarda en Konigsberg al ministro de riqueza de …</t>
  </si>
  <si>
    <t>Kíenmayer</t>
  </si>
  <si>
    <t>-JW**- - respectivos suartmtodo y colocación, y se­ mía por otra. Las tropas austriacas * á Jas rán atendidos según su conducta, capaci­ órdenes del general Kíenmayer , tienen -su dad y moralidad. .., •posición desde Bernéck-hasta Egra en-’Bo— art. m. Los empleados asi separados hernia * y sus avanzadas se extienden desde est…</t>
  </si>
  <si>
    <t>Kienmayer</t>
  </si>
  <si>
    <t>miento. Se dice que ayer tardo se oia estruendo de artillería. Erlangl dt julio. Escriben de Baireuth, con fecha de 2 del corriente , que ei teniente general Kienmayer , que manda ac­ tualmente las tropas austríacas que han entrado en Saxonia y en el principado de Baireuth , llegó el dra primero á esta ciudad. Se liabia creíd…</t>
  </si>
  <si>
    <t>rincipado de nebourg, ministro de la Guerra, al Baireuth, y reforzar en aquel punto el consejo celebrado por S. A. S. el prín­ cuerpo de exército del general Kienmayer, cipe afchicanctller del Imperio , duque ha recibido contraorden, y se vuelve á lo de Parmaifc.vn 14 de agosto de 1809. interior. Se cree que va á las cercanía…</t>
  </si>
  <si>
    <t>del general Amende con quien hizo un conv venia particular para ello en virtud del arm sticio. (6) Después de haber sido perfectamente batido por el general Kienmayer, que hubiera acabado con las reliquias del exército que marida el ex-duque Junot, á no haber suspendido el armisticio su brillante campana.</t>
  </si>
  <si>
    <t>2 de octubre de 1809</t>
  </si>
  <si>
    <t>Gaceta de Madrid n.º 276</t>
  </si>
  <si>
    <t>1212</t>
  </si>
  <si>
    <t>una especie de cuerpo do á Rosteck , y vuelve á Suecia. Se cree de reserva en las inmediaciones de Praga. que dentro de pocos di'as habrá un cange El general Kienmayer ha revocado, se­ formal de prisioneros' de guerra franceses y gún se dice , muchas de las providencias suecos. adoptadas por sus predecesores en el mando Las c…</t>
  </si>
  <si>
    <t>rección. Se ha publicado en varios papeles alemanes la relación de la batalla que dió á Junot en los dias mismos en que se firmó el ar­ misticio , el general Kienmayer en Franconia. Merece conservar­ se este documento, que manifiesta el valor y superioridad de las tropas austríacas, quando aquel fatal tratado suspendió en su …</t>
  </si>
  <si>
    <t>rechazó este general todos los ataques, y- por una brillante resistencia adquirió la mayor gloria su peque­ ña división. En este momento .-¡.legó el general Kienmayer con el cuerpo del duque de -Brimswick, los iieseses, y algunos bata­ llones de milicias. Inmediatamente tu 5 atacado el ^enemigo por -el.flanco y retaguardia , …</t>
  </si>
  <si>
    <t>cerca de ia lado de la Bosnia, ha recibido orden de re­ nuestra, llegaron aquí el día 7 con una cai­ unirse con el cuerpo principal. El 26 de ta del general Kienmayer, que manda un agosto pasó el Kolubara , y á estas horas exército de milicias en Bohemia, dirigida estará ya en las orillas del Morawa. al general comandante de …</t>
  </si>
  <si>
    <t>as fronteras de Bohe­ mia , en Franconia y Saxonia, y mantiene su quartel general -en Bayreuth ; las cartas de Bohemia refieren, que el teniente Feld mariscal Kienmayer , que manda en xefe aquel reyno, después de pasar algunos dias en el quartel general delemperador de Aus­ tria , dé vuelta á Praga ha dado varias-disposición …</t>
  </si>
  <si>
    <t>Kindelan</t>
  </si>
  <si>
    <t>202 El barón Just, maestro de ceremonias de S. M.; el conde Zaluski. Por S. E. el duque de Frías, embaxador de S. M el Reí de España, El general Kindelan, miembro de la legión de Honor; el capitán Kindelan, su hijo, y edecán suyo; el caballero Larrea, intendente de exército de S. M, católica. i Relación de las operaciones del…</t>
  </si>
  <si>
    <t>KKngsporr</t>
  </si>
  <si>
    <t>de marzo. portante noticia. Ayer han llegado de Estockolmo 2 ofi­ ,, Escriben de Estockolmo que el feld­ ciales suecos, los señores Surmain y Ehreus- mariscal KKngsporr ha sido nombrado gran waerd, ayudantes del duque de Suderma- estatuder ó gobernador de aquella carita!; nia: el primero tiene el honor de ser cono­ y el gener…</t>
  </si>
  <si>
    <t>Kleist</t>
  </si>
  <si>
    <t>bres entre muertos y heridos. En esta acción se distinguió el mayor gene­ ral RachiHaAow*” -.......... PRUSIA. - ; Berlín./de dicuínbre. El ayudante general Kleist ha sido nombrado inspector general de las tropas de Silesia. SS. MM, saldrán de Konigsberg el 28 de diciéftibre, se detendrán'algún •tiempo en Breslau, y llegarán …</t>
  </si>
  <si>
    <t>Kleker</t>
  </si>
  <si>
    <t>zar recoriócida: aquellas de quienes tiene algu­ de nuevo las hostilidades en el 25. En su nas sospechas son examinadas y registradas consecuencia el general Kleker había;des­ con sumo cuidado, y aun no las admite á pachado inmediatamente órdenes á los ma­ su presencia sino delante de muchos de sus yores generales Griessetber…</t>
  </si>
  <si>
    <t>Kleman</t>
  </si>
  <si>
    <t>-7 «O * t"' SAXÓNLL Dresde 16 de jimio. Ayer ha llegado aquí otro cuerpo de tropas austríacas efe 83 ; hombres-, al mando del General Kleman, y-después de. haber toma­ do algunas provisiones, ha continuado, sin detérnerse, su-marcha.' Desde el 11 hasta ahora habrán pasado ya por esta ciudad al pie de io3 austríacos; y á igual nu</t>
  </si>
  <si>
    <t>Klingsporr</t>
  </si>
  <si>
    <t>S. A. el duque de Suderpios según los quales se propone gobernar. mania, regente provisional del reino, del ,,X&gt;ado en Estockolmo á ij de marzo feld-mariscal Klingsporr, gobernador de de 1S09.” ' " Estockolmo, y del teniente general barón de Adlercreutz. Este ha sido un dia da GRAN DUCADO DE POLONIA. fiesta y de regocijo para…</t>
  </si>
  <si>
    <t>Klingsport</t>
  </si>
  <si>
    <t>777</t>
  </si>
  <si>
    <t>solamente se han salvado 5 5 hombres y f oficiales. Escriben de Stockolmo que el Reí de Suecia había vuelto á aquella ca^ pital en compañía del feld-mariscal Klingsport. IM P E R í O FR A Ñ C E S. París 8 de enero de 180$, Representación del tribunal de casación á S. M. el Emperador y Reí. Señor. Vuestros fieles vasallos los …</t>
  </si>
  <si>
    <t>Kmrinski</t>
  </si>
  <si>
    <t>eguir el. camino de la gloria, que á todos Napoleón. se les ha abierto. GRAN DUCADO DE VARSOVIA. DALMACIA. Varsovia f ¿ir junio. Zara _p de junio. El general Kmrinski acaba de tomar po­ Hemos recibido de Turquía la noticia sesión de Lembcrg, capital de ¡a Gailjtzia. de que lo? rusos han batido completamente El archiduque Fern…</t>
  </si>
  <si>
    <t>Knesevich</t>
  </si>
  <si>
    <t>nfiado sin duda en la soldados, en medio de privaciones , de fa­ llegada próxima de los socorros que traía tigas y de peligros, se han manifestado el general Knesevich , el qual se decía que siempre dignos del aprecio de V. M. estaba á pocas botas de camino. Sin embar­ ,, Debería yo hacer el elogio de todos go la división Mon…</t>
  </si>
  <si>
    <t>Knorring</t>
  </si>
  <si>
    <t>neral conde de Buxhówdéir, comandante en gefe de nüéstto ejér­ cito de Finlandia, ha sido separado dé este cargo , y se ha nombrado para sncederle al general Knorring. Acaba de llegar aquí de Abo el vicé-almirante sueco Cronstedt, que eri gobernador de ¡a fortaleza de Sweaborg quando nuestras tropas se apodera-: ron de ella. …</t>
  </si>
  <si>
    <t>de este mes. Se habla mucho BA VIERA. en aquella capital de un armisticio entre « suecos y rusos , hecho con consentimiento Angsburgo 7 de abril. del general Knorring, que ha ocupado las Los austríacos han pasado ayer de ma­ islas de Aland. La duración de este armis­ drugada el Tnn por las inmediaciones de ticio dependerá del…</t>
  </si>
  <si>
    <t>entes. viado al general Koulnef la órden de reti­ El modo extraño con que los ingleses rarse á Aland.” hacen su comercio en la parte de la isla de El general Knorring dirigió al mismo santo Domingo, gobernada por Cristóbal, tiempo una carta al general Berclei de To­ merece que se haga una descripción de él, lla, que debía ir …</t>
  </si>
  <si>
    <t>que S. M. el Emperador de Rusia rial___ Se cree que S. M. regresará á Pe- ha ratificado el armisticio ajustado por el tersburgo el 6 del mes próximo. general Knorring, y que se aguarda ya en S. A. I. el gran duque Constantino va á Estockobno un embaXidor ruso. En su á hacer tina visita de inspección en las pro­ consecuencia n…</t>
  </si>
  <si>
    <t>Kodnskt</t>
  </si>
  <si>
    <t>es, y provisiones consi­ Bielanewski, que ro han cesado de perse­ derables de toda especie. guir a) enemigo. Nuestras tropas se han portado con ,, El general Kodnskt está hoi en Bagran lucimiento , y nunca podré alabar bas­ biak , y el mayor Pielarowskí con la van­ tantemente las acertadas disposiciones del guardia en jCuttno…</t>
  </si>
  <si>
    <t>Kollowrath</t>
  </si>
  <si>
    <t>efec­ esta acción mataron un caballo al senador tuaba su reunión con el cuerpo de Bohe­ general de división Demont. La caballería mia, mandado por el general Kollowrath, austríaca , fuerte y numerosa , quiso soste­ y lograba un mezquino triunfo en Ratisbo- ner la retirada de su infantería ; pero ha­ na. Mil hombres del 65.% q…</t>
  </si>
  <si>
    <t>mucho en rumpida, y esto aumenta las dificultades la batalla, ha sido reforzado por una parte del visir de Trawnick.___Eí cónsul gene­ del cuerpo del general Kollowrath, apos­ ral de Francia acaba de entrar en Trawnick, tado en Bodweis -para observar el del donde ha sido recibido por un numeroso exército francés que está en L…</t>
  </si>
  <si>
    <t>Kollówrath</t>
  </si>
  <si>
    <t>335</t>
  </si>
  <si>
    <t>a oriental 3 y de que el quartel general francés se trasfiere á Presburgo. — Los aus­ tríacos continúan haciendo inmensos preparativos de defensa. El general Kollówrath hace fortificar el VVeisberg ó monte Blanco en Bohemia, cerca de-Praga, tan famoso por la batalla que allí se dio en el año 1620. El archiduque Fernando ha da…</t>
  </si>
  <si>
    <t>Kollowratli</t>
  </si>
  <si>
    <t>uerzos de Hungría &gt; 909 ? á las del archiduque Juan con inclu­ sión también de los refuerzos 609; á las del general I-Jiller en Krems 159 ; á las del general Kollowratli en frente de Lintz 159; en el Tirol entre 'austríacos é insurgentes 289 : ú las órdenes del archiduque Fernando 309-. A todas estas fuerzas deben agregarse l…</t>
  </si>
  <si>
    <t>Komanilios, Antonio</t>
  </si>
  <si>
    <t>Antonio Komanilios</t>
  </si>
  <si>
    <t>— D. Francisco y D. Manuel del Valle. — Duque de Yiilahermosa.— D. Felipe Vallejo. — Marques de las Horma­ zas.— D. Manuel Soria. — D. Ramón Arascot.—D. Antonio Komanilios. — D. Francisco PritnauL — D. Francisco Romano. —► D. Antonio Cano Manuel. — Conae de Bondad Real. — Conde de Sta. Coloma..— Conde de Talara..— D; Ramón Na…</t>
  </si>
  <si>
    <t>Koorsa</t>
  </si>
  <si>
    <t>tada por el senado el 28 de maytr, con dado por el general Langeron, de origen ocasión de la entrada de las tropas france­ francés. Ha reemplazado al general Koorsa- sas en Viena. ltow&gt; que ha pasado á otro destino. El presidente • del senado , después de haber dicho que S. M. I. y R, se habia SAXONIA. dignado dirigirle' una …</t>
  </si>
  <si>
    <t>Kosatschkowski</t>
  </si>
  <si>
    <t>de junio último hubo El dia 7 cerró la sesión de los esta­ en Goernefors una acción mui reñida entre dos. A las 10 fue la nobleza ai palacio don­ el general Kosatschkowski y el general sue­ de estaba el Emperador» y acompañó í co Sandels» que se vió precisado á retirarse S. M. á la catedral, adonde habian ido ya perdiendo $00…</t>
  </si>
  <si>
    <t>Koscritz</t>
  </si>
  <si>
    <t>iento del príncipe Fe­ que se halla amenazada. derico y de algunos destacamentos de in­ fantería ligera. El cuerpo wurtembergues IMPERIO FRANCES. del general Koscritz se ha dirigido hacia París 11 de junio. Immeustadt con el del general francés Flcard. DIARIO DECIMOQUINTO. Acaba de recibirse por la Bohemia la JEbersdorf 2 de …</t>
  </si>
  <si>
    <t>24 de diciembre de 1809</t>
  </si>
  <si>
    <t>Gaceta de Madrid n.º 359</t>
  </si>
  <si>
    <t>. hermano mayor de esta princesa, se halla Las tropas wnrtembergnesas de la divi­ gravemente enfermo de resultas del saram­ sión de S. E. el teniente general Koscritz pión que ha tenido. van entrando por partes en el reino, y Escriben de Dresde que el Reí de Saacantonándose en los círculos meridionales. xoniaha nombrado al pr…</t>
  </si>
  <si>
    <t>Koseritz</t>
  </si>
  <si>
    <t>l grado de te­ de Lintz EnzersdorF, Wagram y Stampfen. niente general á S. A. R. el príncipe Pablo, Todas las clases del pueblo sienten hM y al mayor general Koseritz. (1) Es de notar que en Virtud del armisticio Lintz de 18700, Gratz de 30$, Klagenfurth todas las ciudades principales de la monarquía de io9,. Laibach de n8, T…</t>
  </si>
  <si>
    <t>Kosinsk</t>
  </si>
  <si>
    <t>O x.° DE JULIO DE'1809. IMPERIO FRANCES. Rawa, los acometieron y derrotaron, co­ Parts i o de junio. giéndoles 11 prisioneros. En la mañana del 30 el general Kosinsk?, comandjnte de la DIARIO DECIMOOOTAVO. vanguardia , después de haber entrado en Vien a 13 dt junio de l8os&gt;• Lowiez, se adelantó hasta Sochacz vv, La división d…</t>
  </si>
  <si>
    <t>Kosinski</t>
  </si>
  <si>
    <t>ersando en los bosques un número con­ posible empeñar con él una occion por la siderable de soldados. prisa que se dió en huir. El mismo día por ,,EI general Kosinski está hoi día en Ba- la noche le seguí delante de Gradschats, biak , y el mayor Bielanowski con la van­ y ataqué con mi vanguardia la retaguar­ guardia en Kuttno…</t>
  </si>
  <si>
    <t>Kosinskí</t>
  </si>
  <si>
    <t>el príncipe de Neufchatel, vi- leva en masa de los departamentos. ceconciestable mayor general. Animada del mayor ce!o la expedición conducida por el general Kosinskí , cuyo Serenísimo SeSor. valor y patriotismo son mui conocidos, no , ,En conformidad de lo que ya he teni­ ha podido dexar de conseguir su fin. El co­ do el hon…</t>
  </si>
  <si>
    <t>nia, grao narisctl hubiera podido penetrar en Westfalia , no de Lituania, ha llegado aqui de la Gallitzia. ha avanzado sino al tiempo mismo en que El general Kosinski, gobernador militar el Reí de Westfalia había ya reunido un» de Varsovia, ha salido el dia 20 para el parte de sus tropas para combatirlo. S. M. exército del pr…</t>
  </si>
  <si>
    <t>Koulnef</t>
  </si>
  <si>
    <t>ado en con­ comendadores de dicha órden , y caballeros secuencia suspender las hostilidades, y en­ de la misma todos los primeros tenientes. viado al general Koulnef la órden de reti­ El modo extraño con que los ingleses rarse á Aland.” hacen su comercio en la parte de la isla de El general Knorring dirigió al mismo santo Dom…</t>
  </si>
  <si>
    <t>Kourakin</t>
  </si>
  <si>
    <t>FEBRERO DE 1809. IMPERIO FRANCES. Parts 24 de enera. S. M. el Emperador y Reí ha dado audiencia hoi ai medio día á dife­ rentes autoridades. S. E. el príncipe Kourakin, embaxador de S. M. el Emperador de Ru-? sia, ha presentado á la una sus credenciales. El embaxador ha sido introdu­ cido á la audiencia de S. M. por un maestr…</t>
  </si>
  <si>
    <t>ades acostumbradas. general Duka, comandante superior en el Eú esta audiencia fueron presentados: Bannato, gefe que fue del estado mayor por S. E. el príncipe Kourakin, embaxador del archiduque Carlos. Se duda mucho que de S. M. el Emperador de Rusia, Mr. de este príncipe apruebe las providencias de la Daschkoff, cónsul gener…</t>
  </si>
  <si>
    <t>cia han sido presentados hombres en Amberes ; y que había pasado al Emperador los personages siguientes : por un refuerzo considerable á Beveland. el príncipe Kourakin , embaxador de Rusia, Se dice que el gobierno acaba de reci­ el señor Poletika , consejero de la legación bir cartas de lord Collingwood, en que le rusa, y el …</t>
  </si>
  <si>
    <t>Kratzer, Francisco</t>
  </si>
  <si>
    <t>Francisco Kratzer</t>
  </si>
  <si>
    <t>tar!» Yung , D. Jorge Dubteuil, D. Josef Forsde Estado. ter y D. Josef Yost. Para tenientes á Don En nuestro palacio de Madrid á 27 de Juan Vareche y D. Francisco Kratzer, y •setieiríbre de 1809. para subtenientes á D. Joaquin Grauman y Don Josef Napoleón por la -gracia de D. Francisco Yugani. En el regimiento nú-Dios-y por-l…</t>
  </si>
  <si>
    <t>Kro</t>
  </si>
  <si>
    <t>supernumeraria de dicha Real Orden , con pensión sobre ios fondos de la misma, á D. Se­ bastian de Torres, Ministro del Consejo Real* En América. El Rey Kro. Sr. D. Fernando Vil, y en su Real nombre la Junta Suprema Gubernativa de Es­ paña e Indias, se ha servido nombrar Virey y capitán general de las provincias del Rio de la…</t>
  </si>
  <si>
    <t>Krusenstern</t>
  </si>
  <si>
    <t>nos ciencias. un vivo cañoneo, que se aumentó hácia La relación del viage hecho al rededor medio dia. A las dos horas después estaba del mundo por el capitán Krusenstern se ya decidida la victoria , y los austríacos ea publicará pronto en lengua rusa y alemana. completa fuga. En este dia decisivo la ca­ pital disfrutó de una …</t>
  </si>
  <si>
    <t>Kteker</t>
  </si>
  <si>
    <t>ue estos últimos esrao ahora mas enco­ Nuestra gazeta ministerial contiene eri nados que nunca contra aquel; de suerte que un suplemento un parte del general Kteker, creyéndose en peligro de que lo maten á comandante en gefe del exército deL Norte, traición , ha tomado todas las medidas ima­ su fecha en el quartel general de …</t>
  </si>
  <si>
    <t>Kurakia</t>
  </si>
  <si>
    <t>ru­ En esta audiencia fueron presentados á jano mayor del hospital General. A la fun-' S. M. dación del real colegio de S. Carlos el se­ Por S. E. el príncipe Kurakia, emba­ ñor Rei D. Carlos m, atendiendo á la pu­ lador de Rusia, los señores conde de Pah- blicidad y eminencia de su mérito, le nom­ len , enviado extraordinari…</t>
  </si>
  <si>
    <t>Kurakin</t>
  </si>
  <si>
    <t>Alopeus, el joven, ministro que fue de Rusia en Stockolmo, ha salido de aquí para Hamburgo. Se asegura que pasa á París de agregado á la embaxada del príncipe Kurakin. Hemos sabido de Suecia que el Rei se manifiesta sumamente disgustado por la conducta que guardan con él los ingleses. Esperamos que este Sobe­ rano mude pronto…</t>
  </si>
  <si>
    <t>315</t>
  </si>
  <si>
    <t>á 315. La cansa de esto es el haberse sabi­ Zurich %i de octubre do que la corte de Austria" ha creado f y SI príncipe Kurakin, embaxador de puesto en circulación mientras ha estado en S. M. el Emperador de Rusia en París, ha Comorn , una enorme cantidad de papel- escrito yna carita al célebre agricultor de moneda.</t>
  </si>
  <si>
    <t>Kürakm</t>
  </si>
  <si>
    <t>i6y extratígeros de Rusia , y el príncipe Kürakm» embaxador de la misma por tencia, los quales han tenido el honor de hacer la partida á S. M. la Empe* «tatriz. ESPAÑA. Madrid 2 7 de enero. „ En la visita que hizo el REI en el hospital general , y de qoe se dio ra­ zón al</t>
  </si>
  <si>
    <t>la Barcena, José de</t>
  </si>
  <si>
    <t>José de la Barcena</t>
  </si>
  <si>
    <t>533 tonío Alonso. 200.000 El cónsul antiguo D. José de la Barcena. 25.000 EL cónsul moderno D. Gabriel de Yermo. 50.000 El diputado D. Pedro González Noriega y su. sobrino D. Lo» renzo García Noriega. 50.000 El diputado teniente Coronel D. Roque Perez. Gó</t>
  </si>
  <si>
    <t>la Baria, Pedro Rioiriguez de</t>
  </si>
  <si>
    <t>Pedro Rioiriguez de la Baria</t>
  </si>
  <si>
    <t>n perjuicio de la viude­ dad que la corresponda. Ai Teniente . General Duque del Parque la Gran .Cruz de la O- i en de CírIVs III, A Teniente Gineral D. Pedro Rioiriguez de la Baria una pensión de 1 ¿3 reales. .aí fino, que pasara. á 'su muger eot caso de fallecimiento, si a perjuicio de. su viudedad,</t>
  </si>
  <si>
    <t>la Bartha, Alexandro</t>
  </si>
  <si>
    <t>Alexandro la Bartha</t>
  </si>
  <si>
    <t>Cutoli capitán del detras de Orihuela, en cuya posición sa regimiento de infantería española núm. i.°, hallaba el gafe de insurgentes Villacampa y á D. Alexandro La Bartha capitán efectivo con 3 2) hombres armados, y casi igual nú­ de caballería de linear y admitir á su real mero de paisanos. servicio á D. Estanislao Cherasco…</t>
  </si>
  <si>
    <t>la Cadena, Juan Manuel Velas de</t>
  </si>
  <si>
    <t>Juan Manuel Velas de la Cadena</t>
  </si>
  <si>
    <t>Josef de Urruda- zr El Marques de Uluapa. = D. Agustín de Villanueva Cácerés Ovaaáo.*==: Manuel Díaz de los Cobos Mdxica. zz. D. fuaa de Taaroa'?a.zr D. Juan Manuel Velas de la * Cadena, zr. D. Juan de Ightiaa Pablo, = D. León Ignacio Rico.. == D. Josef Calapis Mat-ís, Secretario. La Representación , firmada por lo&amp; miamos - …</t>
  </si>
  <si>
    <t>la Cantera, Lorenzo Calvo de</t>
  </si>
  <si>
    <t>Lorenzo Calvo de la Cantera</t>
  </si>
  <si>
    <t>mingo 5 del presente meS, se componía de los sugetos siguientes: Por el cabildo de la catedral. Dr. D. Julián de Mollinedo, maestrescuela y canónigo; D. Lorenzo Calvo de la Cantera , canónigo ; y D. Manuel Pascual Luizoain, canónigo* Por el estado noble. -a. D. Lorenzo Sanz de Sedaño y D¿ Josef Medina. i :d : Pot el estado ge…</t>
  </si>
  <si>
    <t>la Carre, Martin de</t>
  </si>
  <si>
    <t>Martin de la Carre</t>
  </si>
  <si>
    <t>gunda división : al fin formó el quadrilongo , quedán­ dose en él los mariscales de campo D. Gabriel de Mendizabal, segundo xefe de aquel exército, y D. Martin de la Carre­ ra, comandante general de la vanguardia, y en esta forma resistió</t>
  </si>
  <si>
    <t>la Carrera, Martin de</t>
  </si>
  <si>
    <t>Martin de la Carrera</t>
  </si>
  <si>
    <t>maríscales de campo , mi segundo D. Gabriel de Mendizabal : á D, José María Carbajal, mayor general de infantería : á D. Andrés Pérez dé Herrasti: á D. Martin de la Carrera : á D. Francisco Xavier de Losada : al conde deBslveder, y al príncipe de Anglona: al brigadier D. Samuel Turtach: al mayor general de caballería D. Anton…</t>
  </si>
  <si>
    <t>ortaron , y conocimientos militares que manifestaren en esta^accion mi se­ gundo el mariscal de campo D. Gabriel de Mendizabal, y los del mismo grado D. Martin de la Carrera , D. Francisco Ba­ llesteros y D. Francisco-Xavier Losada.” “Recomiendo asimismo á V. M. á todos los oficiales que elo­ gian los generales, conceptuando …</t>
  </si>
  <si>
    <t>la Concepción, Juan de</t>
  </si>
  <si>
    <t>Juan de la Concepción</t>
  </si>
  <si>
    <t>erior gazeta, todos los enfermos franceses y españo­ les hablaron á S. M. con elogio, señalándole como á padre y consolador de todos ellos al hermano D. Juan de la Concepción , enfermero mayor, quien los ha asistido continuamente, y cuidado con una caridad y un celo que las inclinaciones humanas inspiran frecuentemente á un i…</t>
  </si>
  <si>
    <t>la Concha, Cándido Montero de</t>
  </si>
  <si>
    <t>Cándido Montero de la Concha</t>
  </si>
  <si>
    <t>joz...................... D. Francisco Fernandez de la Peña y San Miguel. Cádiz.......................... D. Benito de da Piedra. Cartagena. ...... . D. Cándido Montero- de la Concha. Ciudad-Rodrigo. . . . D. Antonio- López. Córdoba. ....... Señores Barcia r padre é hijo. Coruña. ....... D. Manuel Antonio Elzaurdi. Cuenca. . …</t>
  </si>
  <si>
    <t>la Costa, Vicente de</t>
  </si>
  <si>
    <t>Vicente de la Costa</t>
  </si>
  <si>
    <t>Gaceta de Madrid n.º 120 (suplemento)</t>
  </si>
  <si>
    <t>nos prados en Orinas, que rinden 90rs.: mero v principal de la misma intendencia, del cargo varios prados y tierras en Izara, que producen 60 rs.: de D. Vicente de la Costa; apercibidos que pasado otros varios en Villacantid, que rentan goo: la gran­ este término se señalará día para el remate, y verifica­ ja y priorato de Re…</t>
  </si>
  <si>
    <t>la Cruz, Josef de</t>
  </si>
  <si>
    <t>Josef de la Cruz</t>
  </si>
  <si>
    <t>. = D. Rafael Manglano. A Brigadieres los Coroneles D. Josef Escudero.” D. Msnu?l de ííurrigíiray.rrrD.Joref Navarro Falcon. =■ Marqués de Malpica.zz D. Josef de la Cruz. = D. Josef de Zayas. Grados de Coronel á los Tenientes Coroneles Mr. Benjamín D*Uiban , Teniente Coronel al servicio de la Inglaterra. = D. Julián de Anaya*…</t>
  </si>
  <si>
    <t>n á mi inmediación durante toda la acción para executar las providencias que yo tomabas : los brigadieres marques de Ariza, D. Josef Navarro Falcon , D. Josef de la Cruz, D. Cárlos González de Barcena y D. Samuel Fourtas , executaron lo mismo: mis ayudantes de campo el brigadier marqués del Malpiea, el coronel D. Juan de la C…</t>
  </si>
  <si>
    <t>la Cu, Gregorio de</t>
  </si>
  <si>
    <t>Gregorio de la Cu</t>
  </si>
  <si>
    <t>Í4* ' , . , ,, Comunico al Ge he rai D. Gregorio de la Cu est a- todo el con ten ido de esta carta pa ra sia noticia y gobierno: y á este fin despacho un criado¿ mió en correo .á Badajoz; ,, Dios guarde á V. E. muchos años.-Lisboa 24 de mayo de 18¿p e=:Excmo Sr.=B. L. M. de V. E.=Et&gt;aristo Perez ,de Castro.~Rxcmo. S</t>
  </si>
  <si>
    <t>la Cuerda, Francisco de</t>
  </si>
  <si>
    <t>Francisco de la Cuerda</t>
  </si>
  <si>
    <t>ente á los obispos de dos , que ocasionan el mal caduco ; uno y aquellas diócesis, y la tercera al limo. Sr. otro remedio* que tienen su origen en uo D. Francisco de la Cuerda* obispo que fue mismo animal» son mui benignos. Las otras de Puerto-Rico. Todas dirigieron á S. M. prácticas adoptadas para la curación de la discursos…</t>
  </si>
  <si>
    <t>la Cuesta, Gerónimo Angel de</t>
  </si>
  <si>
    <t>Gerónimo Angel de la Cuesta</t>
  </si>
  <si>
    <t>bero. Los de la ciudad de Avila son Por el Cabildo limo. Sr. obispo D. Manuel Gómez dé la Salazar , Sr. deán 0. Juan Alonso Gorjon, Sr. penitenciario D. Gerónimo Angel de la Cuesta, Sr. Jectoral D. Bernardino Blanco y Blanco, y licenciado y doctoral i&gt;. Felipe Cal­ vo Rui perez. Por la ciudad D. Antonio Serviano de Revenga, r…</t>
  </si>
  <si>
    <t>la Cuesta, Gregorio de</t>
  </si>
  <si>
    <t>Gregorio de la Cuesta</t>
  </si>
  <si>
    <t>ia hora de salir el parte no se había aun incorporado Escudero , y no podía por lo mis­ mo expresar el resultado de sus ventajas. Últimamente escribe D. Gregorio de la Cuesta con fecha ■de 29 ,del pasado : .que las avanzadas de su vanguardia ha­ blan llegado á Navalmoral , sin haber podido alcanzar al enemigo, que huia precip…</t>
  </si>
  <si>
    <t>Gazeta del Gobierno n.º 8 (extraordinaria 2)</t>
  </si>
  <si>
    <t>ranzas, ni los esfuerzos que sus pueblos están dispues­ tos á hacer en nuestro favor. Fortaleza y sufrimiento por un poco de tiempo y so­ mos salvos. D. Gregorio de la Cuesta da parte con fecha del 17; que dos enemigos que habían ▼enido por el puente del Arzobispo hasta la Mesa de Ibor, haciendo replegar sus avanzadas se habí…</t>
  </si>
  <si>
    <t>---- ------- --------------------------------------------——— SEVILLA. Correspondencia segunda con D. Jea^utn María Sotelo. Niim. i. ° aparte del Sr. D. Gregorio de la Cuesta a /4 Junta Suprema. ,, Excmo. Sr. = La avanzada de este exército á ]a vista de Fuente del Maestresa detenido esta mañana al paysano Antonio Ro­ dríguez, …</t>
  </si>
  <si>
    <t>eligen­ cia y cumplimiento. Dios guarde á V. E. muchos años. Real Palacio del Alcázar de Sevilla 13 de mayo de 1809.=:Mar-* tin de G¿ray*~ Excmo. Sr. D. Gregorio de la Cuesta." Hibiendo hecho presente á S. M. el Sr. Marqués de Vi+llel que las muchas fatigas que habia sufrido durante los quatro meses que se hallaba de comisari…</t>
  </si>
  <si>
    <t>D. Siinou López, presbítero. Se vende á 4 reales en el despacho de la Im­ prenta mayor de la ciudad. GRABADO. ' • ■ ■ í . ' l Retrato del Exorno. Sr. D. Gregorio de la Cuesta, Capitán general de los Reales exércitos : dedicado á la Exctttá. Señora Doña Nicolasa Lopct Lisperguer de la Cuesta su Esposa. Se hallará á 4 reales en…</t>
  </si>
  <si>
    <t>ra 29 de julio de 1809.— A las- diez de la maña­ na. — Excmo. Sr*—Gregoridfde la. Cuesta.—- Excmo. Sr. D. An­ tonio Cornel. ” Posteriormente el mismo D. Gregorio de la Cuesta desde el quar­ tel general de Talavera r con fecha del 30 del corriente , avisa; que los enemigos en número de 100 hombres se mantienen á la • vista en …</t>
  </si>
  <si>
    <t>ERNO DEL SABADO &lt;Tz DE SETIEMBRE DE 1809 (lj. Documentos que acompañan la relación de la batalla de Talayera $ y S0(f fartes dirigidos al Exento. Sr. D. Gregorio de la Cuesta. Numero L Parte del Brigadier D. José de Zayas. Excmo. Sr. = Luego que recibí la orden de V. E. para establecerme delante de Velada con la división de m…</t>
  </si>
  <si>
    <t>0 DE SETIEMBRE D¡E 1809 (1;. Continuación de los documentos que acompañan ¡arelacioh de la batalla de Talavera j y son partes dirigidos al Excmo. Sr. D. Gregorio de la Cuesta. Numero VI. T1: .. Parte del teniente general ■ duque de Alburquerque. ' Excmo. Sr. — El dia: 27 del corriente ya dé la parte de acá del rio Alberche, a…</t>
  </si>
  <si>
    <t>la Cuesta, Josef de</t>
  </si>
  <si>
    <t>Josef de la Cuesta</t>
  </si>
  <si>
    <t>allaba , dexandoms herido en un pie, y bastante maltratado, en cuyo estado todavía pude tornar otro caballo , ayudándome mis dos so­ brinos D* Juan y D. Josef de la Cuesta, que con los demas oficiales que me acompafiaban contribuyeron a libertarme d«r ser pfisionéro con grande dificultad y trabajo. Dispersa ya mi . izquierda,…</t>
  </si>
  <si>
    <t>Brigadier D. Tomás O Dosoja , el Coronel Marques de Milpica ' el Teniente Coronel IJ. Juan de la Cuesta , el Capítan D. Josef de la Cuesta , -y el Teniente D. Ildefonso Nie­ to , no cesaron de llevar ordenes á quantos puntos fue pre­ ciso con la mayor bizarría, denuedo, y serenidad , siriem­ bargo de que en alguna» ocasiones el</t>
  </si>
  <si>
    <t>de la Cuesta.as D. Josef Garrido. Grades de Teniente Coronel - á los Capitanes i D. Mariano Lmzarote.zzD. Antonio Paig-zrD. Juan Ma­ nuel de Pereyra.=D. Josef de la Cuesta.=:D Francisco de Hore, en el caso de haber sido hecho prisionero.=D. Josef Villalobos. Grados de Capitán á los Tenientes D. Ildelfonso Nieto.=D. Manuel de …</t>
  </si>
  <si>
    <t>la Cuesta, Joset Fernandez de</t>
  </si>
  <si>
    <t>Joset Fernandez de la Cuesta</t>
  </si>
  <si>
    <t>26 de reales. Para la de Guipúzcoa á D. Santiago agosto de 1809. Ay ala , con igual sueldo. Para la de Ala­ D0.1 Josef Napoleón por la gracia de va á D. Joset Fernandez -de la Cuesta , con Dios y por la constitución del estado, REI dicho sueldo de ?i© reales. Para la de de las Españas y de las Indias. "Vizcaya á D. Joaquín de…</t>
  </si>
  <si>
    <t>la Cuesta, Juan de</t>
  </si>
  <si>
    <t>Juan de la Cuesta</t>
  </si>
  <si>
    <t>es Mr. Benjamín D*Uiban , Teniente Coronel al servicio de la Inglaterra. = D. Julián de Anaya* z:D. Jc«í Pare des. Josef Prieto, zz D- Luis BalaDzat. D. Juan de la Cuesta.as D. Josef Garrido. Grades de Teniente Coronel - á los Capitanes i D. Mariano Lmzarote.zzD. Antonio Paig-zrD. Juan Ma­ nuel de Pereyra.=D. Josef de la Cues…</t>
  </si>
  <si>
    <t>la Cuesta, Nicolasa Lopct Lisperguer de</t>
  </si>
  <si>
    <t>Nicolasa Lopct Lisperguer de la Cuesta</t>
  </si>
  <si>
    <t>d. GRABADO. ' • ■ ■ í . ' l Retrato del Exorno. Sr. D. Gregorio de la Cuesta, Capitán general de los Reales exércitos : dedicado á la Exctttá. Señora Doña Nicolasa Lopct Lisperguer de la Cuesta su Esposa. Se hallará á 4 reales en las librerías de ^lidalgo , Caro y Lema; calle de Genova, y en Cádiz jen k de Pajares,! ca­ lle A…</t>
  </si>
  <si>
    <t>la Cueva, Domingo Miguel de</t>
  </si>
  <si>
    <t>Domingo Miguel de la Cueva</t>
  </si>
  <si>
    <t>cante por fallecimiento de D. Femando Hernández Zumbado , á D. Este­ ban Fernandez Salazar , racionero de la misma : para la ración que este dexa , á D. Domingo Miguel de la Cueva ; y para otra ración vacante en aquella catedral por muerte de D. Agustín Gar­ da Velez, á D. Antonio Porlier, cura párroco de la villa de S. An­ d…</t>
  </si>
  <si>
    <t>la Cueva, Matías de</t>
  </si>
  <si>
    <t>Matías de la Cueva</t>
  </si>
  <si>
    <t>monasterio de las Huelgas de Burgos. También ha tenido á bien S. M. nombrar para; una canongía de la cole­ giata de Cbvaddnga, obispado dé Oviedo, á D. Matías de la Cueva : para otra canongía de la misma colegiata á D. Agustín Blanco: para el beneficio de precisa residencia dé la parroquia de S. Cipriano de Pillarno, diócesis…</t>
  </si>
  <si>
    <t>la Gallitzia, Franciscocede</t>
  </si>
  <si>
    <t>Franciscocede la Gallitzia</t>
  </si>
  <si>
    <t>franceses hasta el 26 de octubre:toda-¡ vía no traen las condiciones de esta paz ; pero un diario de Hamburgo del 22 anuncia que conforme á ellas el emperador Franciscocede la Gallitzia: Fiume, Trieste y la Istria se agregarán al reyno de Italia, aunque otras noticias^ suponen que Fiume y Tries­ te serán ocupados en común por…</t>
  </si>
  <si>
    <t>la Gandera, Esteban de</t>
  </si>
  <si>
    <t>Esteban de la Gandera</t>
  </si>
  <si>
    <t>Arce, antes patriarca é inquisidor general á D. Elias Xavier de Lanza y D. Francisco Garcia del Hoyo, ca­ nónigos de la misma iglesia, y al racionero D. Esteban de la Gandera, escoltados por el mariscal de campo conde de Villanueva de la Barca, el coronel D. Antonio Bogiero, y el capitán D. Fran­ cisco Comiro, ayudante de dic…</t>
  </si>
  <si>
    <t>la Gran, Duque del Parque</t>
  </si>
  <si>
    <t>Duque del Parque la Gran</t>
  </si>
  <si>
    <t>n de ib.) reales* anuales coa trascendencia á su fiKiger en caso.de. failechnieuto , sin perjuicio de la viude­ dad que la corresponda. Ai Teniente . General Duque del Parque la Gran .Cruz de la O- i en de CírIVs III, A Teniente Gineral D. Pedro Rioiriguez de la Baria una pensión de 1 ¿3 reales. .aí fino, que pasara. á 'su mu…</t>
  </si>
  <si>
    <t>la Hungría, Gradiodía de</t>
  </si>
  <si>
    <t>Gradiodía de la Hungría</t>
  </si>
  <si>
    <t>Gaceta de Madrid n.º 256</t>
  </si>
  <si>
    <t>condenadas por do del Tirol , ha llegado con sus tropas á la censura de Viena. la Carintia , y se dirige por Villach al me­ La división holandesa del general Gradiodía de la Hungría. tien ha salido del principado de Munster Se asegura que la corte de Auitfia ha para Holanda, adonde probablemente habrá tenido inquietudes mui s…</t>
  </si>
  <si>
    <t>la Lastra, Antonio Gómez de</t>
  </si>
  <si>
    <t>Antonio Gómez de la Lastra</t>
  </si>
  <si>
    <t>bunal de montes D. ftlartin de Astoreca. ...... .. ? Por su empleo , Dr. D. Eugenio de Llano y Pfavia , cura de S. Pedro. e P&amp;rda santa iglesia * Dr. D. Antonio Gómez de la Lastra. ■'’ - . 'Por su empleo Dr. D. Nicolás-Antonio*Heredero, '' :;i¿ -srí‘ ‘ Pét la vicaría . .. D. Antóñio’de Riaza y D-JosefíCaravaño. . ! ' ' ■ i* ^…</t>
  </si>
  <si>
    <t>la Parra, Gerónimo Mateo de</t>
  </si>
  <si>
    <t>Gerónimo Mateo de la Parra</t>
  </si>
  <si>
    <t>in estar matriculado. 2.000 D. José Llain. 10.000 D. José Martínez Barenque. 40.000 El subteniente D Nicolás Noriega. 1.000 D. Miguel Ardines. 10.000 D. Gerónimo Mateo de la Parra. 2.000 El capitán D. Manuel Horcasitas. 10.000</t>
  </si>
  <si>
    <t>la Pe, Manuel de</t>
  </si>
  <si>
    <t>Manuel de la Pe</t>
  </si>
  <si>
    <t>ijo. — D. Antonio Samper. —D. Ramón ViJlaiba. — D. Lorenzo Caivo. — D. Antonio Valdés. — D. JoséRaniirez. — Marques de Revilla. — D. Luis Gonzalo. —- D Manuel de la Pe­ ña.— Dt Ignacio Antonio de Cortabarria.— D. Ramón Ger.— D. Francisco Xavier de Balmis. — D. Juan Polo. — Marques de. Béigída. — Marques- de Casteiar. — D. Man…</t>
  </si>
  <si>
    <t>la Pena, Josef Rniz de</t>
  </si>
  <si>
    <t>Josef Rniz de la Pena</t>
  </si>
  <si>
    <t>ahora los han dis­ frutado. Y considerando que de los mol­ AVJSO. ges de S. Gerónimo, que poseen varias ca­ sas en el reino , pueden colocarse muchos D. Josef Rniz de la Pena , vecino de Arre­ con quanras conveniencias pide su estado dondo en la montaña de Santander, dirigió en en el vasto edificio del Escorial; hemos de­ 26 …</t>
  </si>
  <si>
    <t>la Portilla, Miguel de</t>
  </si>
  <si>
    <t>Miguel de la Portilla</t>
  </si>
  <si>
    <t>omero 60 rls. para quatro mochilas* -D. Bernardo Alvarado, 20 rls. para dos pares de medias. D. Joaqain Ballestero 20 rls. para dos pares de medias. ^D. Miguel - de la Portilla , 20 rls. para dos pares de medias* D. Francisco Martínez , io rh?. para un par de medias. Doña Inés Domínguez , 48 -rls. para . unos pantalones. D* D…</t>
  </si>
  <si>
    <t>la Prada, Manuel García de</t>
  </si>
  <si>
    <t>Manuel García de la Prada</t>
  </si>
  <si>
    <t>sta villa á D. Frutos debe ser una, pues debe estrechar las rela­ Alváro Bmito , á D. Martin de Huici, á ciones esenciales del hombre , y las que so­ D. Manuel García de la Prada , á D. Ta- brevienen por el pacto social entre los So­ deo Bravo de Rivero, á L). Nicolás- Gar­ beranos y sus pueblos:debe ser la mas ade­ cía.Cabal…</t>
  </si>
  <si>
    <t>la Q, Ambrosio de</t>
  </si>
  <si>
    <t>Ambrosio de la Q</t>
  </si>
  <si>
    <t>sin tomar alimento, alguno, ni produxeron una quexa , ni cometieron? ningún desorden, ni abandona­ ron sus, banderas. Antes , de llegar al,* puente;, D. Ambrosio de la Q ladra reunió sus tropas,,y tomó posición para opo­ nerse al enemigo^ y dar lugar ai embarque y paso^de ías tropas de la división; y D. Ambrosio Carpintier co…</t>
  </si>
  <si>
    <t>la Quadra, Liego de</t>
  </si>
  <si>
    <t>Liego de la Quadra</t>
  </si>
  <si>
    <t>fondeado en este puerto la fragata de S. M. íap JProzerplnaprocedente de Trieste, de donde ha traído de transporte al encargado de negocios en Viena D. Liego de la Quadra, al Enron Ludovico de Ciossasd, que ha estado al servicio del Austria en clase de Mayor, y otras varias personas*. El comandante de dicho buque, con motivo …</t>
  </si>
  <si>
    <t>la Quintana, Manuel de</t>
  </si>
  <si>
    <t>Manuel de la Quintana</t>
  </si>
  <si>
    <t>as.— El marques de Villamejqr. -- D. Vicente Suero. — D. Bartolomé Vincenti. — D. Juan Pedro Vincenti. *- D. Pedro Iglesias. — D. Francisco Ortega. — D. Manuel de la Quintana. — D. Juan Antonio López. — D&lt; Manuel González del Campo. -D. Juan Rayara. — D. Segismundo Malats. — D. José Antonio Ruiz. — D. José Moreno. — D. José M…</t>
  </si>
  <si>
    <t>la Romana, Marqués de</t>
  </si>
  <si>
    <t>Marqués de la Romana</t>
  </si>
  <si>
    <t>tos para introducirse clandestina­ mente en él, no fueron bastante poderosos para defender su presa, ni para conservarla por muchos días. Mientras el General Marqués de la Romana volaba á ponerse at frente del exército de Galicia para acabar con el del General fran­ cés Soult, que arrojado de Portugal por los Ingleses venia á…</t>
  </si>
  <si>
    <t>la Serna, Josef de</t>
  </si>
  <si>
    <t>Josef de la Serna</t>
  </si>
  <si>
    <t>de León; y para ria natural que poseía el señor Cortesi. En­ otra canongía de esta misma santa iglesia á tre otras cosas curiosísimas hai en este ga­ D. Josef de la Serna , teniente vicario del binete un esqueleto de ballena que tiene 28 valle de Carranza: á D. Antonia» Caivo y pies de largo, con la cabeza bien conserva­ Baez…</t>
  </si>
  <si>
    <t>la Silveyra, Francisco de</t>
  </si>
  <si>
    <t>Francisco de la Silveyra</t>
  </si>
  <si>
    <t>ordado que en qualquiera frontera donde se hallare, con­ ferenciase con los Generales D. Bernardino Freyre de Andrade , que estaba en el Miño , ó con D. Francisco de la Silveyra , que mandaba en Tras-io«-Montes, para que le auxiliasen con la mayor fuerza armada que hubiese disponible , y que con ellos concertase las operacion…</t>
  </si>
  <si>
    <t>la Suprema, Vocal de</t>
  </si>
  <si>
    <t>Vocal de la Suprema</t>
  </si>
  <si>
    <t>•I Sr. D. Martin de Garay, Secretario Vocal de la Suprema Junta Central. S. M. quiere que se dé al público esta noticia para su satisfacción, y que la tenga tal , qual la Junta Suprema ¡a lia recibido. 6«n licencia en Sevilla en la Imprenta de la Calle de la Ma</t>
  </si>
  <si>
    <t>la Torre, Antonio Velasco de</t>
  </si>
  <si>
    <t>Antonio Velasco de la Torre</t>
  </si>
  <si>
    <t>? 3Z D. Juan Antonio Cobian. C. 25.00a D. Antonio Velasco de la Torre. C. 4.000 El caballero D. Tomás Domingo de Acha. C. 1 j 0.000 D. Eusebia García. C, 10.000 D. Roque Valiente. C. 25.000 El Sr. administrador principal de la Renta de Correos. xo.ooo El Sr.</t>
  </si>
  <si>
    <t>la Torre, Eduardo López de</t>
  </si>
  <si>
    <t>Eduardo López de la Torre</t>
  </si>
  <si>
    <t>Josef de Laver¡¿, canónigo de la propia co­ las Españas y de las Indias. legiata , con retención de la canongía; y á ,, Hemos nombrado y nombramos al D. Eduardo López de la Torre, cura pár­ marques Caballero presidente de la sección roco de la villa de Comunión, en la pro­ de Justicia y Negocios eclesiásticos, de vincia de Al…</t>
  </si>
  <si>
    <t>la Torre, Josef García de</t>
  </si>
  <si>
    <t>Josef García de la Torre</t>
  </si>
  <si>
    <t>Señor Arzobispo Co-Administrador de Sevilla. Exc. Señor Conde de Tilly. _ , , f Exc. Señor D. Pedro Rivero. Toledo.......*......... ****|íExc. Señor D. Josef García de la Torre. f* Exc. Señor Conde de Contamina. Valencia................ **,'^Exc. Señor Marques de la Romana. Secretario de Estado General Exc. Señor D. 3Jartin d…</t>
  </si>
  <si>
    <t>or Marque* de Campo Sagrado. Exc. Señor D* Francisco Rebolledo de Palafox y Melci. Exc. Señor Conde de Tilly. Exc. Señor D. Tomas de Veri* Exc. Señor D. Josef García de la Torre. Exc. Señor D. Juan de DiosRahé, SECCION DE MARINA. Exc. Señor Barón de Sabasona. Exc* Señor Conde de Ayamans* Exc. Señor Conde de Gimonde. Exc. Seño…</t>
  </si>
  <si>
    <t>la Torre, Lorenzo de</t>
  </si>
  <si>
    <t>Lorenzo de la Torre</t>
  </si>
  <si>
    <t>gefe de escuadrón Mr. Vidal de Sausurs, gobernador, y el Lie. Don Juan Domingo Palomar, regente de la real jurisdicción, v-' - ; Por el ayuntamiento D. Lorenzo de la Torre , regidor, D.Tomas Recio, idem, y Francisco de Huerta, escribano, , Por su iglesia Dr. D. Josef García Sánchez, abad de la santa iglesia magistral, Dr. Don…</t>
  </si>
  <si>
    <t>la Vega, Manuel Perez de</t>
  </si>
  <si>
    <t>Manuel Perez de la Vega</t>
  </si>
  <si>
    <t>diputado D. Pedro González Noriega y su. sobrino D. Lo» renzo García Noriega. 50.000 El diputado teniente Coronel D. Roque Perez. Gómez, y su sobrino D. Manuel Perez de la Vega. 40.000 El diputado capitán I&gt;. José -Iraeta. 10.000 El diputado D. José Palacios Romana, y su hermano Don José Hidalgo. 2.000 D. Francisco Sales Quin…</t>
  </si>
  <si>
    <t>la Vega, Pedro de</t>
  </si>
  <si>
    <t>Pedro de la Vega</t>
  </si>
  <si>
    <t>­ llo, diócesis de Ciudad-Rodrigo á D. Rafael Llanos: para un beneficio de prebisa residencia de la parroquia de S. Salvador de la ciudad de Cuenca a D. Pedro de la Vega: para otro de precisa residencia de la ‘ parroquia de la villa de Guzman, diócesis de Osma, á D. Cesáreo Delgado; y para otro, también de precisa residencia,…</t>
  </si>
  <si>
    <t>la Ville, César de</t>
  </si>
  <si>
    <t>César de la Ville</t>
  </si>
  <si>
    <t>n de infantería nente de gloria á que ha llegado jamas na­ ligera num. 1 subteniente del mismo cuer­ ción a-guna del mundo; pero si por el con­ po; á D. César de la Ville sur Ilion, te­ trario hubiera sido esta su intención, es niente de caballería, capitán en Ja misma •ev-¡dente que no podían haber empleado arma; y D. Birtol…</t>
  </si>
  <si>
    <t>Laborda, Vicente</t>
  </si>
  <si>
    <t>Vicente Laborda</t>
  </si>
  <si>
    <t>el Echinique. — D. Antonio Lajíeña. — D. Baltasar Barragan. — D. Joa­ quín Palacios.— D. Baltasar Val. — D. Mariano Ramírez.-- D. Lo­ renzo Puchol. — D. Vicente Laborda. — D. Antonio Vicente.— D. Vicente Puchol. — D. Julián Navarrete. — D. Pedro Yoldi. — D, José Unceta. — D. Fermín de Lusarreta. ~ D. Eulogio Espi­ no.— D. Fra…</t>
  </si>
  <si>
    <t>Laborde</t>
  </si>
  <si>
    <t>as mas considerables de la mo­ narquía española, reinan la tranquilidad y buen orden, y en todas partes se ha restablecido la autoridad del REI. ~ Él general Laborde ha encontrado en la Coruñayá la orilla del mar,</t>
  </si>
  <si>
    <t>o con Bonaparte. Le sucede en él empleo de mayor generalen el exér­ cito de España el mariscal Soult; y el mando del quarto cuerpo se ha conferido al general Laborde. Se asegura la salida de la esquadra francesa de Tolon, en nu­ mero de 17 navios de linea y 12 fragatas. Algunos creen que se dirige á las costas de Cataluña con…</t>
  </si>
  <si>
    <t>Lacambra, Joaquin</t>
  </si>
  <si>
    <t>Joaquin Lacambra</t>
  </si>
  <si>
    <t>Solsona que ha renuncia­ do D. Joaquin Rey, á D. Josef Soler , vicario general de aquella diócesi : para la de Lérida , vacante por fallecimiento de D. Joaquin Lacambra, á D. Antonio Pastoret, canónigo de Vich : pa­ ra la de Tortosa , vacante por muerte de D. Lozano Colomer, á D. Juan Bautista Cortiella , racionero de la mism…</t>
  </si>
  <si>
    <t>Laceval, Francisco</t>
  </si>
  <si>
    <t>Francisco Laceval</t>
  </si>
  <si>
    <t>a , 40 rls. para dos mochilas y unas medias. D. Juan Rodríguez , 20 rls. para dos pares de medias. D. Josef Domínguez, 10 rls. para un par de media?. D. Francisco Laceval , 60 rls. para quatro mochila?. D Bartolomé López , 20 rls. para dos pares de medias. D. Josef Rodríguez , 153 rls. para diez mochilas. Doña Josefa Tirado, …</t>
  </si>
  <si>
    <t>Laclara, Narciso</t>
  </si>
  <si>
    <t>Narciso Laclara</t>
  </si>
  <si>
    <t>. Narciso Meneses.— D. Fe­ lipe Perena.— D. Martin Garay.— D. Valentín Solanot.— D. Ra­ món Gayan. — D. Gerónimo Castillon. — D. Antonio Laspuertas.— D. Narciso Laclara. — D. Mariano Ciria. — D. José Pons. — D. Antonid' Buil. — D. Pedro Blecüa. — D. Salvador Puycercus. — D. Mariano Baguena.— Condado de Plasencia.— Baronía de'…</t>
  </si>
  <si>
    <t>Lacoste</t>
  </si>
  <si>
    <t>Gaceta de Madrid n.º 69</t>
  </si>
  <si>
    <t>1899</t>
  </si>
  <si>
    <t>specie de lo ral Lacoste * edecán de S. M. el Emperador cura. Lo extraño es que el gato que le mor­ y Rci. dió ni ha rabiado, ni ha tenido novedad El general Lacoste, dotado de todas alguna, y come y bebe como siempre. Se­ aquellas cualidades que forman un corazón ria mui curioso y útil al mismo tiempo á grande y un alma subl…</t>
  </si>
  <si>
    <t>o mérito mas suyas; ¿pero cómo podrá ser verdade­ y los elogios del gobierno. En estos sitios ramente glorioso el permitir que tantas dé­ es donde el general Lacoste se ha adquirí* biles mugeres, tantas doncellas, tantos ni­ do la estimación y la amistad de los Bols- ños y ív-'.v js ancianos quedasen sepultados Gerard, de los…</t>
  </si>
  <si>
    <t>Gaceta de Madrid n.º 86</t>
  </si>
  <si>
    <t>a­ de 1809. — El gefe de batallón , gefe del jado en las comunicaciones que estaban aun estado mayor de ingenieros, = Salvi. por concluir. Visto , el general Lacoste. Dia 27. Noche del 2 7 al 28. Ataque de la derecha.. Las baterías han Ataque de la derecha. Se han coloca­ continuado el fuego para abrir brecha en do dos morter…</t>
  </si>
  <si>
    <t>436</t>
  </si>
  <si>
    <t>el asalto á mo la mas honorífica y la mas digna de un unas quantas casas situadas á nuestra dere­ sugeto de . cierto rango. Por eso la forma cha. El general Lacoste fue herido en este del gobierno feudal era la mas á propósito ataque de una bala de cañón, y murió po­ para asegurar una conquista. Si á esto se cas horas después…</t>
  </si>
  <si>
    <t>Lacy</t>
  </si>
  <si>
    <t>ro­ pia de sus Naciones. El Rey intruso que asistió en persona­ se retiró aquella- tarde hacia Santa Olalla con 98 carros de heridos. La división del Brigadier Lacy está sobre Toledo , y el. exérc»to del General Venegas entraba ayer en Aranjuez con. ánimo de pasar k Madrid., PARTE SEGUNDO DEL EXER.CIXO DE E.XTIÍEMACuIIÁ* El: …</t>
  </si>
  <si>
    <t>es, lo executó con tal bizarría que los desalojó de las alturas de la cues­ ta de la Reyna, matándoles 90 hombres, y haciéndoles 28 prisio­ neros. El Brigadier Lacy se halla sobre Toledo T cuya ciudad , qué tiene una guarnición de 40 hombres, hubiera sido ya ocupada por la fuerza , sino fuera por las consideraciones que deben…</t>
  </si>
  <si>
    <t>obgeto de examinar la posición de aquellas divisiones , y señalarles las que deberian ocupar, aprovechando 1-as ventajas que ofreciese el terreno. El brigadier Lacy, que con su división formaba la vanguardia en el puente Largo, tenia que hacer dos leguas para repasar eL Tajo por el puente de la Reyaa , fínico habilitado , y s…</t>
  </si>
  <si>
    <t>s­ cendía el exército del general Sebastiani á 283 hombres. Su in­ tención era atacar el cuerpo de Venegas; pero este se retiró á Sierra-Morena, y el coronel Lacy al frente de su vanguardia, acometió á un puesto avanzado de los franceses , y les mató mu­ cha gente. Las tropas francesas volvieron entonces sobre el'Tajo, que Jo…</t>
  </si>
  <si>
    <t>ña, par­ ticularmente al derecho , con ánimo de envolverle , hubo por tres horas una tenáz resistencia, y rechazándolos con su división el acreditado brigadier Lacy, la superioridad de la artillería enemi­ ga causó dispersión; y en este caso se emprendió la retirada por la vanguardia y sexta división. Que nuestra pérdida es c…</t>
  </si>
  <si>
    <t>Lacy, IX Luis</t>
  </si>
  <si>
    <t>IX Luis Lacy</t>
  </si>
  <si>
    <t>o Ve liega» al Sr. D. Antonio Cornel el oficio siguiente.. , „ Tengo el honor de trasladar á V. E. el parte quede la acción de Torralba me ha dedo el coronel IX Luis Lacy , que es á la letra cc mo signe.. = Excmo.. Sr. =• ,, El primer ensayo del cuer po volante , compuesto dej regimiento de Bilrgos r la compañ ía de cazadores…</t>
  </si>
  <si>
    <t>Lacy, Luis</t>
  </si>
  <si>
    <t>Luis Lacy</t>
  </si>
  <si>
    <t>or, la antigüedad de sus ser vicios y por su buen exemplo en; esta acción , es digao también de ser ascendido» U úmámente debo manifestar i V. E. que D. Luis Lacy fué hertdp 4 aunque levemente., de uti pistoletazo en la ingle derecha, habiendo te oído la moderación de ocultar este pro­ pio mérito.” E n su conSeqti*ncia se ha …</t>
  </si>
  <si>
    <t>Laflack</t>
  </si>
  <si>
    <t>1083</t>
  </si>
  <si>
    <t>ría? Hrr wiíí, secretarios. de Estado. ,, Visto y sellado. En nuestro palacio de Madrid 1 50 de ,,El canciller del senado , firmad» = agosto de 1809. conde Laflack.” Don Josef Napoleón por la gracia de</t>
  </si>
  <si>
    <t>Lagarde, Pedro</t>
  </si>
  <si>
    <t>Pedro Lagarde</t>
  </si>
  <si>
    <t>nieé , intendente geaera! del exército de España.” —. ___ * - —&gt; Quien se considere con derecho á los bienes de la mása del concurso de acreedoies de D. Pedro Lagarde , vecino del puerta de Sta. María , deberá comparecer en el preciso término de 6 me­ ses , contados desde 3 de julio último , ante el tribunal del con­ sulado d…</t>
  </si>
  <si>
    <t>Lager</t>
  </si>
  <si>
    <t>de Doebeln de Aland es uno de los primeros resultado» fue en persona al quartel general ruso, felices de la mutación de gobierno. Este acompañado del teniente coronel Lager­ exército hubiera perecido infaliblemente, bring. Las condiciones que propuso el ene­ sí S. A. R. 00 hubiera enviado con tanta migo no podían ser admitida…</t>
  </si>
  <si>
    <t>Lagerbring</t>
  </si>
  <si>
    <t>dexó intactos los al­ mentó. Cristóbal señala entonces los artí­ macenes que había alli. En el mismo dia culos que quiere tomar para su uso propio •1 teniente coronel Lagerbring fue al cuar­ ó para el del gobierno; fixa el precio en lo tel general ruso para recibir pasaportes, con que se le antoja, y los paga en café de 23 «1…</t>
  </si>
  <si>
    <t>Lagrandinario</t>
  </si>
  <si>
    <t>paso de correos por esta ciu­ ber sin una especial autorización mas so­ dad. lemnidades religiosas que las del servicio or­ Xa división francesa del general Lagrandinario. Se prohíbe toda celebración de ofi­ ge que había salido de aqni para Austria, cios y fiestas por la noche. Los votos canó­ y llegado ya al Danubio, recibió…</t>
  </si>
  <si>
    <t>Lagrange</t>
  </si>
  <si>
    <t>es, quie­ sin embargo el Excmó. Sr. superintendente nes les han costeado el gasto en todo el ca­ general que con motivo de las actuales cir­ mino. El coronel Lagrange conoce ya al cunstancias pueden no haberlo executado príncipe de Pontecorvo , como que fue co­ algunos tenedores, bien sea por ignorancia, gido prisionero en Lu…</t>
  </si>
  <si>
    <t>allo. El destacamento marchó en persecu­ zándose diariamente.: Ayer: salió también ción de ellos, y habiéndolos encontrado; de aqui para Amberg-’ el 'general Lagrange mató 40, cogió 50 caballos;, y los démai con el cuerpo de tropas que tenia á sus huyeron precipitadamente; pero se espera órdenes» _ ' que según el camino que t…</t>
  </si>
  <si>
    <t>definiciones de las diversas especies de jado de esta ciudad á Munich, adonde irá crímenes contra el estado que se contienen también su división. El general Lagrange en ella, se notan algunas, que pafecen ha­ ha establecido su quartel general en Kempber sido motivadas por hechos recientes. ten. Se está fortificando con mucha …</t>
  </si>
  <si>
    <t>Laguna, Gil Antonio</t>
  </si>
  <si>
    <t>Gil Antonio Laguna</t>
  </si>
  <si>
    <t>lo, canónigo; D. Pedro María Estala, canónigo. Por la ciudad de Toledo. El Sr. conde de Lerena; D. Manuel Bernardo Roldan; D. Julián Gon­ zález Saez; D. Gil Antonio Laguna; D. Diego María Gallar; D. Francisco Ruano Santos; D. Joan Manuel Martínez;. D. Santiago Felipe Barrundos y D. Félix Lorenzo Sanz. Comunidades. R. P. Fr. D…</t>
  </si>
  <si>
    <t>Lajíeña, Antonio</t>
  </si>
  <si>
    <t>Antonio Lajíeña</t>
  </si>
  <si>
    <t>Mallada. — D. Mi­ guel Porte. — D. Jacinto Garisa. — D. Bruno Huici. — D. Manuel Larruga.— D. Ventura Ateza. — D. José Soler.— D. Miguel Echinique. — D. Antonio Lajíeña. — D. Baltasar Barragan. — D. Joa­ quín Palacios.— D. Baltasar Val. — D. Mariano Ramírez.-- D. Lo­ renzo Puchol. — D. Vicente Laborda. — D. Antonio Vicente.— …</t>
  </si>
  <si>
    <t>Lamaeximen, Josef</t>
  </si>
  <si>
    <t>Josef Lamaeximen</t>
  </si>
  <si>
    <t>el celo é inteligencia con que el se. Pasado un año los padres de la expre­ consejo trabaja en las materias sujetas á su sada niña avisaron al dicho D. Josef Lamaeximen, asi los individuos que le compo­ no para que fuese á exáminar y reconocer nen han admirado la sabiduría y altos co­ dos pústulas que la habían salido en el b…</t>
  </si>
  <si>
    <t>Lamano, Josef</t>
  </si>
  <si>
    <t>Josef Lamano</t>
  </si>
  <si>
    <t>s contra este saludable remedio, y v Beloutk. que por haber sucedido el caso en esta cor­ ESPAÑA. te es fácil de comprobar. El cirujano de esta corte D. Josef Lamano vacunó en la calle de S. Leonardo, frente á la iglesia de Madrid j i de mayo. S. Marcos , á una niña de } años , hija de un fabricante de fideos, que vive en dic…</t>
  </si>
  <si>
    <t>Lamarque</t>
  </si>
  <si>
    <t>á se efectúe con la posible brevedad , Tespeclas órdenes del general Chambarlach, y la to á aquellos cuya congrua no llegase á es­ segunda á las del general Lamarque. Los cin- ta cantidad. co generales de brigada son Valletanx, De- art. ni. En los pueblos en que hubie­ veaux, Cacault, Benier y Burke. El ayu­ se bienes, rentas…</t>
  </si>
  <si>
    <t>Lamarre</t>
  </si>
  <si>
    <t>ian-desem­ rei de Italia acompañado de mochos gene­ barcar. Habiendo tenido noticia de esta ex­ rales, é inmediatamente pasó á La vis, Ccmpedición el general Lamarre, partidario de bra y Segonzanoy recorrió toda la línea Petion, se puso inmediatamente en marcha que el general francés Joubert ocupó con para el punto amenazado.…</t>
  </si>
  <si>
    <t>Lamoihe</t>
  </si>
  <si>
    <t>ron de sus puestos : el puente que cortó el enemigo se reparó prontamente, y entró tpdp el convoy en la plaza- sin 01ro obstáculo. Ai mismo tiempo ci coronel Lamoihe que debia maniobrar á la orilla izquierda de! ínn, atacó, á un cuerpo enemigo apostado detras del Kiéscrbach y le obligó á-abandonar, sus posiciones. En seguida …</t>
  </si>
  <si>
    <t>Lamotte</t>
  </si>
  <si>
    <t>ca francés tuvo el gusto de jugar Francfort 24 de octubre. un poco con el autómato; y después en­ cargó á Mr. Maelzel la construcción de una El señor general Lamotte , que man da nueva especie de,carro para sacar los herí- parte de la caballería del 8.* cuerpo de exér. dos del campo de batalla. cito á las órdenes del duque de…</t>
  </si>
  <si>
    <t>Lamperes, Pedro</t>
  </si>
  <si>
    <t>Pedro Lamperes</t>
  </si>
  <si>
    <t>pasen Jos cuerpo?. Ahoia puedo decir á V* E. han sido levemente hsridos el capitán D- Antonio Manso, ayu­ dante de Farnesió , y el tendente de Bárgós D. Pedro Lamperes , que no quiso retiraíse \ habiendo salido contuso en la cabeza cea varis» cuchillada* en .e! sombrero el coronel de Far? rio D. Ramón Ao:z ,d¿ Zuza, Todo lo q…</t>
  </si>
  <si>
    <t>Lances</t>
  </si>
  <si>
    <t>nos. Su siendo todavía mui ¿óv£n el genchraLLacos- infinita bondad se ha; dignado infundir en te, y al segundo iVvió morir el iño y.° el. corazón del mariscal Lances compasión y en el exército de ios Pirineos orientales. generosidad para con nosotros; de manera Pocos militares ha habido que hayan que los valientes aragoneses …</t>
  </si>
  <si>
    <t>Landa, José María</t>
  </si>
  <si>
    <t>José María Landa</t>
  </si>
  <si>
    <t>0 D. Cecilio Armiño Martínez. 7.000 D. Diego Movellan. 16.000 D. José Bernardo Baz 10.000 D. Juan Antonio Aristi. 2.000 D. Joaquín de Echarte. 15.000 D. José María Landa. 4.000 D. Domingo Llano Torre. 2.000 D. Ignacio Suarez. 9.000 El subteniente D. Gabriel Manuel Iturbe. io ooq D. Manuel Tirso Salceda. 2.ooo# D. José Gregori…</t>
  </si>
  <si>
    <t>Langeron</t>
  </si>
  <si>
    <t>bernador no cesa do del exército ruso que ha entrado en de tomar para la seguridad general. = El Turquía. general de dividen Mickaüd.” Se dice que el general Langeron, á la Han llegado aquí ya algunas tropas cabeza de las tropas rusas de Valaquia, se westfalianas y holandesas; y-se cree que ha apoderado de la ciudad de Brahil…</t>
  </si>
  <si>
    <t>zecs ha en­ representación dirigida á S. M. I. y R., trado ea..Gallitzia, por TerespoÍ está man­ ▼otada por el senado el 28 de maytr, con dado por el general Langeron, de origen ocasión de la entrada de las tropas france­ francés. Ha reemplazado al general Koorsa- sas en Viena. ltow&gt; que ha pasado á otro destino. El president…</t>
  </si>
  <si>
    <t>sos se han volteadores del primer regimiento de línea apoderado también de-Hirschowa' y de Si-, westfaliano , que «^adelantaron con impe­ listria. El general Langeron manda esta co-‘ tuosidad , y arrollaron todas las avanzadas luna. *' ■ y los escairamuceadóres ’enemigoV. El prín­ , .* El -exército principal ruso no se adelan…</t>
  </si>
  <si>
    <t>Prosorowski en so tas posiciones dotninao la corriente del:Da-, expediciou'mas allá del Danubio; y queel nubio. Los turcos no podrían siquiera acerr general Langeron , que ha reemplazado á carse á Semendria, sin que aptes tomasen Milloradowitz, ha tomado, con las tropas aquellas dos plazas* qne quedan todavía en Valaquia, una…</t>
  </si>
  <si>
    <t>situada en la orilla La dicta continúa sus sesiones, y te de! Danubio en la^Valaquia menor, el ge­ cree que dorarán hasta el t y de noviembre. neral conde Langeron mandó atacarlos el 19 de agosto, y los arrojó de aquella plaza. AUSTRIA. En consecuencia de esta operación avanzó VUna 6 de noviembre. hasta la fortaleza de Giurgi…</t>
  </si>
  <si>
    <t>Lannes</t>
  </si>
  <si>
    <t>es de Hoya y de Neinburgo, 60021 francos: el mariscal Soult, duque de Dalmacia, una parte de los bailiages de Hoya y de Wes-! íes, 53002 francos : el mariscal Lannes , duque deMontebello, unja parte de los bailiages de Wilhíemsburgo, Harburgo y Winsen , 50001 francos: el general Sebastian! el bailiage dé Bleckede, 40015 franc…</t>
  </si>
  <si>
    <t>reservada de su toral ruina suprema Junta gubernativa del reino. después de la rendición por la magnanimi­ art. m. Nombramos finalmente á Don dad del mariscal Lannes, duque de Monte‘Vicente González Arnao por secretario ge­ bello, y la disciplina de las valerosas tro­ neral del citado consejo de Esrado. pas de su mando; y des…</t>
  </si>
  <si>
    <t>el REI D. Josef Napo­ león I de todas las administraciones ci­ CONFEDERACION DEL RIN. viles y toda especie de empleados á pre­ sencia del Excmo. Sr. mariscal Lannes, Munich 8 de marzo. duque de Montebello, de su plana ma­ A pesar de lo que dice la gazeta de Vie- yor y tropa francesa. na , sabemos positivamente que la paz ajus…</t>
  </si>
  <si>
    <t>tan poderoso como clemente, nar, no sustanciosa leche al pecho de sus ha concedido por el órgano Je su amado madres, sino la sangre angustiada de sus mariscal Lannes, duque de Monttbello , que afligidos corazones: por aquella parte se cu­ manda en gefe el exército francés , el perbría el campo de cadáveres, y se regaba la don…</t>
  </si>
  <si>
    <t>os en el estado do su quartel general de Bruselas á Gante, mayor han salido ya para Alemania. Aqui donde permanecerá hasta nueva orden. aguardamos al mariscal Lannes y á otros El corsario de Burdeos el general Mar­ muchos generales. tin ha apresado y conducido á la Coruña París i(T de abril. una embarcación procedente de rio …</t>
  </si>
  <si>
    <t>Bessieres , duque de ‘ El dia 11 ha corrido la voz en Viena Istria; él general Arrighi, duque de Paque los exótcitos rusos habían formado una dua; el mariscal Lannes , duque de Mora— línea en toda la extensión de las fronteras tebello; el general Savari» duque de Robide Hungría, para suspender la comunicación go; los generale…</t>
  </si>
  <si>
    <t>Lanries</t>
  </si>
  <si>
    <t>nti­ nuado adelantándose siempre hacia lo interior de la población; de manera que dicho dia 7 ocupaban la calle del Coso» y estaba alojado en ella el mariscal Lanries, duque de Montebelío. Los aragoneses habian hecho varias tentativas para introducir socorros en !a ciudad; pero todos sus esfuerzos habian sido inútiles, pues s…</t>
  </si>
  <si>
    <t>LaNuestro</t>
  </si>
  <si>
    <t>to de S. E. el señor las armas se les juzgaría militarmente como mariscal duque de Bellene; hoi ha visto la rebeldes. caballería mandada por el señor general LaNuestro augusto amo se ha visto preci­ tour- Maubourg: no nos es fácil elogiar co­ sado á mandar inmediatamente las represa­ mo es debido á este general, que tiene aqu…</t>
  </si>
  <si>
    <t>Lanz, Josef María</t>
  </si>
  <si>
    <t>Josef María Lanz</t>
  </si>
  <si>
    <t>sco Hurtado de Mendoza. ESPAÑA. Por decreto del mismo día 6 del cor­ riente S. M. ha nombrado en el ministolo Madrid 9 de setiembre. de lo Interior á D. Josef María Lanz, Don Fot decreto de a 1 de agosto S. M. ha Francisco Amonio Zea jD. Cristóbal Cía-</t>
  </si>
  <si>
    <t>reino, en la parte artística1 y científica, las En el ministerio de lo Interior á lo* fiestas nacionales y ceremonias públicas, la gefcs de división D. Josef María Lanz , Don estadística del reino , la agricultura y eco­ Francisco Antonio Zea y D. Cristóbal Cla- nomía rnral, los mercados y ferias &amp;c.; y dera. en ñn ; quanto t…</t>
  </si>
  <si>
    <t>Lanzarote, Josef</t>
  </si>
  <si>
    <t>Josef Lanzarote</t>
  </si>
  <si>
    <t>Ultimamente, Sr., Excmo. recomiendo á V. E. á mi mayor de ordenes el coronel D. Gaspar Vigodet , á los tenientes coro­ neles D. Santiago Terreros, y D. Josef Lanzarote, al ayudan­ te del General de ella el capitán D. Juan Batres, y á mis ayu­ dantes IX Julián Poveda, y D. Nicolás Ortiz de Landazuri, igualmente que al teniente…</t>
  </si>
  <si>
    <t>Lanzarote, Mariana</t>
  </si>
  <si>
    <t>Mariana Lanzarote</t>
  </si>
  <si>
    <t>ión. Los Brigadieres Mayores Generales de in­ fantería y caballería D. Josef María de A'Ó3 , y Marqués de Malespina , con sus Ayudantes los Capitanes D. Mariana Lanzarote, D. Antonio Putg , D. Juan Manuel de Pereyra, y el de la misma dase , graduado de Teniente Corone), D. Julián de Arraya estuvieron siempre á mi lado , y tra…</t>
  </si>
  <si>
    <t>Lapairolerie</t>
  </si>
  <si>
    <t>les tomó Mr. ConD. Juan Francisco López, presbítero ex— tansau , subteniente del batallón del Arriege. cisterciense: para otro beneficio servidero El coronel Lapairolerie se dirigió en se­ de la villa de Bonilla , en la misma diócesi guida hacia Campo y Bonansa; llegó el 18 de Avila, á D. Domingo Francisco Cisne- á la villa d…</t>
  </si>
  <si>
    <t>Lapeña, Pedro</t>
  </si>
  <si>
    <t>Pedro Lapeña</t>
  </si>
  <si>
    <t>deros, D. Emilio del Giudice, vélite de nues­ está nombrado capitán en reemplazo de tra real guaidia, está nombrado subte­ D. Antonio Biedma. niente. D. Pedro Lapeña, subteniente, está D. Antonio de Saulio, también vélite, nombrado teniente en reemplazo de D. Ja­ está nombrado subteniente. se f Diaz. D. Caries Gayano, también…</t>
  </si>
  <si>
    <t>Lapessa, Alfonso</t>
  </si>
  <si>
    <t>Alfonso Lapessa</t>
  </si>
  <si>
    <t>r auto de 19 de Octubre de i8©8 se manda citar y em­ plazar á qualquier acreedor que se conceptúe con derecho á con­ tradecir el pago mandado hacer á D. Alfonso Lapessa en los autos de concurso á D. Luis Seré por el Supremo Consejo, en el recurso hefcho por dicho interesado, para que comparezca ante el Real Tribunal del Consu…</t>
  </si>
  <si>
    <t>Lapetra, Clemente</t>
  </si>
  <si>
    <t>Clemente Lapetra</t>
  </si>
  <si>
    <t>sufre este pais y el de Aragón, dimanados de los famosos espías , traidores á la patria, D. Gerónimo Rocatallada, D. Domingo Brun ( aligs Chandon) , D. Clemente Lapetra, todos vecinos de la villa de Hecho , y éste último vicario: los dos primeros baxaron á Tortosa á principios de agosto , y con el pretexto de ha­ blar á los g…</t>
  </si>
  <si>
    <t>Lapisse</t>
  </si>
  <si>
    <t>27 de abril de 1809</t>
  </si>
  <si>
    <t>Gaceta de Madrid n.º 117</t>
  </si>
  <si>
    <t>ianza de este príncipe son el Madrid iSde abril • general de Gruñe, y los coroneles Delató­ S. M- ha recibido la noticia de que el te y de Collorcdo. general Lapisse, que con su división se Los archiduques que han recorrido las dirigía desde Salamanca á reunirse con el diversas provincias de la monarquía austría­ duque de Bel…</t>
  </si>
  <si>
    <t>y para ir i las cruzadas; pero el señor Heeren, es doloroso que haya sido herido mortal- como tan prudente, se guarda bien de usar mente el valiente general Lapisse. de las aserciones demasiado positivas sobre La división del general Latour-Mau- este particular, y de que usaroD Pasquier, bourg ha entrado hoi por la mañana en …</t>
  </si>
  <si>
    <t>Lapísse</t>
  </si>
  <si>
    <t>ego de fusi­ general Sebastian! tuvo orden de replegarse lería .'mni'vivo y sostenido ; pero la divi­ á marchas forzadas sobre Toledo, donde sión del general Lapísse los acometió con tal</t>
  </si>
  <si>
    <t>Laplace</t>
  </si>
  <si>
    <t>ou— de la antigua paralela que se hizo en el si­ ville, secretarios. tio anterior. Visto y sellado: El canciller del sena­ Dia jo. do. = Firmado m El conde Laplace. Mandamos y ordenamos que el presen­ Ataque de la derecha. Mil doscientos te decreto r autorizado con los sellos del trabajadores han sido empleados en reparar est…</t>
  </si>
  <si>
    <t>y secretarios G. Garnier, servador del viérnes 3 de noviembre Semonville, Herwin. = Visto y sella­ de j5oj&gt;. do, =i57 canciller del senado — firmado, conde Laplace. El senado conservador reunido en el nú­ mero de miembros prescrito por el artícu­ Respuesta de S. M. al senado. lo xc de la acta de las constituciones del a 2 ,, …</t>
  </si>
  <si>
    <t>Lapuy-da, Pedro</t>
  </si>
  <si>
    <t>Pedro Lapuy-da</t>
  </si>
  <si>
    <t>a á Don nios , tolas las comunidades de religiosas, Gerónimo Paez Xaramilío, ídem. Para la de que ante' eran de la filiación de regulare», Zaragoza á D. Pedro Lapuy-da, y en su quedan sujetas á los M. RR. arzobispos ausencia é interinidad á D. Mariano Buriy obispos de lis respectivas diócesis; y los 11o, con el mismo sueldo q…</t>
  </si>
  <si>
    <t>Laques</t>
  </si>
  <si>
    <t>a Gazeta próxima, ) Real'orden■* comunicada á los Generales de mis ejércitos* Acaba ' dé llegar- á S. M.* la proclama publicada en Za­ ragoza por; el mariscal Laques, Duque de Mónte-Bello, en que ■ se previene á ios habitantes' de Aragón que el primero que * se encuentrej con las armas en la mano será castigado de muerte. Est…</t>
  </si>
  <si>
    <t>Larae, Josef María</t>
  </si>
  <si>
    <t>Josef María Larae</t>
  </si>
  <si>
    <t>tribunal ; y rídicas, va desengañando notablemente á para la de alcalde del crimen , que resulta los pueblos, y señaladamente á los de An­ vacante, á D. Josef María Larae, corregi­ dalucía, que ya están cansados de guerra y dor de la villa de la Baúeza. de sacrificios. Pero los furiosos aristócratas Asimismo ha conferido S. M…</t>
  </si>
  <si>
    <t>Lardbabal, José</t>
  </si>
  <si>
    <t>José Lardbabal</t>
  </si>
  <si>
    <t>sq todo la demas consiguiente para defender los puntos que el exército ocupa por esta parte, previniendo, igualmente al co­ mandante de la vanguardia D. José Lardbabal donde debk acudir si le llegaba aviso que los enemigos, se apoderaba^ del puente, como también el punto á que debería dirigiese si por el contrario fuese-ataca…</t>
  </si>
  <si>
    <t>Lardizabal, Domingo Ignacio</t>
  </si>
  <si>
    <t>Domingo Ignacio Lardizabal</t>
  </si>
  <si>
    <t>ngo ligarte. C. 4-000 D. Vicente Eguia. C. 50.000. D. Esteban Velez de Escalante. C. 50.000 D. Pedro Muguerza. C. 10.000 D. Joaquín Aldana. C. 10.000 D. Domingo Ignacio Lardizabal. 50.000 D. Mateo Palacios. C. — 50.000 D. Antonio Ugaldéa. C. 2.000 D. Gregorio Saenz de Sicilia. C. 15.000 D. Fernando Hermosa. C. 12.000 D. Josef…</t>
  </si>
  <si>
    <t>Larregui, Francisco</t>
  </si>
  <si>
    <t>Francisco Larregui</t>
  </si>
  <si>
    <t>Leiral, O. Cirios Re- Reflexiones sobre los decretos de 18 de boul, JD. Francisco Guilmó , D. Benito agosto relativos tí la cesación de las Navarro, D. Francisco Larregui , D. An­ grandezas y títulos que no se hayan con­ drés Piñuela , D. Víctor Moreno, D.Juan cedido 6 confirmado por S. Al. reinante, Ribera, D. Francisco Gonz…</t>
  </si>
  <si>
    <t>Burand y D. Juan Teran oficiales primeros ; á ©. Mateo Bravo y Lomas, D. Antonio Leiral , D. Carlos Reboul, ©. Francisco Guilmó , D. Benito Navarro, D. Francisco Larregui , D. Andrés Piñuela , D. Víctor Moreno, D. Juan Ribera, D. Francisco González, D. Sevérino Rie-zu y D. Eusébio Heros oficiales segundos ; á D. Juan Esteban …</t>
  </si>
  <si>
    <t>Larroy, Tomas Castillo</t>
  </si>
  <si>
    <t>Tomas Castillo Larroy</t>
  </si>
  <si>
    <t>rboles. — D. Joaquin Heredia. — D. Ildefonso Quartero.--Doña Ven­ tura Lisa. — D. Pedro Silves— José Fornies. -- D. José Latasa. — D. José Marracó. — D. Tomas Castillo Larroy. -- D. Vicente Camacho. -- D. Pablo Pasqual.— D. Juan Ramón Perez. -- D. Xa­ vier Castillo.--Monjas de Sigena. — D. Ambrosio Nasarre.— Mar­ ques de las …</t>
  </si>
  <si>
    <t>Larruga, Manuel</t>
  </si>
  <si>
    <t>Manuel Larruga</t>
  </si>
  <si>
    <t>D. Felipe Arias. — D. Juan Casaus. — D. José Ponte.— D. Mariano Olaso.—D. Juan Mallada. — D. Mi­ guel Porte. — D. Jacinto Garisa. — D. Bruno Huici. — D. Manuel Larruga.— D. Ventura Ateza. — D. José Soler.— D. Miguel Echinique. — D. Antonio Lajíeña. — D. Baltasar Barragan. — D. Joa­ quín Palacios.— D. Baltasar Val. — D. Marian…</t>
  </si>
  <si>
    <t>las Casas, José de</t>
  </si>
  <si>
    <t>José de las Casas</t>
  </si>
  <si>
    <t>Sr. D. Fernando VII, se ha servido nombrar para la dig­ nidad de arcediano de Huete ,. vacante en la iglesia catedral dé Cuenca.por fallecimiento, de D. José de las Casas , á D; Simón Perez Aguirre , 'penitenciario en la de Jaén : para la canongía dé la misma iglesia, vacante pór muerte de D. Juan José Tenajas; á D. Joaquín V…</t>
  </si>
  <si>
    <t>las Meras, Manuel de</t>
  </si>
  <si>
    <t>Manuel de las Meras</t>
  </si>
  <si>
    <t>ejo de Hacienda; á D. Francisco Xavier S. M. su ministro secretario de Estado Ma­ Duran , del antiguo consejo de Castilla; á riano Luis de XJrquijo.” D. Manuel de las Meras, intendente de cxercito y consejero honorario de Indias; Don Josef Napoleón por la gracia de á D. Josef Ignadio Joven de Salas , minis­ Dios y por la cons…</t>
  </si>
  <si>
    <t>Lasaíte</t>
  </si>
  <si>
    <t>ión para ponerlos en noticia del público. só el Emperador á la misma. Aquella no­ Por el mismo conducto (4) se sabe tam­ che la caballería ligera del general Lasaíte, bién que el Reí de Westfalia Gerónimo , á y las divisiones Molitor y Boudet, atrave­ pesar de sus proclamas y decretos para im­ sando el último brazo, llegaron …</t>
  </si>
  <si>
    <t>Lasalle</t>
  </si>
  <si>
    <t>rto sino para retirarse síii haber aun disparado Un fusil. ' Los ingleses que se* han encostrado hasta ahora han sido 17 enfermos y 8 hombres, que el general Lasalle mandA atacar el día 11 en Talavera de la Reina; y todo&gt; ellos eran hannoverianos. (2) ¡Artería inútil! Los transportes que se preparan en Inglaterra no están nué…</t>
  </si>
  <si>
    <t>fin, el duque de Rívoli, enfadado de estar Por la noche pasaron la división de ca­ á la defensiva, atacó á su vez , y arrolló al ballería ligera del general Lasalle , y las di­ enemigo. El general d- división Legrand se visiones Molitor y Boudet. ha hecho notar por aquella sangre fiu é in­ El Emperador, acompañado del prínci­…</t>
  </si>
  <si>
    <t>entes de comunicación por direc­ ción del Coronel de artillería Aubry, y e! 20 pasó el Em­ perador á la misma. Aquella noche la caballería ligera del General Lasalle y las divisiones Molitor y Boudet, atrave­ sando el último brazo del rio, llegaron á la orilla izquierda, cuyas posiciones reconoció Bonaparte el dia 21, acompañ…</t>
  </si>
  <si>
    <t>ntre ellos tres generales} le tomamos 12 cánones con gran cantidad de municiones ; y lo dexamos tan escarmentado que no se atrevió á perseguirnos. El general Lasalle es uno de los franceses muertos. — No es tampoco despreciable la pérdida que nosotros hemos sufrido. Están sin esperanza de. vida los generales Pedro Vecsay , d’…</t>
  </si>
  <si>
    <t>Lasfse</t>
  </si>
  <si>
    <t>Gaceta de Madrid n.º 319</t>
  </si>
  <si>
    <t>y el teniente bien hubiera debido llamarse Cripto-Pórtigeneral Markow la de segunda clase. Al te­ co ; pero en estas excavaciones se ha déscui niente general Lasfse le han dado algunas bierto otro de varios pisos, yes mui nota­ tierras en remuneración de sus servicios.” ble por un tubo ó cañón de tiza, colocado en un ángulo, …</t>
  </si>
  <si>
    <t>Laspuertas, Antonio</t>
  </si>
  <si>
    <t>Antonio Laspuertas</t>
  </si>
  <si>
    <t>z.-=-'D. Vicente Lisa.—D. Narciso Meneses.— D. Fe­ lipe Perena.— D. Martin Garay.— D. Valentín Solanot.— D. Ra­ món Gayan. — D. Gerónimo Castillon. — D. Antonio Laspuertas.— D. Narciso Laclara. — D. Mariano Ciria. — D. José Pons. — D. Antonid' Buil. — D. Pedro Blecüa. — D. Salvador Puycercus. — D. Mariano Baguena.— Condado de…</t>
  </si>
  <si>
    <t>Lastocq</t>
  </si>
  <si>
    <t>viles y uno de 11, y dos de 6 ; y que después de militares,y muchas personas de distinción. un combate obstinado por espacio de una S. E. el teniente general Lastocq , goberna­ hora , le ha apresado y conducido á Frede- dor de esta capital, brindó por la salud del riksvern. Nuestra pérdida ha sido muí cor­ Emperador, y el con…</t>
  </si>
  <si>
    <t>Lasus, Juan</t>
  </si>
  <si>
    <t>Juan Lasus</t>
  </si>
  <si>
    <t>e­ do 17 de octubre de 1899. —Exemo. Sr. — Nicolás MahyP * El tribunal del consulado de Cádiz, en los autos de concurse de acreedores á los bienes de D. Juan Lasus y compañía ha man­ dado por providencia de 18 de noviembre deí año próximo pasa­ do , que se cite y emplace á quantos se estimen con derecho á lós bienes de la ind…</t>
  </si>
  <si>
    <t>Latasa, José</t>
  </si>
  <si>
    <t>José Latasa</t>
  </si>
  <si>
    <t>Garay. — Conde Parsen, marques de Bárboles. — D. Joaquin Heredia. — D. Ildefonso Quartero.--Doña Ven­ tura Lisa. — D. Pedro Silves— José Fornies. -- D. José Latasa. — D. José Marracó. — D. Tomas Castillo Larroy. -- D. Vicente Camacho. -- D. Pablo Pasqual.— D. Juan Ramón Perez. -- D. Xa­ vier Castillo.--Monjas de Sigena. — D. …</t>
  </si>
  <si>
    <t>Latines</t>
  </si>
  <si>
    <t>e París1 e! Emperador, acom­ pañado; de su esposa, para Strasburgo con el fin de hallar­ se cerca de sus exércifcos.. El día anterior habia salido el Mariscal Latines para el exército del Rhin.. El general Girouchy , que fué Gobernador militar de Madrid durante el man­ do de Miurat,. ha marchado también á mandar la caballería…</t>
  </si>
  <si>
    <t>Latour-Mau</t>
  </si>
  <si>
    <t>rido mortal- como tan prudente, se guarda bien de usar mente el valiente general Lapisse. de las aserciones demasiado positivas sobre La división del general Latour-Mau- este particular, y de que usaroD Pasquier, bourg ha entrado hoi por la mañana en Ta­ Mezerai y de Massieu: reduce la influen­ iavera. cia poética de las cruz…</t>
  </si>
  <si>
    <t>Latour-Maubourg</t>
  </si>
  <si>
    <t>ha sido sorprchendi- ble que les ha hecho en limpiar aquella do el 22 del corriente por la caballería del tierra de tantos foragidos que, socolor de general Latour-Maubourg, y ha quedado patriotismo, eran una plaga destructora de casi del todo destruido; han muerto too sus propiedades. hombres, y mayor número de ellos han si­…</t>
  </si>
  <si>
    <t>Lau</t>
  </si>
  <si>
    <t>batallón no tenia ni caba­ neral de brig.di Lacour ha manifestado on llería ni artillería. Al acercarse nuestras tro­ valor y serenidad sin igual. El conde Lau- pas quiso empezar el fusileo; pero nuestra jri'ton ha colocado la artillería con suma in­ caballería lo cercó por todas partes, y hu­ teligencia , lo que ha contribui…</t>
  </si>
  <si>
    <t>después que quedó este herido, do del Licea. Este e tuerzo tertni.ió la jor­ hubo formado ios regimientos 5.0 y 18.0, nada por nuestra izquierda: el general Lau- marchó contra ios enemigos, y los obiigó á nai , que marchaba ai frente de los regi­ retirarse. En un instante ganamos suficien­ mientos 79.0 y 8i,°, quedó herido gr…</t>
  </si>
  <si>
    <t>Laugs</t>
  </si>
  <si>
    <t>on! con 18® hombres de nuestro exér­ - También está aquí de vuelta del viage cito para entrar en Cracovia, de donde, se­ que ha hecho'por Alemania el doctor Laugs- gún las últimas noticias, no distaba sino 13.. dorf, célebre naturalista. leguas. La vanguardia se ha apoderado ya de - Con motivo de haberse presentado cer­ Opato…</t>
  </si>
  <si>
    <t>Launaí</t>
  </si>
  <si>
    <t>ellos es vadeable. Me resolví pues á no ata­ Coloqué en segunda línea el regimiento 81.® car de frente á Gospich, y determiné aco­ á las órdenes del general Launaí y del co­ meterla por la espalda., amenazando al mis­ ronel Bouté, y en reserva un batallón del mo tiempo cortar la retirada al enemigo. 11.°, que destaqué de la d…</t>
  </si>
  <si>
    <t>Lauriston</t>
  </si>
  <si>
    <t>or que el duque de Ragusa, reforzado con un frente de Presburgo, apoyada contra el la­ Cuerpo numeroso de dálinatas, salió de Os- go de Neusiedeí. El general Lauriston está trovitza el 2 5 de abril á la cabeza de 20® en Stiria, en las inmediaciones del Simeringhombres, y que se ha dirigido hácia la bergy de Bruck. (1). El mar…</t>
  </si>
  <si>
    <t>a­ vaban socorros, y durante la noche procu­ dable noticia de haber llegado á Bruck el raban disfrazarlos y ponerlos en salvo. exército de Italia. El general Lauriston Las proclamas y conversaciones del ar­ había ido á su encuentro» y se verificó la chiduque Jnan no inspiraban sir.o el menos­ reunión en el Simeringberg. Un ca…</t>
  </si>
  <si>
    <t>artel general en Oedemde que no sean gravosas ¿ los habitantes de bnrgo, en Hungría. la ciudad. El dia 7 continuó su movimiento, y llegó á Guns; y el general Lauriston se REINO DE ÑAPOLES. unió á su izquierda con el cuerpo de obser­ vación. ' Ñapóles 3 de junio. El dia S el general Montbrun, con su En cumplimiento de una orde…</t>
  </si>
  <si>
    <t>y ex­ cito francés de España sino es la guardia traviados ha perdido 100® hombres. Con imperial. que debian quedarle todavía 200® distri­ El general- conde Lauriston continúa el buidos en la forma siguiente : el archidu­ sitio de Raab con la mayor actividad. La que Juan tenia en la batalla de Raab 5 c® ciudad ha empezado á ar…</t>
  </si>
  <si>
    <t>na parte mui glotiosa en la acción de Pa­ mientes y batallones hechos prisioneros. pa , en donde merecieron grandes elogios del virci de Italia y del general Lauriston, IMPERIO FRANCES. que las mandaba. La batería á las órdenes del capitao Freidorf se distinguid particu­ .y Aren 98 de julio. larmente en aquella ocasión. El 14…</t>
  </si>
  <si>
    <t>Lauz, José María</t>
  </si>
  <si>
    <t>José María Lauz</t>
  </si>
  <si>
    <t>segundos ; y por Archivero k D. Francisco Hurtado de Mendoza. Por decreto del mismo dia 6 del corriente ha nombrado en el ministerio délo interior k D. José María Lauz , D. Francisco Antonio Zea y D. Cnstoval Cladera xefes de división ; á D. Joa­ quín Albaytua , D. Luis Bellocq y D. Pedro Isla , oficiales pri­ meros ; á D. Fa…</t>
  </si>
  <si>
    <t>Lava</t>
  </si>
  <si>
    <t>mbres, y de 800 á caballos; pero se halla re­ ducida, según ias mejores noticias, á 6 ó 7^ hombres , y 500 ó 550 caballos , y la manda actualmente el General Lava!. ,, Tenia este su quartel general en Alcañiz, donde ordina­ riamente estaba reconcentrada el grueso de la división, aun­ que haciendo alguna» salidas, ó enviando g…</t>
  </si>
  <si>
    <t>Laval</t>
  </si>
  <si>
    <t>ado su satisfacción á estas valientes tropas. Hoi ha pasado revista á las ae la confederación del Rin, las quaíes for­ man )a división mandada por el general Laval. Los regimientos de Nassau y de Badén se han portado bien.. El duque de Istria salió de Guadalaxara el día ó despues de. haber rer corrido todo el camino que va á …</t>
  </si>
  <si>
    <t>or de Valdealgcrfa, su gran amigo , que habian salido de la ciudad á pasear á caballo, y tu­ vieron que correr á galope tendido para libertarse. • El general Laval, comandante de las fuerzas francesas de Alcazuz, rezeloscr de los movimientos que hacen nuestras tropas hacia la frontera oriental de Aragón', ha dado orden al ayu…</t>
  </si>
  <si>
    <t>Lavalle, Antonio</t>
  </si>
  <si>
    <t>Antonio Lavalle</t>
  </si>
  <si>
    <t>3 en 130; la viuda dé Retortillo 4 en 170; la condesa de Sarria 16.100; el conde de las Cinco-Torres 4 en 15.200 ; D. Miguel de Cas­ tro 3 en 6900 ; D. Antonio Lavalle 2 en 5700. — De San Lucar de Barameda , D. Francisco de Paula Rodríguez 4 en 12.600. — Para conducciones y mantenidas por sus propios due­ ños , se han entrega…</t>
  </si>
  <si>
    <t>Lazcano, Pablo</t>
  </si>
  <si>
    <t>Pablo Lazcano</t>
  </si>
  <si>
    <t>spondientes á la cofradía de Sta. Lu­ cía, al contado 1496, y 2244 al fiado: una casa y varias heredades perte­ necientes á la capellanía merelega de D. Pablo Lazcano, al contado 4675 y yoi2 y medio al fiado: 54 heredades en los términos del lugar de Etura pertenecientes á su cabildo y fábrica, al contado 11557 rs. y 16582 y …</t>
  </si>
  <si>
    <t>Lbvera, Esteban</t>
  </si>
  <si>
    <t>Esteban Lbvera</t>
  </si>
  <si>
    <t>274 llegando hasta Sarria. Recomienda á su segundo D. Esteban Lbvera que mandaba la vanguardia. wfin oficio posterior da parte de que luego que vió que la divi­ sión del Sr. Claros cargaba aí enemigo por la parte de. 5. Medi deter­ minó atacar de nuevo , lo que efectuó su tropa con t</t>
  </si>
  <si>
    <t>Lean</t>
  </si>
  <si>
    <t>130 «lose ejecutado asi ,.me da-parte en estar hora el eapitan D. Lean­ dro Antonio García desde-Belsnchonhaber atacado á Fuentidueña , y hecho prisionero aquel destacamento con un oficial, sin mas desgracia por su par¡te que la de 2 (Caballos heridos., sien­ do la del enemigo 9- muertos y 3 heridas : esto sin haber podida</t>
  </si>
  <si>
    <t>Leandro</t>
  </si>
  <si>
    <t>. Félix ( D. Hilario), teniente del mismo re­ Cladera ( D. Cristóbal), gefe de división éa gimiento. el ministerio de lo Interior. Fernandez Moratin (D. Leandro), secre­ Clari (D. Mario), coronel y nuestro edecán. tario de la interpretación de lenguas. Clari ( D. Bienvenido), teniente coronel y Ferrandiz (D. Vicente), tenient…</t>
  </si>
  <si>
    <t>delinea núm.i.— Franchi (D. Antonio) cabo del núm. 1 , brigada irlandesa. — Félix: (D. Hilario) teniente del mismo regimiento. — Fernán­ dez Moratin (D. Leandro) secretario de la interpretación dé' lenguas. — Ferrandiz (D. Vicente) teniente coronel de artille­ ría. — Fuentes (D. Julián). — Four (D. Juan) sargento pri­ mero de…</t>
  </si>
  <si>
    <t>Lebora, Juan</t>
  </si>
  <si>
    <t>Juan Lebora</t>
  </si>
  <si>
    <t>nte Romero, io rls. para un par de medial. P. Manuel Visuerte , lo rls. para un p3r ae media?. I). Juan del Villar,'20 rls. par3 dos pares de medias. D. Juan Lebora , ij rls. para una mochila. Doña Mariana Gallardo, 40 rl ‘. para dos mochilas y unas medías. D. Francisco Ruiz , y D. Manuel Perez, 20 rls. para dos pares de medi…</t>
  </si>
  <si>
    <t>Lebrun</t>
  </si>
  <si>
    <t>dole hasta el otro,lado del Fluvia , y causán­ dole gran pérdida en muertos y heridos. También le han cogido algunos pri­ sioneros , y entre ellos al coronel Lebrun, segundo comandante dé ¡I ex­ pedición, y coronel del regimiento de Tarragona, al mayor y á un capitán del mismo regimiento. ^ ESPAÑA. Astorga 2 d&amp; enero de 1809.…</t>
  </si>
  <si>
    <t>Lechi</t>
  </si>
  <si>
    <t>víveres. La pérdida del enemigo en esta jornada pasó de 300 hombres, y la nues­ tra fue de 80 hombres entre muertos y heridos. Las disposiciones del general Lechi contribuyeron mucho al buen éxito de esta acción. £1 general en gefe ha:quedado igualmente mui satisfecho de la conducta del ayudante comandante Devaux y del corone…</t>
  </si>
  <si>
    <t>ario general de policía tina esque­ la, en la que le ofrecía perdón y grandes recompensas si contribuía al lo­ gro de una intriga dirigida á ganar al general Lechi, para que este entrega­ se la ciudadela y el castillo de Montjui, y á este fin le incluía uña carta para dicho general. Ei comisario , que ha sido siempre uno de l…</t>
  </si>
  <si>
    <t>206</t>
  </si>
  <si>
    <t>do, Ramón Casanova* comisario general de Policía. Carta escrita por el general Vives y general en gefe del exército español delante de Barcelona , al general Lechi. Señor general Lechi: vuestro grado, los sueldos qtie disfrutáis, ascen­ sos,^ un millón de pesos fuertes, asilo perpetuo en España, ó vuestra tras­ lación á Ingla…</t>
  </si>
  <si>
    <t>do llegar trés : los restantes han sido apresados por los ingleses , que han repartido sus cargamentos entre los pue­ blos dé la costa de levante. El General Lechi , encargado del mando de las tropas ene­ migas del Vállés ha intentado tres veces entrar en Barcelo­ na ; pero se le ha hecho entender por el General St. Cyr, que …</t>
  </si>
  <si>
    <t>Lecoq</t>
  </si>
  <si>
    <t>blicas, al banco, á Jos establecimientos marítimos Scc., de las quales han hecho un uso muy perjudicial los enemigos* También han "sido arrestados el General Lecoq y algunos otros oficiales prusianos por razón de su conducta en la última guerra* Conclusión de las noticias de Londres de 24 de enero. Las circunstancias nos han …</t>
  </si>
  <si>
    <t>los oficiales que mandaban las fortalezas prusianas han sido arrestados y puestos en consejo de guerra: el general Romberg, comandante de Stettin; el general Lecoq* comandante de Hameln; el general Beneckendorf, coman­ dante de Spandau; el coronel Bouman, principal ingeniero de Custrin; el mayor Rauch, que según se dice, cont…</t>
  </si>
  <si>
    <t>Ledesma, Felipe</t>
  </si>
  <si>
    <t>Felipe Ledesma</t>
  </si>
  <si>
    <t>el Alvaro Benito y D. Miguel de Lázaro, canóni­ gos de la catedral; D. Carlos Mesa, por la fábrica de paños; D. Diego Pir catoste, por rentas reales; D. Felipe Ledesma, por el comercio. Prelados de las religiones. Los de mercenarios, trinitarios\agustinos, ¿ármen descalzo, gerónimos, capuchinos, franciscanos, de S. Pedro de A…</t>
  </si>
  <si>
    <t>Lefebre</t>
  </si>
  <si>
    <t>Príncipe de Ncuf-ehatel, xefe del Estado mayor.=r ■Alexandro.” Copia de la orden dada en Chamartin el 22 de diciembre á las 10 de la mañana» ¿ti Sr. Mariscal Lefebre , Duque de Dantzick. „E1 Emperador me ba dado orden de haceros saber , Seño? Mariscal , que ha nombrado á S. M. el Rey de España por su Teniente , y que hasta la…</t>
  </si>
  <si>
    <t>lvarsede las garras de los tigres. Al tesorero Mayerhofer, ancia­ no de 82 años, lo asesinaron sus dos salvaguardias. Aun los esfuer­ zos del misino, general Lefebre y de otros varios oficiales franceses, móiros insensibles en esta ocasión á la voz de la humanidad, no fueron suficientes á impedir que los bávaros desasen de te…</t>
  </si>
  <si>
    <t>287</t>
  </si>
  <si>
    <t>GAZETA DEL GOBIERNO DEL JUEVES 12 DE OCTUBRE DE 1809. NOTICIAS EXTRANGERASí ALEMANIA. Hasta principios de setiembre. El exército francés al mando del mariscal Lefebre, reforzado con una división bávara,fue destinado inmediatamente después de la conclusión del armisticio á desart­ illar y someter los valerosos habitantes del T…</t>
  </si>
  <si>
    <t>h. Desdé el 20 lian enarboládó también dé nuevo el estandarte déladnsurreccion los. distritos, dé Moñtafeen, de Adlesberg, etc. Inmediatamente que el mariscal Lefebre fúé ’vencido y obli­ gado á retirarse hacia; Salzburgo , .la llama del levantamiento se extendió rápidamente hasta el Voralberg ,.cuyos habitantes han vuelto á …</t>
  </si>
  <si>
    <t>píritu y energía de que vemos animados á paisanos sin instrucción ni conocimien­ tos. Parece que ahora se acerca-de nuevo h. sus fronteras el mis­ mo mariscal Lefebre, que pasó á¡ Viena después dé la memorable lección y escarmiento que reéib-ióide los patriotas. cerca.de las mu­ rallas dé Inspruck; y para proteger la Baviera.…</t>
  </si>
  <si>
    <t>Dantzick que entregase las armas, le respondió que le mandase dos de sus ayudantes, y que estos decidiesen si en 1755., quando el duque-solo era Jel general Lefebre, obedecería á semejante intimación estando al frente de unas fuerzas como las que él mandaba. Se regula en 803 el número de insurgentes, lo que parece increíble. …</t>
  </si>
  <si>
    <t>conocen- la dulzura del temperamento de Bonaparte podrán formarse idea de la impresión que estas noticias le hicie­ ron. Mandó inmediatamente que el mariscal Lefebre, auxiliado por los generales bávaros VVrede, Deroi y Siebbein , al frente de 243 hombres marchase contra los tiroleses por el camino de Saltzburgo, el general Ra…</t>
  </si>
  <si>
    <t>Lefebvre</t>
  </si>
  <si>
    <t>friega pudo convencerse el enemigo de lo que tenia que te­ mer por parte de semejantes soldados en una acción general. Sin duda co­ metió un yerro el general Lefebvre; pero es yerro propio de un francés: debe ser vituperado y premiado á un tiempo. Los prisioneros que á estas horas existen en poder de los franceses lle­ gan á …</t>
  </si>
  <si>
    <t>llegó el día 20 na de Holanda , representada por madama á Ulma, de donde continuó su viage para Lambertini. En seguida hubo gran parada Augsburgo. El mariscal Lefebvre , duque en la plaza real , y por la noche un hermo­ de Dantzick , ha llegado también á Suavia, so concierto de música en palacio. donde aguarda al mayor genera…</t>
  </si>
  <si>
    <t>Rei de Suecia está en Gripsholm. Francia. S. M. el Rei de Saxonia ha salido de Munich (7 de abril. ■Varsovia para Dresde el dia 26 del cor­ S. E. el mariscal Lefebvre, duque de riente. D ntzick , después de haberse detenido aqui algunos dias , ha partido para Landshut. Es CONFEDERACION DEL RIN. mui verosímil que vaya á tomar …</t>
  </si>
  <si>
    <t>LefebvreDesnouetes</t>
  </si>
  <si>
    <t>ce mucho honor es­ te combate, pues fue de 400 hombres contra 2©. En todo el dia 29 creció tanto el rio, que al anochecer no era posible vadearle. El general LefebvreDesnouetes, estando á pique de ahogarse, fue arrebatado por la corriente hasta la orilla ocupada por los ingleses, y quedó prisionero. La pérdida de los enemigos…</t>
  </si>
  <si>
    <t>Legr</t>
  </si>
  <si>
    <t>El general Legr^nd con sn .división ocu­ En .la altara media de 4 pies 6 pulgadas.. pa los bosques qoe hai delante de la cabeza En Buda quando las aguas están bazas de puente. El exército enemigo está en 2 pies. árde</t>
  </si>
  <si>
    <t>Legrand</t>
  </si>
  <si>
    <t>pere­ mas allá del Traun con 35© hombres; pe­ cieron todos quantos había dentro. En se­ ro viéndose á riesgo de- ser cercados por el guida acudió el general Legrand á socorrer duque de Montebello, se dirigieron hacia la división'Claparede. Se le unió el general Ebersberg con ánimo de pasar el río por Durosnel, que venia por l…</t>
  </si>
  <si>
    <t>Legraud</t>
  </si>
  <si>
    <t>el capitán WeinzierI, primer edecán del coroné! Netlehlkéio , y el capitán de GRAN DUCADO DÉ BADEN. Ilammerer, que ha hecho el servido del edecán del general Legraud. Carlsruhe #p de julio. La pérdida de nuestras tropas, durante Acaba de publicarse una relación de las las jornadas del 5 al 6, es de 3 oficiales y operacoaes de…</t>
  </si>
  <si>
    <t>Leieusne, Pedro</t>
  </si>
  <si>
    <t>Pedro Leieusne</t>
  </si>
  <si>
    <t>es 1460 rs., y con res­ zado : poema en prosa de Mr. Bitaube: 2 tomos en 8.*, pecto á él su valor al contado 3 2120, y al fiado 48180. traducido por D. Pedro Leieusne, teniente de caballe­ Otra en la calle de la Montera, núm. 4, manz. 342, ría délos realesexéicitos. No hai clase de personas,por cuyo producto anual es 20515 rs…</t>
  </si>
  <si>
    <t>Leiral, Antonio</t>
  </si>
  <si>
    <t>Antonio Leiral</t>
  </si>
  <si>
    <t>Ibarrela., D. Vicente Perez de Hervás, D. Manuel Celestino Carirasco., D. Juan Burand y D. Juan Teran oficiales primeros ; á ©. Mateo Bravo y Lomas, D. Antonio Leiral , D. Carlos Reboul, ©. Francisco Guilmó , D. Benito Navarro, D. Francisco Larregui , D. Andrés Piñuela , D. Víctor Moreno, D. Juan Ribera, D. Francisco González…</t>
  </si>
  <si>
    <t>Leith</t>
  </si>
  <si>
    <t>esistieron también con ventaja la bri­ gada del mayor general Manningham, que formaba la izquierda de vues­ tra división, y una parte de la del mayor general Leith, que formaba la derecha de la división que estaba á mis órdenes.- * ■* - v.JPol ió:que hace'al ala izquierda el enemigo se limitó al principio.i atas­ car nuestros…</t>
  </si>
  <si>
    <t>gada al mando del Mayor general Manningham, que formaba la izquierda de* la división de Vd. , y una par­ óte de la que estaba á las órdenes del Mayor general Leith y que formaba la derecha de la división de mi mando. Por la izquierda se limitó primeramente el enemigo á atacar nuestros piquetes , los quales á pesar de todo man…</t>
  </si>
  <si>
    <t>Lemar</t>
  </si>
  <si>
    <t>rvenich , lo ha batido y preci­ la elegancia de sus trages, como por el buen sado á retirarse. Habiéndose presentado di­ gusto y delicadeza del señor conde Lemar­ ferentes destacamentos en la orilla izquier­ rois. Asistieron mas de 500 personas,y tu­ da del Zermagna inferior , el coronel Cavieron el placer de ver sentadas á l…</t>
  </si>
  <si>
    <t>Lemarrois</t>
  </si>
  <si>
    <t>ridad ha producido las bravatas y el ul­ traje. Hoi dia, huyendo con desorden, Roma a o de mayo. perseguido y mofado en toda la Italia , las El señor general Lemarrois, edecán de circunstancias añaden á lo odioso de su car­ S. M. y comandante en los estados roma* ta la ridiculez mas graciosa. Un general, nos, ha celebrado las…</t>
  </si>
  <si>
    <t>la brecha, perador el ministro secretario de Estado ó forzado los primeros el pase de un puente. H.B. Maret." art. v. Para ser gran caballero será El general Lemarrois , edecán de S. M. necesario haber mandado en gefe » ó una el Emperador, ha Llegado aqui de Viena. batalla campal, ó un sitio, ó un cuerpo en También acaba de l…</t>
  </si>
  <si>
    <t>Leo</t>
  </si>
  <si>
    <t>te nombrado alcalde exáminador decano Por S. E. el duque de Frías, embaxa- del extinguido tribunal del Protc-medicato dor de S. M. el REI de España , D. Leo­ en la facultad de cirugía, individuo del co­ nardo Gómez de Teran Negrete, enviado legio de médicos, médico y cirujano hono­ extraordinario de España cerca de S. M. el r…</t>
  </si>
  <si>
    <t>León</t>
  </si>
  <si>
    <t>Hileras, núm. 8, manz. 389, tasada en 192053 rs. en la calle Mayor de esta corte, núm. 12, manz. 194, Quien quisiere hacer postura acuda ante el Sr. D. León que pertenece á Ja memoria dd Dr. D. Francisco Asende Sagasta, teniente corregidor de esta villa, por la es­ sío de ia Pena, la que cumple ia real cengregacion d« criban;…</t>
  </si>
  <si>
    <t>etasada últimamente, á instancia del agente de la real da, ante el Sr. D. León de Sagasta, teniente corregidor casa, en 297464 rs., acuda ante el Sr. D. León de df esta villa, y por la escribanía del número de D. Ca­ Sigasta, teniente corregidor de esta villa, por la escri­ simiro Amonio Gómez, en el término de 30 días, con­ …</t>
  </si>
  <si>
    <t>on el camino real de Villaverde, de cabida VENTAS. 4 fanegas y 2 celemines. Otra á las Fuentecillas de la En virtud de providencia del señor teniente D. León laguna, linda con tierra de D. Agustin DJvila, de ca­ de Sagasta, dada ante el escribano del número D. Julián bida 2 fanegas y it celemines. Otra al camino real de Gonzá…</t>
  </si>
  <si>
    <t>idas. Restring'ós* A pesar de todo continuó el abuso esta facilidad por algunas leyes imperiales; de los asilos, porque siempre son d:iici!eS pero el Emperador León , en una leí que de desarraigar aquellos que están tortmea-</t>
  </si>
  <si>
    <t>Leonardo</t>
  </si>
  <si>
    <t>D. Cecilio Odofífclo, decano de In de Goadatnxara; para la re-, guita á D. José Elincheta, asesor del gobierno (!e ia Habana: pa­ ra esta asesoría á D. Leonardo dei Monte, que lo es del de Maracaybo, concediéndole honores de la audiencia de Coba : y para la asesoría de Maracaybo, que resulta vacante por ascenso del cita­ do M…</t>
  </si>
  <si>
    <t>etino— Gómez Tícrmosilla (D. Josef}, gefe d,$ di­ niqs., visión en el minLteiio de Policía. Llórente (D. Juan Antonio), consejero de Gómez de Terao ( D. Leonardo) , ministro ? Estado. en Holanda. Llovet ( D. Ramón), caniran del regimienGimes de Ajala (D. Pió), secretario de ,• to uiím. i.°, infantería de lima. i a legación en…</t>
  </si>
  <si>
    <t>to primero del regimiento núm. I , infantería de línea. —Gómez Hermosi11a ( D. José) xefe de división en el ministerio de Policía. — Gómez de Teran ( D. Leonardo ) ministro en Holanda. — Gó­ mez de Ayala ( D. Pió) secretario de la legación en Holan­ da.—González (D. César) teniente coronel de artillería.—Gon­ zález Arnao ( D.…</t>
  </si>
  <si>
    <t>Leonor</t>
  </si>
  <si>
    <t>ercer nieto del bastardo, llegó al colmo del demasiado conocido el influxo que tuvo desorden, de la miseria y del oprobio. Su cerca de él su combleza Doña Leonor de hermana Doña Isabel, casada con D. Fer­ Guzman , y lo que contribuyó á ellos. Su nando de Aragón, que se apellidaron des­ único lujo legítimo el Rei D. Pedro r , …</t>
  </si>
  <si>
    <t>Leopol, José</t>
  </si>
  <si>
    <t>José Leopol</t>
  </si>
  <si>
    <t>tería núm. 2. —Hervas (D. Manuel) adminis­ trador general de correos. — Hidalgo (D. Gregorio) subteniente del regimiento de infantería núm. i. —Hugo (D. José Leopol­ do) general. — Hugo (D. Luis) comandante de batallón del regi­ miento real extrangero.—YoIdi (conde) ministro en Dinamar­ ca. — Iriarte (D. Bernardo) consejero d…</t>
  </si>
  <si>
    <t>Leopoldo</t>
  </si>
  <si>
    <t>er tomado las armas contra, el soberano , bien hu­ biesen sido transgresores en la invasión de 1798, bien en la de 1806. Consiguiente al indulto , el príncipe Leopoldo distribuyó una procla­ ma con fecha de 20 de mayo , exhortando á sus compatriotas á unir­ se á su persona por haberle encargado el rey su padre capitanear los …</t>
  </si>
  <si>
    <t>329</t>
  </si>
  <si>
    <t>ia estaba á cu­ bierto de toda invasión. Entretanto la esquadra inglesa de Sir J. Stuart , reunida con una división de tropas sicilianas al mando del príncipe Leopoldo, después de haber -costeado la Calabria-, promovido allí la insur­ rección patriótica , y hecho muchos prisioneros en la costa , an­ cló delante del cabo Misen…</t>
  </si>
  <si>
    <t>Leopoldo, Josef</t>
  </si>
  <si>
    <t>Josef Leopoldo</t>
  </si>
  <si>
    <t>Este ejér­ Hemos decretado y decretamos lo si­ cito cubre en su rápida marcha todos los guiente : caminos de Paris á Amberes; envíen tus articulo 1. „D. Josef Leopoldo de comisionados y agentes á sacar el cómputo; Hago, mariscal de campo de nuestros rea­ y tengan entendido que ni siquiera un sol­ les exércitos , está nombrado…</t>
  </si>
  <si>
    <t>gorio), subteniente del M lot (D. Santiago), escudero del Rei. regimiento de ioíantería iúm. i.° Monncret , tnav or de granaderos de la guar­ H u^o ( D. Josef Leopoldo), general. dia real. Hugo (D. Luis), comandante de batallón Montehermoso ( marques ), primer gentil­ dci regs ¿t oto Real Exirangero. hombre de camera. Yoidi (…</t>
  </si>
  <si>
    <t>idor deca­ Gayé, coronel comandante de los voltea­ no de la municipalidad. dores de nuestra g»i'dia. ;r Aulaquier, médico de nuestra real casa. Hugó'(D. Josef Leopoldo)* mariscal de Cherville (D. Frutos) , comandante de cs- campo, y nuestro «dedat». - quadroo, y ayudante de palacio. Le Capitaine , coronel de granaderos de Dar…</t>
  </si>
  <si>
    <t>Lesaca, Antonio</t>
  </si>
  <si>
    <t>Antonio Lesaca</t>
  </si>
  <si>
    <t>Serrano. erudición de S. M., presagiando á qué gra­ art. iv. Nombramos por contador de do de e-plendor podrá llegar este estable­ la casa de Madrid á D. Antonio Lesaca; cimiento baxo los auspicios de un Príncipe por tesorero á D. Rafael Alvarez; por ofi­ amigo y protector de las letras. cial mayor de la contaduría á D. Tomas …</t>
  </si>
  <si>
    <t>Lestock</t>
  </si>
  <si>
    <t>ibirán órdenes ulte­ riores para su destino , que ignoramos qual sea ; lo que nos tiene aun con bastante inquietud. El mismo dia 3 entró en Berlín el General Lestock, nuestro Gobernador , y después ha ido llegando la guarni­ ción de Coiberg, que ha habido que alosarla en las casas de los particulares. Se hr.a desocupado algun…</t>
  </si>
  <si>
    <t>Lestocq</t>
  </si>
  <si>
    <t>de Saxoniá, y sulta que en la línea del exército desde se ha presentado á la vista de aquella ciu­ que pasó el Inn se han encontrado, en los dad. El general Lestocq ha mandado po­ diferentes acopios del enemigo , 40© quin­ nerlo en la orden, y pregonarlo como de­ tales de harina, 400® raciones de gallera, y sertor. Este movim…</t>
  </si>
  <si>
    <t>Lesuire</t>
  </si>
  <si>
    <t>os franceses han á su hermano el archiduque Ranerio» y aumentado las fortificaciones de aquella S. M. se ha reservado la de todos los asun­ plaza. El general Lesuire tiene ahora alli tos militares. su quartel general. El general WirtemberEl día 3 del corriente tuvo la diputa­ gues Koseritz permanece en Bregentz: la ción de La…</t>
  </si>
  <si>
    <t>territorio de Landeck; y se asegura que les ; porque la sequedad y el. calor nos otra de franceses cruzará al mismo tiempo, matan. á las órdenes del general Lesuire , el monte „S¡ la España y el Portugal se salvan, Atberg, para efectuarsu reunión con el cuer­ será por alguna circunstancia favorable que po de aquellas. Los hab…</t>
  </si>
  <si>
    <t>Letcbre</t>
  </si>
  <si>
    <t>Gazeta del Gobierno n.º 57 · 2.ª serie</t>
  </si>
  <si>
    <t>no puede sacar de Alemania tan conside­ rables refuerzos, como utgunos temen. gran bretaíJa. Londres 14 de noviembre. Un mayor saxon del excreito del mariscal Letcbre , ha dado los detalles siguientes so­ bre las operaciones del cuerpo , á que pertenecía , contra los tiro­ leses , en el mes de agosto pasado. “ Habíamos penetr…</t>
  </si>
  <si>
    <t>Leval</t>
  </si>
  <si>
    <t>terio­ de conducirse en los tratos y negocios que con res por sola la división alemana á las órde­ ellas mas ó menos multipliquen , ya porque nes del general Leval. Se ha tomado al viendo los esfuerzos que en otras partes se ha­ enemigo toda su artillería y sus bagages: yan hecho en la difícil arte de gobernar, pue­ se retira…</t>
  </si>
  <si>
    <t>Levis</t>
  </si>
  <si>
    <t>allitte hacían parte de los estados romanos, la zia el 3 del corriente con tres colunas; á carta siguiente, para tranquilizar á los ne­ saber: la del general Levis por Drohiczin; gociantes que piensen ir á la feria próxima ‘-la del. príncipe Gortszakoff por Terespol, de Sinigaglia. y la del príncipe' Suwarow por Wlod„Señor pr…</t>
  </si>
  <si>
    <t>quel dia para efectuar el paso. Se aguar­ Radzin y ICoch á Zwolin; y el cuerpo de dan tres fragatas de Carlscrona, sí es que la derecha, a! mando del general Levis, se los ingleses que bloquean aquel puerto las ha acercado ¿ Praga» desde donde irá cos­ dexan salir de alli. teando el Pilika para avanzar hacia Craco­ Comenzamos…</t>
  </si>
  <si>
    <t>wski tiene á sos ór­ denes una división rusa , que se incorporó CIUDADES ANSEATICAS. con su exército ocho dias há. Otra división rusa, mandada por el general Levis, ha Hamburgo de junio. verificado también su reunión en Puliawi El diario político de esta ciudad contie­ con las tropas polacas , á las ordenes de los ne la carta…</t>
  </si>
  <si>
    <t>Lewis</t>
  </si>
  <si>
    <t>rán el galardón de este ines, que el general YVolodkiewicz seguro y duradero.” lia leido al pasar por Grodno una orden del gobierno ruso, dirigida al general Lewis, GRAN BRETAÑA. en la que se le manda entrar en Gallitzia con el cuerpo de tropas de su mando, lue­ Londres 2 S de abril. go que sepa que los austríacos han penetra…</t>
  </si>
  <si>
    <t>Lic</t>
  </si>
  <si>
    <t>inos, por el d¡:scontento &lt;]ue con su pleos respectivo,~, á s:J.ber: D. ]osif y Don conducta ha causado al Pllehle. de C:ídiz. Manuel de Heredi.:t. ~ d Lic. D. Josif de ~.Q Que mpuesto que d r!:."~contt!n(O Castro y Cubil/tri, y D. Jrlan de Dios de púhlico procede en ~ran p:lrt¿ de la demaLalz.:labuyu; que;: en caso que el pu…</t>
  </si>
  <si>
    <t>Licy, Lai</t>
  </si>
  <si>
    <t>Lai Licy</t>
  </si>
  <si>
    <t>é8 y bebida á la ¿«nial disposición de so coroné! D. Lai* Licy. Considero muy justo qus este , su teniente coronel y sargeno mayor sean ascendidos á los grades inmediato?, sin per­ juicio de algunas otras gracias que prepondré luego qué afian­ za mas m</t>
  </si>
  <si>
    <t>Lie, Francisco Aparkiogr</t>
  </si>
  <si>
    <t>Francisco Aparkiogr Lie</t>
  </si>
  <si>
    <t>Lie. D. Francisco Aparkiogr Lie;i). íraacisco Saldias, r ^ 7 4 Porsu,empU} '...i'. ‘l:' '' D. Josef Antonio Huemes. ^ &gt; , f&gt; .. ; , . J Por rentas reales D. Lucas Blazquez y D. León de Ja Riva. . P°r stt empleo D. Valentí</t>
  </si>
  <si>
    <t>Limeri</t>
  </si>
  <si>
    <t>los Dorianeourt, Juan Bautista Linsolas, tambores; Martin Vielzac y Stiuski, granaderos. En la gendarmería escogida al subteniente Maginel, al primer sargento Limeri, al de brigada Roland , y al soldado Vidot. En la caballería ligera á los subtenientes Bonnoty Charlier; al ayudan­ te Chappe; al vaguemaestre Necesson; á los sa…</t>
  </si>
  <si>
    <t>Lina, Benito de la Mata</t>
  </si>
  <si>
    <t>Benito de la Mata Lina</t>
  </si>
  <si>
    <t>títulos de grandeza y nobleza; y que han sido nombrados conse’eros de estado D. Joaquín María Sotelo, marques de Casa calvo, D. Juan Melendez Valdés, D. Benito de la Mata Lina­ res , y D. Luis Marcelino Pereira. La del 7 trae el nombramien­ to de D. Joaquín de Aldamar para intendente de la provincia de Santander; y la del 8 e…</t>
  </si>
  <si>
    <t>Linares, Benito de la Mata</t>
  </si>
  <si>
    <t>Benito de la Mata Linares</t>
  </si>
  <si>
    <t>3 de noviembre de 1809</t>
  </si>
  <si>
    <t>Gaceta de Madrid n.º 308</t>
  </si>
  <si>
    <t>las Espadas y de las Indias. dad, para no excitar contra ella las pasiones ,, Hemos nombrado y nombramos á enemigas del bien: reforzada ahora con el D. Benito de la Mata Linares nuestro con­ auxilio de nnevos socios, cuyos nombres sejero de Estado. han contribuido á ilustrar este real cuerpo, Nuestro ministro, secretario de E…</t>
  </si>
  <si>
    <t>Linera, Antonio</t>
  </si>
  <si>
    <t>Antonio Linera</t>
  </si>
  <si>
    <t>se han en­ contrado , tanto de oficiales como de soldados, y el de prisioneros que me han presentado. Oficiales no hemos perdido ninguno ; pues solo D. Antonio Linera, subteniente de granaderos de Cangas de Tmeo , ha sido herido.” “Campo de Cavezon 25 de agosto de 1809 á las ocho de la noche. — P. D. — En el choque que esta m…</t>
  </si>
  <si>
    <t>Liniers</t>
  </si>
  <si>
    <t>les y mas de ioo&gt; soldados en el corto espacio de 6 semanas después de su arribo á Sta. Cruz. Los diarios ministeriales han publicado la proclama del general Liniers„ y con este motivo todos ellos le llenan de toda suerte de injurias. Nuestros marinos se admiran del valor con que se ha defendido la fra­ gata francesa Tetis, l…</t>
  </si>
  <si>
    <t>Liniers, Santiago</t>
  </si>
  <si>
    <t>Santiago Liniers</t>
  </si>
  <si>
    <t>454</t>
  </si>
  <si>
    <t>, esta colonia naciente del vasto imperio meridional, ya había dado pruebas de su heroísmo, quando una infeliz desavenencia con el xefe de la capital D. Santiago Liniers , puso á sus habitantes en el amargo conflicto de esperar su desolación por momentos. Crecían las an­ gustias por la distancia del recurso , por las extraord…</t>
  </si>
  <si>
    <t>Linzoain, Manuel Pascual</t>
  </si>
  <si>
    <t>Manuel Pascual Linzoain</t>
  </si>
  <si>
    <t>3*5 canónigo de la de Palencia: para el priorato, dignidad de la de Salamanca, á D. Manuel Pascual Linzoain, canónigo- de la de Pr ienda: para una canongía de la de Cuenca á D. Mariano Agustín, canónigo también de la de Palencia: para otra canongía de la de Avila á D. Martin Josef de Yabar, capvl</t>
  </si>
  <si>
    <t>Lisa, Vicente</t>
  </si>
  <si>
    <t>Vicente Lisa</t>
  </si>
  <si>
    <t>ias de algunos patriotas aragoneses ; entre ellos el Sr. D. Martin de Garay, D. Valentín Solanot, D. José Obispo, conde de Sastago, D. Ignacio López, D. Vicente Lisa, D. Narciso Meneses, D. Fe­ lipe Perena y D. Ramón Gayan.</t>
  </si>
  <si>
    <t>an Noriega.—D. Manuel de Echaverria.—D. Ramón Sierra.—D.Antonio Guillelmi.— Duque de Rivas.— Conde de Sástago.—D. José Obispo.—D. Ig­ nacio Lopez.-=-'D. Vicente Lisa.—D. Narciso Meneses.— D. Fe­ lipe Perena.— D. Martin Garay.— D. Valentín Solanot.— D. Ra­ món Gayan. — D. Gerónimo Castillon. — D. Antonio Laspuertas.— D. Narcis…</t>
  </si>
  <si>
    <t>Livasay, Guillermo</t>
  </si>
  <si>
    <t>Guillermo Livasay</t>
  </si>
  <si>
    <t>241</t>
  </si>
  <si>
    <t>archasen por la-de­ recha á defender él vado por donde podían retirarse a Terrefavega. El primer batallón de Cangas de Tinco al mando de su co­ ronel D. Guillermo Livasay atacó por el centro, y ei segundo por la izquierda baxo las órdenes de su teniente coronel D. Pedro de Suv , quedando de reserva el regimiento ele Lena con …</t>
  </si>
  <si>
    <t>Llain, José</t>
  </si>
  <si>
    <t>José Llain</t>
  </si>
  <si>
    <t>sar Casanueva. 10.000 D. Teodoro Salazar del Puerto. 30.000 El capitán D. Ignacio García Saenz. 5.000 D. Antonio Olarte, sin estar matriculado. 2.000 D. José Llain. 10.000 D. José Martínez Barenque. 40.000 El subteniente D Nicolás Noriega. 1.000 D. Miguel Ardines. 10.000 D. Gerónimo Mateo de la Parra. 2.000 El capitán D. Manu…</t>
  </si>
  <si>
    <t>Llamazales, Pedro</t>
  </si>
  <si>
    <t>Pedro Llamazales</t>
  </si>
  <si>
    <t>contaduría á D. Tomas Domingo Ximencz; por oficial segundo á D. Simón Antonio Eiriz ; por guarda-cuños Continúan las rejl.-xiones sobre el real de­ á D. Pedro Llamazales; por maestro fun­ creto de iS de agosto acerca de la ce­ didor á D. Jo'ef Gómez; por ayudante de sación de todos los empleados. fundidor á D. Euaenio Luzon ;…</t>
  </si>
  <si>
    <t>Llandén, Manuel</t>
  </si>
  <si>
    <t>Manuel Llandén</t>
  </si>
  <si>
    <t>artel general estaba en San llari, quandó empecé á dar ór­ denes para los movimientos. Encargué al teniente del regimiento de in­ fantería de Ultonia D. Manuel Llandén , que marchase á la altura de los Angeles, situada al norte de Gerona, con el número competente de tropa y los somatenes que pudiera juntar en el camino para d…</t>
  </si>
  <si>
    <t>Llanos, José</t>
  </si>
  <si>
    <t>José Llanos</t>
  </si>
  <si>
    <t>López. — D&lt; Manuel González del Campo. -D. Juan Rayara. — D. Segismundo Malats. — D. José Antonio Ruiz. — D. José Moreno. — D. José Marco del Pont. — D. José Llanos. — Ei-conde de Montes-claros. — D. Bernardo González Alvarez. — Doña" Francisca Siró de Gre. --El marques de Mo­ nasterio y de Paredes. — D. Rafael Costa. — D. Jo…</t>
  </si>
  <si>
    <t>Llanos, Rafael</t>
  </si>
  <si>
    <t>Rafael Llanos</t>
  </si>
  <si>
    <t>quial de la villa de Oropesa, diócesis de Avila, á D. Manuel Perez: para otro beneficio de la parroquia de Sobradi­ llo, diócesis de Ciudad-Rodrigo á D. Rafael Llanos: para un beneficio de prebisa residencia de la parroquia de S. Salvador de la ciudad de Cuenca a D. Pedro de la Vega: para otro de precisa residencia de la ‘ pa…</t>
  </si>
  <si>
    <t>Lló, Tomas</t>
  </si>
  <si>
    <t>Tomas Lló</t>
  </si>
  <si>
    <t>angero. Se pre­ sentaron á S. E. los sugetos siguientesD. BaltasarJBecerril, alcalde por el estado noble; D. Manuel Rubio, id. por el estado general; D. Tomas Lló­ rente , cura párroco; D. Domingo Belengero, administrador [de correos; Fr. Josef de la Purificación , guardián de la comunidad de Gilitos, y Fray Eugenio Pardo Y v…</t>
  </si>
  <si>
    <t>Llorens, Francisco</t>
  </si>
  <si>
    <t>Francisco Llorens</t>
  </si>
  <si>
    <t>huyeron con los que venían de ,S. Juan hasta la torre de S. Luis^ „ en donde se reunieron. Antes de verificarlo , y sobre el aviso „ que me dieron el sargento Francisco Llorens, y los soldados „ Francisco Tito y Manuel CaSanobas , de quedar abandonados „un canon de á 16 enfrente del rebellín, y un mortero sobre el „ ángulo de…</t>
  </si>
  <si>
    <t>Llórente, Iginio Antonio</t>
  </si>
  <si>
    <t>Iginio Antonio Llórente</t>
  </si>
  <si>
    <t>vila. — D. José Sta. María. — D. Pasqual Quilez. — Marques de Ruena. — Duquesa del Arco y Monteilano. — Condesa de Superunda. — D. José Almendariz. — D. Iginio Antonio Llórente; —• Fr. Ignacio Gómez Ibluzqueta. — D. Luis Melendez Bruna. — D. José Mariano Dineo.—D. Joaquin Muñoz, recibidor de Mal­ ta. — Conde de Oñate. — Marqu…</t>
  </si>
  <si>
    <t>Llórente, Juan</t>
  </si>
  <si>
    <t>Juan Llórente</t>
  </si>
  <si>
    <t>r el engaño y la seducción. Los su ge tos que componían las diputaciones sonr • Por el cabildo de la santa iglesia de Toledo, primada de las Españas: D. Juan Llórente, dignidad de maestrescuelas y canónigo, consejero de Estado; D. Matías de Robles, arcediano titular de Toledo; D. Pedro Ro­ drigue»Pardo, canónigo; D. Francisco…</t>
  </si>
  <si>
    <t>or presupuestos del ministerio, y de todo lo general de bienes nacionales á nuestro con­ concerniente á la cuenta y razón del mismo. sejero de Estado D. Juan Llórente. art. 11. Nombramos para administra^ El gefe de división D. Antonio Benito dores generales á D. Manuel Moreno, in­ tiene la correspondencia con todos los trl— t…</t>
  </si>
  <si>
    <t>Llórente, Juan Antonio</t>
  </si>
  <si>
    <t>Juan Antonio Llórente</t>
  </si>
  <si>
    <t>ues de Muzquiz , D. Es­ los antiguos hábitos, ha renunciado á ellos, tanislao de Lugo, D. Francisco Angulo, y hasta sns mismas afecciones por el bien D. Juan Antonio Llórente, D. Pedro Ra­ de su país: hemos querido rodearnos de las món de Echeverría, D. Josef Justo de Sal­ gentes mas ilustradas, escuchar los votos de cedo, D.…</t>
  </si>
  <si>
    <t>Llove, Esteban</t>
  </si>
  <si>
    <t>Esteban Llove</t>
  </si>
  <si>
    <t>576</t>
  </si>
  <si>
    <t>oragrega para observar al cuerpo de Tallinas, y servia de cuerpo de reserva á-las des colunas de ataque, y el cuerpo de expatriados, á las órdenes de D. Esteban Llove­ ra, tuvo orden de atacar por el frente de este batallón. Varias guerrillas de infantería y caballería marchaban á la cabeza de las colu­ nas , y lo restante de…</t>
  </si>
  <si>
    <t>Llovera, Esteban</t>
  </si>
  <si>
    <t>Esteban Llovera</t>
  </si>
  <si>
    <t>acnerdo con D. Francisco Rovira, coman­ dante de los expatriados del Ampurdán, dispuso antes de amanecer vadeasen ei Fluviá 300 de estos al mando de D. Esteban Llovera con ao caballos de S. Narciso; j presen­ tándose en Naváta, se formaron á sa vista 400 infantes y 100 caballos enemigos, sin atreverse á adelantar en paso, fin…</t>
  </si>
  <si>
    <t>en la ciudad. Besalú 29 de octubre. Entre las varias partidas de guerrilla coa oue continuamente molestan al enemiga ios comandantes D..Juan Claros y D. Esteban Llovera, merecé los mayores elogios la que salió de esta villa ayer al mando de D. José Buach , teniente del. tercio de Figueras, compuesta de 20 hombres del mismo, q…</t>
  </si>
  <si>
    <t>Llovera, Francisco</t>
  </si>
  <si>
    <t>Francisco Llovera</t>
  </si>
  <si>
    <t>0 infantes y 40 caballos, con socorros para los sitiadores de Gerona, se resol­ vió á atacarlo ; y después de haber derrotado con sus tropas y las de D. Francisco Llovera á los enemigos, que en número de 600 les esperaron fuera de la villa, obligándoles á replegarse á ella, tomó esta por asalto, se apoderó de 50 acémilas carg…</t>
  </si>
  <si>
    <t>Lmzarote, Mariano</t>
  </si>
  <si>
    <t>Mariano Lmzarote</t>
  </si>
  <si>
    <t>naya* z:D. Jc«í Pare des. Josef Prieto, zz D- Luis BalaDzat. D. Juan de la Cuesta.as D. Josef Garrido. Grades de Teniente Coronel - á los Capitanes i D. Mariano Lmzarote.zzD. Antonio Paig-zrD. Juan Ma­ nuel de Pereyra.=D. Josef de la Cuesta.=:D Francisco de Hore, en el caso de haber sido hecho prisionero.=D. Josef Villalobos.…</t>
  </si>
  <si>
    <t>Lo, Andrés</t>
  </si>
  <si>
    <t>Andrés Lo</t>
  </si>
  <si>
    <t>ción para la enagenacion de fincas de obras pías y capellanías, tiene mandado sacar á re­ mate los dias 25 y 26 del presente mes por la escribanía de D. Andrés Lo­ renzo de Lezana , escribano de ayuntamiento, dos casas : la una en la pri­ mera vecindad de la calle de la Correría de dicha ciudad, en que habita D. Manuel Serran…</t>
  </si>
  <si>
    <t>Ló, Fernando</t>
  </si>
  <si>
    <t>Fernando Ló</t>
  </si>
  <si>
    <t>do de la agricultura, comercio y fábricas la ciudad. = Josef Benito de la Calleja, de los puehlos, y dictó allí mismo varias diputado de la ciudad. = D. Fernando Ló­ providencias para mejorar y poner en el es­ pez Caamano , diputado' eclesiástico. = Fr. tado mas floreciente las de la Coruña , y Ramón Ferreño, diputado de Sto.…</t>
  </si>
  <si>
    <t>Lo, Joaquín BiakcZ</t>
  </si>
  <si>
    <t>Joaquín BiakcZ Lo</t>
  </si>
  <si>
    <t>igualmente hicimos 21 prisioneros.” Dios guarde á V. E. muchos años. Besalú 1 á de setiembre de 1809.0= Excmo. Sr. Eiirrique (J^JJoneii. — Excmo. Sr. D. Joaquín BiakcZ "Lo que traslado á V. E. para que se sirva elevarlo á la noticia de S. M. Dios guarde á V.. E. muchos años. Quariel general de Olor 18 de setiembre de 1809. =:…</t>
  </si>
  <si>
    <t>Ló, Josef</t>
  </si>
  <si>
    <t>Josef Ló</t>
  </si>
  <si>
    <t>los sinónimos de la lengua castellana: 2 tomos en 8.°, almacén permanece igualmente en la calle del Prínci­ corregida y aumentada por su autor el Sr. D. Josef Ló­ pe , frente á la de la Visitación. pez de la Huerta. Se hallarán en la librería de Perez, vbktas. calle de las Carretas. En virtud de providencia del señor alcalde …</t>
  </si>
  <si>
    <t>Ló, Manuel</t>
  </si>
  <si>
    <t>Manuel Ló</t>
  </si>
  <si>
    <t>tura á qualquiera de ellas acuda ante dicho señor al­ ro 106, y es igualmente útil á españoles y franceses, calde , por la escribanía de provincia de D. Manuel Ló­ perqué está escrito en ambos idiomas: su autor espera pez de Rivas. que el público le preferirá por su método y claridad De órden del señor alcalde y juez ordinari…</t>
  </si>
  <si>
    <t>Lobkowitz</t>
  </si>
  <si>
    <t>estos en segu­ ridad, y se observa la mas exácta disciplina. Los comerciantes y empleados de todas clases prosiguen pacíficamente en sus negocios. El Príncipe Lobkowitz es el comandante de esta plaza. El teso­ ro real se ha entregado al Intendente austríaco Beyerbeck. Leipzick, Meissen y otras ciudades de Saxonia están ya ocu…</t>
  </si>
  <si>
    <t>Lobo, Rafael</t>
  </si>
  <si>
    <t>Rafael Lobo</t>
  </si>
  <si>
    <t>SEVILLA. , Informe de D. Rafael Lobo , capitán de fragata de la Real . armada al Exorno» Sr. D. Antonio Escaño^ Secretario de Es­ tado y del despacho universal de Marina• ^Excmo. Señor : en cumplimiento á la orden de V. E* para</t>
  </si>
  <si>
    <t>Lobon</t>
  </si>
  <si>
    <t>5 of cy movimientos han frustrado el intento de los enemigos, cuyas fuerzas, mandadas por el General Lobon, ascendían por allí como de 3 á 40 hombres , y les ha hecho algún daño. Avisa el Mariscal Beresfard que el 12 tenia todas sus tropas. Parecía su designio encaminarse á Ama rante y desalojar</t>
  </si>
  <si>
    <t>Loigorri</t>
  </si>
  <si>
    <t>sus noticias , fecha en las alturas de Bruñólas,, unalegua carta, de. Gerona ,,á 2-1 de-octubre y cuyo extracto es el si­ guiente. “Desde el 18 ,'.el general Loigorri se halla acampado en estas, eminencias comja división de: su mando-, compuesta de 53 hombres , siéndo la mas avanzada: de las que están auxiliando lah.e.r.óyca5…</t>
  </si>
  <si>
    <t>Lóisoa</t>
  </si>
  <si>
    <t>77* cron sobre el puente de San Payo en persona el Marisca! Ney ,'sy sobre el puente de Caldelas el General Lóisoa : no otros opusimos sobreseí ,puente unos 2B fusiles, y sobre Caldelas menos de (joo. _ " ’ ’ _ _ , ^ No puedo menos de recomendarV. E. muy .partidla tórmente todos jos oficiales nombrados e</t>
  </si>
  <si>
    <t>Loison</t>
  </si>
  <si>
    <t>esgracia de perder á Mr. Crouzet. (Este Comisario fué hecho prisio­ nero por una patrulla del exército del Sr. Mariscal Ber.esford^ que per seguía al General Loison.) Os ruego, mi General, que t deis las órdenes convenientes para que todos los transportes destinados á los regimientos del cu¿ 00 del exército, que se hallen des…</t>
  </si>
  <si>
    <t>una buena posición en S. Claudio , hicieron un fuego continuado sobre nuestra columna , que se vio obli­ gada á &gt; retroceder con; alguna pérdida. El (general Loison mandó quemar dicho pueblo-y el de Caldeías; en castigo de haber asesinado en ! ellos á, 8tL pazadotes del regi­ miento niím.- y. El 24 se reunieron todas, las tro…</t>
  </si>
  <si>
    <t>ar mas crédito á las voces de las cabalas ó conspiraciones que se esparcieron. La baxa de la caballería permite suprimir un esquadroa de dragones. El general Loison, que está sin división , ó el general Ferrey pueden substituir á Mermet. Además Habrá que ha­ cer algunas mudanzas en las plazas de generales; Franceschi va en-, …</t>
  </si>
  <si>
    <t>Lom</t>
  </si>
  <si>
    <t>ra haber perecido de fatiga muchos sol­ ha arribado aqui de la Coruña un buque dados en los caminos, como también algu­ de transporte, el Alfredo, su capitán Lom- nas mugeres y niños que seguían el exér­ lei , con cerca de 300 soldados heridos. cito. Trae las noticias mas tristes sobre la retira­ ,, Los enfermos y heridos han…</t>
  </si>
  <si>
    <t>Lombrana, Dionisio Cicero</t>
  </si>
  <si>
    <t>Dionisio Cicero Lombrana</t>
  </si>
  <si>
    <t>iez Cortina. 1.000 D. Francisco y D. Joaquín de la Cortina. 30.000 El capitán D. Diego y D. Juan Manuel de Peredo. 30.000 D. Juan Marcos Rada. 25.000 D. Dionisio Cicero Lombrana. 2.000 D. Cecilio Armiño Martínez. 7.000 D. Diego Movellan. 16.000 D. José Bernardo Baz 10.000 D. Juan Antonio Aristi. 2.000 D. Joaquín de Echarte. 1…</t>
  </si>
  <si>
    <t>Lomet</t>
  </si>
  <si>
    <t>met, ó qualquiera por su autoridad quitasen la vida á qualquiera espa­ ñol , degollaremos un duplo de franceses que están en nuestro poder. . III, El general Lomet, comandante de la plaza de Jaca y frontinas de Aragón, ha cometido la. vileza de incendiar algu­ nas casas , pillar ganados , robar iglesias : si por mi orden sé h…</t>
  </si>
  <si>
    <t>López, Antonio</t>
  </si>
  <si>
    <t>Antonio López</t>
  </si>
  <si>
    <t>16 de abril de 1809</t>
  </si>
  <si>
    <t>Gaceta de Madrid n.º 106</t>
  </si>
  <si>
    <t>pos­ cio, y para los tratantes, por tener las cuentas tura á ellas acuda á la escribanía de número de hechas sin necesidad de pluma; por lo que que­ D. Antonio López de ¡¿alazar, que se admitirán. EN LA IMPRENTA REAL.</t>
  </si>
  <si>
    <t>Pi­ llar , D. Francisco Requena , D. Josef Pablo Valiente ¿D. Sebastián de Torres , D. Antonio Ignacio Corta varría y D. Ignacio Martínez de Villela, D. Antonio López .Quinta*na , D. Miguel Alfonso Villagomez , D. Temas Mayan*, T&gt;. Fasq nal Quiles Talón , D. Luis Meletidea Bruna , X). Juan Miguel Berez TafaUa, y D. Ciríaco Go…</t>
  </si>
  <si>
    <t>eña y San Miguel. Cádiz.......................... D. Benito de da Piedra. Cartagena. ...... . D. Cándido Montero- de la Concha. Ciudad-Rodrigo. . . . D. Antonio- López. Córdoba. ....... Señores Barcia r padre é hijo. Coruña. ....... D. Manuel Antonio Elzaurdi. Cuenca. . ...... Señores viuda de Escolar,. Noriega é hijo. Granad…</t>
  </si>
  <si>
    <t>Xavier, y para esta resulta á D. Anselmo Bierna Mazo, auditor de guerra del vireynato de Sta. Fé : para la re­ cia de Caracas, vacante por ascenso de D. Antonio López :uintáña á ministro del consejo supremo de España é Indias, á</t>
  </si>
  <si>
    <t>López, Bartolomé</t>
  </si>
  <si>
    <t>Bartolomé López</t>
  </si>
  <si>
    <t>Rodríguez , 20 rls. para dos pares de medias. D. Josef Domínguez, 10 rls. para un par de media?. D. Francisco Laceval , 60 rls. para quatro mochila?. D Bartolomé López , 20 rls. para dos pares de medias. D. Josef Rodríguez , 153 rls. para diez mochilas. Doña Josefa Tirado, 10 rls. para un par de medias. D. Agustín García, 10 …</t>
  </si>
  <si>
    <t>López, Eduardo</t>
  </si>
  <si>
    <t>Eduardo López</t>
  </si>
  <si>
    <t>stian de San Juan, el sargento mayor agregado al citado cuerpo de Africa D. Juan Loarte, mayor de ór­ denes de mi división, el subteniente del misino D. Eduardo López, ayu­ dante del Juéz militar, el teniente del de Murcia D. Antonio Aivarez, es­ tos dos oficiales de quienes echo mano quando los necesito, D. José Buchel, c.ap…</t>
  </si>
  <si>
    <t>López, Francisco</t>
  </si>
  <si>
    <t>Francisco López</t>
  </si>
  <si>
    <t>s tres Pe­ manz. 37, como perteneciente á las memorias que en, la ces, nútrí. 16, manz* 29, propia de la memoria que parroquial de S. Sebastian fundó D. Francisco López fundó. D. Sebastian García de Alanco», tiene 1877 pies Traña, cuya casa tiene de sitio 3442 y medio pies, y de sitio, valuada en 27115 rs. Asimismo varias cas…</t>
  </si>
  <si>
    <t>López, Ignacio</t>
  </si>
  <si>
    <t>Ignacio López</t>
  </si>
  <si>
    <t>bienes y pertenencias de algunos patriotas aragoneses ; entre ellos el Sr. D. Martin de Garay, D. Valentín Solanot, D. José Obispo, conde de Sastago, D. Ignacio López, D. Vicente Lisa, D. Narciso Meneses, D. Fe­ lipe Perena y D. Ramón Gayan.</t>
  </si>
  <si>
    <t>López, Joaquín Saenz</t>
  </si>
  <si>
    <t>Joaquín Saenz López</t>
  </si>
  <si>
    <t>tería, frente &amp;: la fá­ tivo de ias turbulencias que han agitado á la nación, brica de cristales. acuda precisamente dentro de 2 meses contados desde D. Joaquín Saenz López, del comercio de esta cor­ el dia de la publicación á deducir el que tuviere, por te, remitió por el correo del 11 de este mes 9 vales la escribanía de pr…</t>
  </si>
  <si>
    <t>López, Juan Antonio</t>
  </si>
  <si>
    <t>Juan Antonio López</t>
  </si>
  <si>
    <t>r. -- D. Vicente Suero. — D. Bartolomé Vincenti. — D. Juan Pedro Vincenti. *- D. Pedro Iglesias. — D. Francisco Ortega. — D. Manuel de la Quintana. — D. Juan Antonio López. — D&lt; Manuel González del Campo. -D. Juan Rayara. — D. Segismundo Malats. — D. José Antonio Ruiz. — D. José Moreno. — D. José Marco del Pont. — D. José Lla…</t>
  </si>
  <si>
    <t>López, Juan Jacinto</t>
  </si>
  <si>
    <t>Juan Jacinto López</t>
  </si>
  <si>
    <t>l correo francos de porte. - \ ; ; Los números sueltos se venderán en el mismo Despache de la Gazet'a á 2 rls. Voces de la Nación: Oda, compuesta por D. Juan Jacinto López , hoy Oficial tercero de la Secretaría del Supremo Con­ sejo: de Guerra y Marina. Se rende en la librería y despacho de Carrera. Pérdidas* Cinco Vales Real…</t>
  </si>
  <si>
    <t>López, Siinou</t>
  </si>
  <si>
    <t>Siinou López</t>
  </si>
  <si>
    <t>lo conveniente á su cumplimiento.” ■ * : LIBRO,...... \ ‘ "* • . f „; ‘' * . v Dispertadas cristiano político contra los filósofos franc-masóncs, por D. Siinou López, presbítero. Se vende á 4 reales en el despacho de la Im­ prenta mayor de la ciudad. GRABADO. ' • ■ ■ í . ' l Retrato del Exorno. Sr. D. Gregorio de la Cuesta, C…</t>
  </si>
  <si>
    <t>Lopuchin</t>
  </si>
  <si>
    <t>­ zas de artillería, y he dado órdm de cla­ bió aqui la noticia de que la Puerta, á pe­ var las demas. sar de todas sus promesas de ajustar una ,, El coronel Lopuchin , g;fe del regi­ paz duradera con la Rusia, habia contraido miento de granaderos de Siberia, ha toma­ nueva alianza con una p'-tencia enemiga do á Slobpdsejah ,…</t>
  </si>
  <si>
    <t>Loren</t>
  </si>
  <si>
    <t>D. Josef Manuel Arrechta , io¿&gt;. =5 D. Pedro# Martínez Delgado , 100. zz D. Josef Isasi , i®*=D. Josef Munilla , 500. zz D. Sebastian Melón , 500. = D. Loren­ zo Moreno, 4®. = D. Juan Josef B^rberena, 5* zz D. Dosningó Gómez de Segura , 200, = D. Manuel Garda Muro, íaoo. = D. Miguel Rebato , 25. zz D. Gregorio Castriciones, v…</t>
  </si>
  <si>
    <t>éT capitán dél regimiento' dki -General, gra­ duado de teniente corone!, D- Manuel B' yona, los su te­ niente* de la Union D. Franci^VP- Figueroa, y D. Loren­ zo Borbon y el capitán dei regimiento* dé Lobera D.* An­ tonio Díaz , y elr cadete del mismo' DI. Jbsef Díaz. :•* entre' lbs* contusos eí espitan del: regimiento' cfel'…</t>
  </si>
  <si>
    <t>Lorenzo</t>
  </si>
  <si>
    <t>(co.d.), ministro en Dinamarca, Mouvai, gefe de esquadron de la artillería lijarte (D. Per. ardo), consejero de Estado, de la guardia real. Iru.gns ( D. Lorenzo) , regidor de Madrid, Mora y Lomas ( D. Pedro) , consejero dt lsia (D. Pedo) , oficial primero en el mi­ Estado. nisterio de lo Interior. Moral ( D. Jos . f Joaquín).…</t>
  </si>
  <si>
    <t>(‘D. Bernardo ), teniente del bata­ Pages, gefe de esquadron de los caballos li­ llón núm. i.°, infantería ligera. geros de la guardia real. Serbert (D. Lorenzo),' capitán del Real Paquiu, escudero del Reí. Extrangero. Pardo de Figueroa (D. Benito), ministro Silvestre (D. Josef) , tirador del regimien­ en Rnsia. to núm. i.°, …</t>
  </si>
  <si>
    <t>Pa­ rís. — Santa-María (D. Pedro) asistente al consejo de Estado. — Sergean (D. Bernardo) teniente del batallón núm. 1 infantería ligera. — Servert (D. Lorenzo) capitán del real extrangero. — Silvestre (D. José) tirador del regimiento núm. 1 infantería de línea. — Sotomayor (duque) maestro de ceremonias. — Soto (D. Antonio) e…</t>
  </si>
  <si>
    <t>Lorrio, Francisco</t>
  </si>
  <si>
    <t>Francisco Lorrio</t>
  </si>
  <si>
    <t>D. Antonio Ortega, Ortega Manceñido, D..Francisco de Cas­ D. Santiago Aívarez, D. Mariano Molla, tro, D. Antonio Torremocha y D. Ale— D. Julián Roxo, D. Francisco Lorrio y xandro Casanova. D. Manuel Josef García , y pasantes de los art. iv. Nuestro ministro de lo Inte­ mismos profesores D. Benito Tomez, ex­ rior queda encarga…</t>
  </si>
  <si>
    <t>los Santos, Antonio de</t>
  </si>
  <si>
    <t>Antonio de los Santos</t>
  </si>
  <si>
    <t>patos. D. Juan Parra . 48 rls. para unos pantalones. D. Antonio Diaz , 75 r-’s*- pira una casaca. D. Francisco Muñí z , 48 rls. para unos pantalones. D. Antonio de los Santos , 70 rls. para un poncho. D. Bartolomé Tomar?» , 48 reales .para unos pantalones. I). Francisco Xavier D z , 20 rls. para dos pares de medias. D. Antoni…</t>
  </si>
  <si>
    <t>los Santos, Josef de</t>
  </si>
  <si>
    <t>Josef de los Santos</t>
  </si>
  <si>
    <t>r, 20 rls. para dos pares de medias* T&gt;* Josef García , 30 rls. para dos mochilasD. Felipe Fernandez, 40 rls. para dos mochilas , y un par de medias. D. Josef de los Santos , So rls. para quatro mochilas y do* p^res de medias. D. Josef de Silva , 30 rls. para dos mochilas. D. Cipriano de Flores , 10 rls. para un par de medías…</t>
  </si>
  <si>
    <t>los Zaragoza, Clopiscki y</t>
  </si>
  <si>
    <t>Clopiscki y los Zaragoza</t>
  </si>
  <si>
    <t>é Los ingleses fueron arrojados de ella el r&amp; apoderó de unas 30 casas ; tn cuya acción, de enero, y las operaciones dei sitio dé se distinguieron el coronel Clopiscki y los Zaragoza no principiaron con seriedad hasta Soldados del fístula. Al qiismo tjempo el el 26 del mismo mes. general de división Morlot en Un ataqué £l dli…</t>
  </si>
  <si>
    <t>Losada, Benito</t>
  </si>
  <si>
    <t>Benito Losada</t>
  </si>
  <si>
    <t>o.. Todos ios oficiales y tropa se portaron con el mayor valor y espíritu., y en particular los comandantes de las guerrillas 1). Sebastian Kamirez,, D. Benito Losada, D. Jacinto Caspe, D. Pedro Moiano, D. J.osef Siraon, Zurita , y D. Josef Matcu ; no pudiéndome olvidar del desempeño de D. Ho­ norato Flcircs, capitán del real…</t>
  </si>
  <si>
    <t>Losada, José</t>
  </si>
  <si>
    <t>José Losada</t>
  </si>
  <si>
    <t>e D. Benito Ca­ pas ; Morrazo, coatusos el sargento mayor D. Rafael Cano, y el capitán primero D. Alexandro de Castro 3 Lemos, contuso el subteniente D. José Losada 3 granaderos Provinciales, contuso el teniente D. Antonio Bar­ rios 3 León, contuso el teniente D. Santiago Marton 3 voluntarios de la Corona , heridos los tenien…</t>
  </si>
  <si>
    <t>Lotario</t>
  </si>
  <si>
    <t>, en los ánimos de unos y otros: sí me haría ser demasiado prolixo. bien se ve que ya en el siglo xii , quando Sin embargo, no dexaré de hacer una el Emperador Lotario n envió á Constan- observación, y es que el autor añade en tinopla á. Anselmo , obispo de Havelberg, una nota que Manuel Crisolo ras fue el pri­ hizo que fuese…</t>
  </si>
  <si>
    <t>Loy, Casimiro</t>
  </si>
  <si>
    <t>Casimiro Loy</t>
  </si>
  <si>
    <t>migos, y su re­ tirada á Hijar, Puebla de Hijar, y Sampér. En este último pueblo dexaron un destacamento de bastante consideración. El día ai envié á D. Casimiro Loy, teniente coronel de hú­ sares españoles, con 80 caballos de su regimiento y so o voluntarios de Valencia, para que hiciese un reconocimiento de la situación ene…</t>
  </si>
  <si>
    <t>Loygorri</t>
  </si>
  <si>
    <t>era el punto que mas debían guardar. O-Donell, para evitar el ser envuelto, se baxó al llano y se mantuvo firme. Una división nues­ tra al mando del general Loygorri llegó poco después al parage que ocupaba O-Donell. Nuestras tropas hubieran echado en un momento al enemigo de su posición si no se Hubiera tenido por mas oportu…</t>
  </si>
  <si>
    <t>Lozano, Francisco</t>
  </si>
  <si>
    <t>Francisco Lozano</t>
  </si>
  <si>
    <t>ó i un oficial, el voluntario de Gerona Estéban Galí , el soldado de Zaragoza Félix Sánchez , el sargento segundo dé caballería Pedro Gar­ cía , y el soldado Francisco Lozano. El Teniente Coronel D. Francisco Msodiri, Sargento ma* yor del provincial de Segovia , se halló en la acción; y des­ pués ha continuado haciendo de gob…</t>
  </si>
  <si>
    <t>Lozano, Juan</t>
  </si>
  <si>
    <t>Juan Lozano</t>
  </si>
  <si>
    <t>nio Valcarcel, á D. Francisco Bernaldo de Quirós, lectoral en la de Ciu­ dad-Rodrigo: y para otra vacante en dicha iglesia de Cartagena por muerte de D. Juan Lozano, á D. Alfonso Rovira Galvez , racio­ nero de la misma : para la canongia de Solsona que ha renuncia­ do D. Joaquin Rey, á D. Josef Soler , vicario general de aque…</t>
  </si>
  <si>
    <t>Lubet, Juan Manuel</t>
  </si>
  <si>
    <t>Juan Manuel Lubet</t>
  </si>
  <si>
    <t>sta de los franceses que despachaba de aquella ciudad para Santo-:Domingo.,, Habiendo acudido á S. M. y Señores de la Suprema Jun­ ta Central el Lie. D. Juan Manuel Lubet , Alcalde Mayor que fue de la Ciudad del Puerto dé Sta. María , solicitando la decisión de la consulta hecha por Ja Sala del Crimen de la Real Audiencia de …</t>
  </si>
  <si>
    <t>Lucas, Manuel</t>
  </si>
  <si>
    <t>Manuel Lucas</t>
  </si>
  <si>
    <t>e los art. iv. Nuestro ministro de lo Inte­ mismos profesores D. Benito Tomez, ex­ rior queda encargado de la execncion del pre­ religioso escolapio, D. Manuel Lucas de sente decreto.= Firmados YO EL REI. ss. Riaza, D. Estanislao Barceló, D. Santiago Por S. M. su ministro secretario de Estado Santos, D. Antonio Godinez y D. G…</t>
  </si>
  <si>
    <t>Luguet, Gabriel</t>
  </si>
  <si>
    <t>Gabriel Luguet</t>
  </si>
  <si>
    <t>a de San Salvador de la cansado de una guerra insensata ; y detesta villa de Requena, obispado de Cuenca; y sobremanera á la Romana y demas ge fes, ¿ D. Gabriel Luguet , presbítero, para el que, sin talentos y sin valor, lo han preci­ citado curatp y administración de la refe­ pitado en las calamidades que acaba de su­ rida i…</t>
  </si>
  <si>
    <t>Luí</t>
  </si>
  <si>
    <t>r del regimiento Real Ex­ Ruriman ( D. Josef) , comandante de bata­ trangero. llón del regimiento Real Extrangero. Upategui (D. Manuel Maríi). Sait ( D. Luí-.) , intendente de Cuenca. Urbina (D. Francisco María), intendente Salcedo ( D. Josef Sixto) , consejero de Es­ de Valladolid. tado. Uriz (D. Joaquín Xavier), prior de Ro…</t>
  </si>
  <si>
    <t>Luis</t>
  </si>
  <si>
    <t>■v _ ding. El ayudante comandante Trinqnalye, didos sin recurso los restos de los cuerpos que mandaba la "vanguardia de la división del príncipe Luis y del general Hiller. En Sainc-Cir ,• encontró lá vanguardia enemi­ este apuro extremado ,el enemigo puso fue­ ga en Riedau, camino de Neumarck ; y go á la ciudad , cuyas casas …</t>
  </si>
  <si>
    <t>mariscal duque de Aoers- verse privados ni un solo día de la augusta taedt á Lintz. presencia de su Sobcraao. Las reliquias de los cuerpos del archi­ duque Luis y del general Hiiler haa salido de ¿&gt;. Polten el día 7; las dos terceras par­ A consecuencia de las. disposiciones da­ tes han pasado el Danubio por Crems: se das por…</t>
  </si>
  <si>
    <t>r los mandones de Sevilla no se atreven á ma­ á D. Miguel Schelli; para capitanes á Don nifestarse tan abiertamente. El desaliento Miguel Chacoletti, D. Luis d’Elorme y es ya general, por mas que cada uuo pro­ T&gt;. Luis Gregorio; para ayudantes á Don cura ocultarlo y hacer del esforzado y del Escolástico Litran y D. Cayetano P…</t>
  </si>
  <si>
    <t>Gasperador de los franceses se ha celebrado .pjir Caballeti, Juan Bautista Oigiati, «i con la mayor solemnidad en todos Ies pue­ .cqude Cardelli, el conde Luis d$ Vecchis» blos de los estados romanos. Los emplea­ y ,Gerónimo del Cinque.” , dos públicos, el clero, la juventud, los padres de familia y los propietarios han ma­ P…</t>
  </si>
  <si>
    <t>se formará sin pérdida de tiempo un cuer­ Cayetano, y D. Lucas Romero; capeilan po movible de guardias nacionales, que es­ D. Manuel Tofiño, y médico D. Luis tará á disposición del gobierno. Este cuer­ Guarnerto. po se compondrá de dos batallones de ¿ 800 art. u. Quedan nombrados profesores</t>
  </si>
  <si>
    <t>a, escudero. Four (D. Juan), sargento i.° del Real Colonna (el conde), intendente de Soria. Extrangero. Colonna (D. Marco Antonio), montero. Gainza ( D. Luis). Corbalan ( D. Joaquín), coronel del regi­ Galdiano (D. Josef María), regente de la miento núm. i.° audiencia de Navarra. Cornide (D. Antonio), mayor del regi­ Guillet,…</t>
  </si>
  <si>
    <t>esidente de la jun­ dia real. ta de negocios contenciosos. Gaznan (conde) , consejero de Estado. M azo ( D. Fraiiei co) , aj udmte del regi­ Herirte (D. Luis), mayor del Real Extrao- miento núm. i.°, iiifanteiía de línea. gero. Mer.ch ( D. Luis), intendente. de Aragón. Hetas(D. Manuel), consejero de Estado. Meliro (conde), su…</t>
  </si>
  <si>
    <t>) , subteniente del re­ núm. i.°, infantería de línea. gimiento núm. i.°, infantería de línea. Romero ( D. Josef) , sargento z.° del bata­ Vilfalba ( D. Luis ) , espitan del regimiento llón nú n. i.®, infantería ligera. núm. 2.0 , infantería de línea. Romero" ( D. Santiago ) , consejero de Es­ Villaytorre (D. Josef) , regente…</t>
  </si>
  <si>
    <t>— Ferrandiz (D. Vicente) teniente coronel de artille­ ría. — Fuentes (D. Julián). — Four (D. Juan) sargento pri­ mero del real extrangero.” “Gainza (D. Luis). — Galdiano (D. José María) regente de la audiencia de Navarra. — Guillet, xefe de batallón de la artillería de la guardia. — Gamin , coronel de los caballos ii-'geros d…</t>
  </si>
  <si>
    <t>n del regimiento núm. i , infantería, de línea. — Guyé y coronel de volteadores de la Guardia real. — Guzman ( conde ) consejero de Estado.” “Henrie (D. Luis) mayor del real extrangero. — Heras (D. Manuel) consejero de Estado. — Heredia (D.Juan) sargento se­ gundo de caballería. — Hernández (D. Gabriel) teniente del re­ gimie…</t>
  </si>
  <si>
    <t>ina (D. José) presidente de la junta de negocios contenciosos. — Mazo (D. Francisco) ayudante del re­ gimiento número i infantería de línea. — Mench (D. Luis) in­ tendente de Aragón. — Melito (conde) superintendente general de la casa real. — Melón (D. Juan Antonio) xefe de división en el ministerio de Hacienda.—Mena (D. Toma…</t>
  </si>
  <si>
    <t>artner, xe­ fe de batallón de la artillería de la guardia.—Vellido (D. Ma­ nuel) subteniente del regimiento núm. 1 , infantería de línea. — Villalba (D. Luis) capitán del regimiento núm. 2, infantería de línea.— Villa y Torre (D. José) regente de la audiencia de</t>
  </si>
  <si>
    <t>aballo ligero de la Bcrnard (D. Víctor), gefe de esqoadron guardia real. V ayudante de palacio. Piñeiro ^ D. Joaquín María ) , dignidad de Bofferton (D. Luis), caballo ligero déla Cuenca. guardia real. Rebonl (D. Carlos), oficial en el ministe­ Bossier (D. Luis), mariscal de logis de ca­ rio de Hacienda. ballos ligeros de la …</t>
  </si>
  <si>
    <t>tonio ), archivero en el’ y de la opresión. El sínodo, Señor, ha re­ ministerio de lo Interior. suelto atestiguar con una solemnidad reli­ D’ Elorme (D Luis), espitan del regimien­ giosa , que se repetirá perpetuamente todos to núm. 1.* brigada Irlandesa. los años, la memoria de vuestros beneficios Dombideaux (D. Pedro), teni…</t>
  </si>
  <si>
    <t>y gran Menche (D. Carlos), coronel de infan­ tesorero de la Orden quedan encargados de tería. la execucion del presente decreto. = Firma­ Misselli ( D. Luis), teniente del regimiento dos YO EL REI. = Por S. M. el gran Real Extrangero. canciller de la Orden duque del Campo de Montero (D. Josef), oficial en el ministe­ Alange.”…</t>
  </si>
  <si>
    <t>Luisa</t>
  </si>
  <si>
    <t>a con un cargamento considerable da vinos. Extracto de las minutas de la secretaría También escriben de Ñipóles qne el de Estado. corsario francés la Princesa Luisa ha apre­ En nuestro palacio de Madrid ¿ 13 de tado en las aguas de Lipari un bergantín in­ setiembre de 1809. gles cargado de géneros coloniales' proce­ Don Josef…</t>
  </si>
  <si>
    <t>Luizoain, Manuel Pascual</t>
  </si>
  <si>
    <t>Manuel Pascual Luizoain</t>
  </si>
  <si>
    <t>ugetos siguientes: Por el cabildo de la catedral. Dr. D. Julián de Mollinedo, maestrescuela y canónigo; D. Lorenzo Calvo de la Cantera , canónigo ; y D. Manuel Pascual Luizoain, canónigo* Por el estado noble. -a. D. Lorenzo Sanz de Sedaño y D¿ Josef Medina. i :d : Pot el estado general.' * w ' r &lt;* D. Josef Pinedo, D. Gregori…</t>
  </si>
  <si>
    <t>Lusignan</t>
  </si>
  <si>
    <t>exércitos austriacos dan principio muchos regimientos han perdió..'» todos sus á las hostilidades con proclamas dirigidas á oficiales superiores. El general Lusignan y los pueblos de la confederación del Rin, los dos príncipes Mauricio y Luis de Lich- induciéndolos á que se substraigan de la tenstein están heridos. obediencia…</t>
  </si>
  <si>
    <t>Lutzow</t>
  </si>
  <si>
    <t>la orilla iz­ quierda de este rio á recibir las contribu­ ALEMANIA, ciones para 'escoltarlas desde allí hasta su destino. JPamburgo 4 de febrero. El general Lutzow , que está encarga­ Escriben de Dantzick que se ha encar­ do de pagar su asignación á todos ios oficia­ gado á una comisión especial , presidida por les prusianos …</t>
  </si>
  <si>
    <t>Luzon, Euaenio</t>
  </si>
  <si>
    <t>Euaenio Luzon</t>
  </si>
  <si>
    <t>Llamazales; por maestro fun­ creto de iS de agosto acerca de la ce­ didor á D. Jo'ef Gómez; por ayudante de sación de todos los empleados. fundidor á D. Euaenio Luzon ; por ayu­ dante agregados D. Manuel Hernández; y Jamas es el hombre mas tenaz y fiero por acuñadores á D. Antonio Oreiro y que quando no puede presentar razone…</t>
  </si>
  <si>
    <t>Luzuriaga, Catalina</t>
  </si>
  <si>
    <t>Catalina Luzuriaga</t>
  </si>
  <si>
    <t>la misma fundación . 4 heredades, si contado 1121, y al fiado 1681 y medio: otras tc en dicha villa y lugar de Lureando perteneciente á la que fundó Doña Catalina Luzuriaga, ai conta­</t>
  </si>
  <si>
    <t>M, Antonio González</t>
  </si>
  <si>
    <t>Antonio González M</t>
  </si>
  <si>
    <t>ignos vasallos de S. M. Para excitar y arreglar la suscripción voluntaria , y re­ caudar y custodiar su producto para remirjlrlp á-España , pu­ blicó D. Antonio González M dlinedo,,&lt;,Gubririiador y Capitán general de aquel Reyno , el siguiente edicto. = De todas las partes de este vasto reyno, adonde han podido llegar las no-</t>
  </si>
  <si>
    <t>M, María Manuela</t>
  </si>
  <si>
    <t>María Manuela M</t>
  </si>
  <si>
    <t>48 reales .para unos pantalones. I). Francisco Xavier D z , 20 rls. para dos pares de medias. D. Antonio Hidalgo ^ 26 rls. para dos pares de botines. Doña María Manuela M rcado , 48 rls. para unos pantalones* JD. Manuel Mariscal., 10 rls. vn. para jm par demedias* D. Juan Ruiz, ao rls. para .dos pares de medias. Manuel Monten…</t>
  </si>
  <si>
    <t>M, S</t>
  </si>
  <si>
    <t>S M</t>
  </si>
  <si>
    <t>ad que semejante Madrid ¡ de octubre. petición parece extravagante 6 injuriosa á nuestro honor en el díctámen de algunos Continúa la exposición hecha d S■ M. so­ sugetos adictos á las costumbres antiguas; bre la deuda pública de la nación &amp;c. pero ya no se da oídos á sus reclamaciones verdaderamente rancias. _ El dinero que R…</t>
  </si>
  <si>
    <t>M-enche, Garlos</t>
  </si>
  <si>
    <t>Garlos M-enche</t>
  </si>
  <si>
    <t>ha diosas ¿ vuestro ingenio profundo concibe servido Sv M. confirmar en sus empleos al todavi&amp;^raa perfección mas grande; Uná coronel -dé infantería D. Garlos M-enche; á magistratura eminente , presidida y dirigida D. Tgóacio Geraers , sargento mayor de la por vos-, vela continuamente por la .conser­ plaza de Zamora ; al ayud…</t>
  </si>
  <si>
    <t>Ma, Josef</t>
  </si>
  <si>
    <t>Josef Ma</t>
  </si>
  <si>
    <t>y primero de Guadix* quedaron eu la calle de la Reyna. Los de la Corona y Jaén al mando de su coronel D. Josef Ruiz de Liory el primero , y del mayor D. Josef Ma­ ría de Andrade el segundo con dos piezas de á doce , se es­ tablecieron k derecha é izquierda de la altura por donde pa­ sa el camino de Ocaña , para servir de punt…</t>
  </si>
  <si>
    <t>Ma, Manuel</t>
  </si>
  <si>
    <t>Manuel Ma</t>
  </si>
  <si>
    <t>a usado conmigo , y se le faciliten to­ del Castillo, D. Cándido Revet ga , D. Si­ dos los medios necesarios para la entrada món Fernandez Gallardo , D. Manuel Ma­ de su cargamento, y las reparaciones que ría de Echevarría , D. Nicolás García de los tiene que hacer en su buque. Reyes y D. Julián de Mena oficiales se­ ,, Gstoi…</t>
  </si>
  <si>
    <t>Ma, Vicente</t>
  </si>
  <si>
    <t>Vicente Ma</t>
  </si>
  <si>
    <t>ynó, se ha servido nombrar para la ca­ non gia cardenalicia", vacante en la iglesia metropolitana de San­ tiago por muerte de D. Bernardo Velarde , á D. Vicente ¡Ma­ ría A guiar , abad de S. Simón de Cacheiras : para la canongia vacante en la misma iglesia por fallecimienta de D. Santiago Va­ quero, á D. Joaquín Murua y Euiat…</t>
  </si>
  <si>
    <t>Mác</t>
  </si>
  <si>
    <t>iente geneí'aíSSHerbroófce. Mi neral Sherbrooke' para qné sn cuerpo se sí~ intención era conservar itíiscqinühicaciones tuase en la línea, dexando al general Mác­ con el general Cuesta, y con el cuerpo de hemete -can unj división de infantería y una cir Roberto Wiíson , apostado en Escalona. brigada de caballería, como puesto…</t>
  </si>
  <si>
    <t>Macasa, Joaquín</t>
  </si>
  <si>
    <t>Joaquín Macasa</t>
  </si>
  <si>
    <t>ha articulo 1. „D. Diego Cosío y Don Servido S. M. promover á capitán de caba­ Laureano Jado, alcaldes c?e&lt; nuestra real llería de línea al teniente D. Joaquín Macasa y corte, quedan nombrados-jueces de gailon; y nombrar por real decreto del 7 á las juntas que conocen de Ios; negocios con­ í&gt;. Estéban S. Jullien, capitán del …</t>
  </si>
  <si>
    <t>Macazaya, Josef</t>
  </si>
  <si>
    <t>Josef Macazaya</t>
  </si>
  <si>
    <t>secreta­ de Sepúlveda ; por segundo grabador á rio de Estado Mariano Luis de Urquijo.” IX Mariano González de Sepúlveda ; por ayudante de grabador á D. Josef Macazaya; por primer discípulo á D. Isidro Merino; El día 2 del corriente pasó el REI ¿ por segundo á D. Josef Sepúlveda ; por ter­ visitar la real biblioteca: exXninó S…</t>
  </si>
  <si>
    <t>MacdoBAVIERA</t>
  </si>
  <si>
    <t>que son publicado ya la dimisión del archiduque conducidos al Austria para ser cangeados Cár.os, y el armisticio de Znaim. alli. Dícese que el señor mariscal MacdoBAVIERA. uald, duque de Tarento, va á mandar en el Tirol. Augsburgo 2j? de agosto. Se asegura que el doctor Schneider ha sido trasladado de la fortaleza de Asperg T…</t>
  </si>
  <si>
    <t>Macdónal</t>
  </si>
  <si>
    <t>que fué Gobernador militar de Madrid durante el man­ do de Miurat,. ha marchado también á mandar la caballería del exército de Italia le acompaña; el General Macdónal* El general Nansoutyprimer caballerizo del Emperador, ha* ido ¿ mandar su división de: coraceros,. \ . SEVILLA., Por el Sr.. Secretario- dé Estado y del Despach…</t>
  </si>
  <si>
    <t>Macdonald</t>
  </si>
  <si>
    <t>a- go de su corte de hacer la paz con Rusia, nelos. aunque sea á costa de los mayores sacrificios. Hai mucha inquietud en (Constantino- Dícese que el general Macdonald va á pla, por saber la impresión que habrá he­ mandar un cuerpo de exército en Italia. cho en la Europa la entrada de los ingleses Escriben de Niort que en el …</t>
  </si>
  <si>
    <t>virei está hace dos duzca á Francia, para hacerle allí los ho­ dias en el quartel general del Emperador. mbres debidos á su alta dignidad y á sus El general Macdonald, que manda uno -servicios eminentes. De este modo ha aca­ de los cuerpos del exército de Italia , ha bado sus dias uno de los militares mas so­ entrado en Gratz…</t>
  </si>
  <si>
    <t>ontestó con repre­ El duque de Ragusa ha llegado á Lai- hensiones y amenazas. Lejos de contentarse bach. con lo que hacia el Austria para asegurar El general Macdonald es dueño de Gratz, el mantenimiento de la tranquilidad, el y tiene cercada la cindadela , que da señales gabinete francés parecía por el contrario de querer re…</t>
  </si>
  <si>
    <t>uierda. guerra la parte que exigían los tratados so­ ,, Toda la Stiria está conquistada por los lemnes; y luego que supo que habían co­ franceses. El general Macdonald se prepa­ menzado las hostilidades, rompió todas las ra á entrar en Hungría. El general Mar- relaciones con él'Ádstria, y envió á sus niont sale de la Carniola…</t>
  </si>
  <si>
    <t>asta mas adelante hacia W.i’ram ; é mentar sus dos alas, dándolas al mismo hizo formar en coluna al duque de ila^usa tiempo una nueva extensión. y al general Macdonald para apoderarse de</t>
  </si>
  <si>
    <t>llar ros, entre ellos de 300 á 400 oficiales, y el de los contrarios sembrando la muerte un buen número de generales , coroneles y en sus colunas. El general Macdonald aco­ mayores son los trofeos de esta victoria. metió entonces á paso de carga , sostenién­ Los campos de batalla están sembrados de dole el general de división…</t>
  </si>
  <si>
    <t>e reparará el puente de estacas. ESPAÑA. S. M. ha nombrado mariscales del im­ perio al general Oudinot, al duque de Ra- Madrid 39 de julio. gusa y al general Macdonald. Habia iz VARIEDADES. mariscales, y con este nombramiento son ya 14. Quedan todavía dos ,'plazas vacan­ Continúa el extracto de la obra del señor tes , y tambi…</t>
  </si>
  <si>
    <t>rtemen el exército imperial se han portado con berguesas en Austria están actualmente á la mayor bizarría en las batallas de los dias las órdenes del mariscal Macdonald , y que 5 y 6 y en los combates subsiguientes. El el general Vandamme ha llegado á Gratz duque de Rívoli, baxo cuyas órdenes esta­ con las suyas, de las quale…</t>
  </si>
  <si>
    <t>Oudinot en Spitz; el corbeta llamada Peruviana , encontró mui príncipe virei de Italia en Presburgo, y el cerca de Boloña en la mañana del 2 5 de ju­ mariscal Macdonald en Graetz. Las tropas lio anterior una pequeña lancha eaemiga, y taxonas están por el lado de Presburgo, las halló dentro de ella muchos exemplares de de Wirt…</t>
  </si>
  <si>
    <t>parecía formar tina cerca de Kónigsberg; para la de la Prusia ■ola nación de tantos pueblos diferentes. El occidental otro cerca de Mewe; para la de mariscal Macdonald mandó repartir '500 la Pomerania-, cérea de Stargardt; para la florines entre los pobres de la ciudad de de la Marca, en las cercanías de Berlín; Gratz ; y los…</t>
  </si>
  <si>
    <t>412</t>
  </si>
  <si>
    <t>ros y otros cuerpos de caballería , siguen en las cercarías de Yiena. — En las provincias interiores del Austria no ha habi­ do alteración alguna. El mariscal Macdonald y el general Baraguay-d’Hllliers, mandan en ellas un cuerpo suficiente para mantener la tranquilidad , y oponerse á todos los ataques de la Hungría , si se re…</t>
  </si>
  <si>
    <t>sobre Iloi se han celebrado aqui los dias del cada res que se exporte de los ducados. Emperador Francisco 11 con una ilumina­ ción general. S. E. el mariscal Macdonald, PRUSIA. duque do Tarento, apreciando los senti­ mientos que animaban á les habitantes, ba Koenigsberg $ de octubre. querido permitirles éstas demostraciones d…</t>
  </si>
  <si>
    <t>MacdonalJ</t>
  </si>
  <si>
    <t>dar la ca­ quía en que se halla la ciudad de Cádiz, ballería del exercito de Italia; y lia salido expuesta á cada Ynomento a los excesos de ya con el general MacdonalJ. un populacho desenfrenado, seducido por El señor general Nansomi , primer ca­ las tram.s secretas Je los ingleses; la publi­ ballerizo de S. M. I., lu partido…</t>
  </si>
  <si>
    <t>Macdowall</t>
  </si>
  <si>
    <t>araron del último ra, la prosperidad del comercio, la adqui­ eonvot, y i bordo de uno de ellos venia el sición de provincias fértiles, de puertos ca» general Macdowall, comandante que habla paces y cómodos 8cc.; y concluye dicien­ sido de las tropas de la presidencia de Ma­ do que se señalará un día para dar solem­ dras.. Qna…</t>
  </si>
  <si>
    <t>Machado</t>
  </si>
  <si>
    <t>vanzada del enemi­ go' ei ii del corriente me dexó muy satisfecho la con­ ducta y valor del batallón del regimiento portugués núm, 16, mandado por el coronel Machado. Tengo la honra &amp;c. Quartel general de Oporto- 13 de mayo de iSo^*. . Ari uro We lies ley.. Carta de un oficial portugués que asistió al' ataque y con* quista de…</t>
  </si>
  <si>
    <t>Machichinski</t>
  </si>
  <si>
    <t>esta audiencia son: Por S. E. el príncipe Kourakin , embaxador de S. M. el Emperador de Rusia, El conde de Kotchoubei, consejero privado de S. M. El conde Machichinski j el conde KomaroíFski, edecán general deS.M.; Mr. de Tchelischtcheíf, coronel de las guardias de S. M.; Mr. de Gervais* consejero de Estado; Mr. SchoulepoíF, …</t>
  </si>
  <si>
    <t>Machuca, Rodrigo</t>
  </si>
  <si>
    <t>Rodrigo Machuca</t>
  </si>
  <si>
    <t>el re­ gimiento de Farnesio, D. Pedro Gamez , D. Manuel Rizo, el Príncipe de Anglona , D. Manuel Freyre , el Conde, de Bocarmé , D. Juan Espronceda , D. Rodrigo Machuca, y el Capitán Cavaleri , Coroneles , aquellos de los regimien­ tos de España, Sagunto , Pavía, Voluntarios de Madrid, ReyJia , Borbon y Principe, y el ultimo …</t>
  </si>
  <si>
    <t>Mack</t>
  </si>
  <si>
    <t>, y sostenidas por mentan con centeno, manteca y pescados.” potencias auxiliares, la expedición insensata . Augsburgo t¡ de marzo. y descabellada del general Mack. - Dícese que han llegado á Trieste varios ingleses, y que se manifiestan sin rebozo IMPERIO FRANCES. en público. Recientemente ha desembarca­ do en dicho puerto un…</t>
  </si>
  <si>
    <t>Mackensie</t>
  </si>
  <si>
    <t>tinica. dinaria de tropas, y se establecen almace­ Las tropas inglesas que había en Lisboa nes considerables. En las oficinas de correos al mando del general Mackensie se han se abren todas las cartas al pasar nuestras reembarcado, juntamente con las que ocu­ fronteras. paban á Oporto. Estas providencias hostiles nos obligan …</t>
  </si>
  <si>
    <t>Mackensy</t>
  </si>
  <si>
    <t>tisfacción del público, y de los que han concurrido ala acción con tanta bizarría. Por cartas de Lisboa con fecha de 9 del corriente, se dice: que el capitán Mackensy de la fragata inglesa Lively, que se halla sobre la costa de Galicia, ha comunica­ do al Almirante Berkely que los habitantes de Pontevedra , Muros, Vigo y otro…</t>
  </si>
  <si>
    <t>Mackenzie</t>
  </si>
  <si>
    <t>142 ordenó al general Mackenzie que con una división dé infantería y una brigada de caballería inglesa quedase en el olivar del lado derecho del Alberche, para que , sirviendo de vanguardia, cubriese el flanco iz­ quierdo de su exército. La posición en que estaba situado todo el exército convinado</t>
  </si>
  <si>
    <t>muchos carros de municiones;; y su derrota fué de las mayores, atendido á 'que fué una batalla sobre la defensiva. Los ingleses han tenido muertos el general Mackenzie, y el brigadier general Langwerth, y muchos otros oficiales de gradua­ ción y mérito distinguido. III número de&gt; sus oficiales muertos y. heri­ dos llega á 260…</t>
  </si>
  <si>
    <t>era! Cues­ ta en tomar esta posición, el 27 por la mañana c!í orden al gene­ ral Sherbrooke, para que su cuerpo se situase en la línea , de­ xando al general Mackenzie con una división de infantería y una brigada de caballería, como puesto avanzado , en el bosque so­ bre la orilla derecha del Alberche , para cubrir nuestro fl…</t>
  </si>
  <si>
    <t>ir su pérdida á 103 hombres. Los generales Lapisse y Morlct fueron muertos , y Sebastiani y Boulet heridos.” “ Siento sobre todo da pérdida del mayor general Mackenzie, que se distinguió mucho el día 27 : la del brigadier general Langvverth, de la legión alemana del Rey, y la del brigadier mayor Beckétt de los Oguardias.” “ V…</t>
  </si>
  <si>
    <t>Mackerrzie</t>
  </si>
  <si>
    <t>y el 23 de dragones ligeros , mandados por el general Anson , baxo las órdenes del teniente general Payne , y por la división de infantería del mayor general Mackerrzie ; y faé rota por la vanguardia española , mandada por el general Zayas y el duque de Alburquerque. Hemos perdido 11 caballos por el fuego de la batería enemig…</t>
  </si>
  <si>
    <t>Mactlnley, Jorge</t>
  </si>
  <si>
    <t>Jorge Mactlnley</t>
  </si>
  <si>
    <t>* * El General en x.fe del exército inglés ha remitido al Ca­ pitán General D. Gregorio de la Cuesta el parte dado con fecha de 9 de este mes por el capitán Jorge Mactlnley del buque de $. M. B. Lively al ancla cerca de Vig», al coronel Trant, comandante de Gporto , cuya traducción es Ja siguiente. ,,Después que la división d…</t>
  </si>
  <si>
    <t>Madrazo, Clemente</t>
  </si>
  <si>
    <t>Clemente Madrazo</t>
  </si>
  <si>
    <t>no verificaron por el acertado fuego dé artillería, y la Valentía de las guerrillas que la sostuvieron aJ mando del ayudante del Infante D. .Carlos» D. Clemente Madrazo, y por Unquera les contuvo igual­ mente Ja artillería y las buenas disposiciones del Coman­ dante del punto de Colambres el coronel de Candas y Luanco, Vizcon…</t>
  </si>
  <si>
    <t>Maek</t>
  </si>
  <si>
    <t>592</t>
  </si>
  <si>
    <t>oso asal­ to a Kufstein , y al desfiladero de Strub. — Con todo , estos es­ fuerzos no pudieron contrabalancear la desastrosa entrega de U1-ma por el general Maek, y el calamitoso resultado de ta batalla de Austerlitz; en consecuencia Bonaparte , en la paz de Presburgo, hizo de la cesión del Tirol y del Voralberg una condició…</t>
  </si>
  <si>
    <t>Maestre, Don Guillermo Parker Carrol y del Quartel</t>
  </si>
  <si>
    <t>Don Guillermo Parker Carrol y del Quartel Maestre</t>
  </si>
  <si>
    <t>mando del brigadier Don Remigio Ohara, comandante de la segunda línea, viniese á ocupar el centro. Dadas, todas estas disposiciones , acompañado del teniente coronel Don Guillermo Parker Carrol y del Quartel Maestre interino el capitán de Ingenieros Don Pedro de Eguía y todo mi Estado mayor, me dirigí á lá barca de Nargánes ,…</t>
  </si>
  <si>
    <t>Maestre, Josef</t>
  </si>
  <si>
    <t>Josef Maestre</t>
  </si>
  <si>
    <t>onceder ai Brigadier D. Josef María de Rivas el uso del distintivo que le señale ei Ge-.. r.eral en xefe , y el grado inmediato á D. Agimin-Sandoval, D. Josef Maestre , D. Ignacio Paino y D. Salvador Arsioiu Asimismo ha mandado que i la tropa que concurrió á es­ ta acción se la gratifique según lo tenga por conveniente el pro…</t>
  </si>
  <si>
    <t>Maestro, Guillermo Gpmez</t>
  </si>
  <si>
    <t>Guillermo Gpmez Maestro</t>
  </si>
  <si>
    <t>o. D. Josef Mintegui; D. Juan Justo García; D. Josef Espailiar y í). Tomas González , universidad. Diputación de Benavente. D. Josef Fernandez Solis; D. Guillermo Gpmez Maestro; D. Diego Antonio Esmeras; D. Antonio López Nuñez y D. Miguel Alonso Conejo. Diputación de S*. Ildefonso. D. Manuel Matías de Jáuregui; D. Ventura Mar…</t>
  </si>
  <si>
    <t>Magallon, Joaquín</t>
  </si>
  <si>
    <t>Joaquín Magallon</t>
  </si>
  <si>
    <t>isco Iturribarria , para alcaldes dé casa y córte ; de D. Juan Bautista Guitart, para juez de primera instancia en Madrid; del teniente del rey José, D. Joaquín Magallon, pa­ ra capitán de su caballería de línea; de D. Francisco Fogueras, para otra capitanía; de- D. Fernandez Salvador, para sargento mayor de caballería de lín…</t>
  </si>
  <si>
    <t>Mahi</t>
  </si>
  <si>
    <t>algunos partes de nuestros Generales e» Gaíicia , los quales manifiestan el prodigioso entusiasmo de que están postidos aquellos patriotas» Parte del General Mahi al Conde de ñfaced#* „ Exorne. Sr. = Recibo el pliego de V. E. á medio» quarto de legua de Dugo , y aisato no tener De aludes p%-</t>
  </si>
  <si>
    <t>Máhin, Juan</t>
  </si>
  <si>
    <t>Juan Máhin</t>
  </si>
  <si>
    <t>rió con la mayor brevedad -, y se le socorran sus primeras necesidades, á cuyo efecto h? puesto algunas cantidades de maravedises á disposi­ ción de D. Juan Máhin , y-á sil lado un comisionada para que atienda á todas ellas. En el dia tiene el Empecinado á sus órdenes 250 caba­ llos , no-habiendo traído quando se presentó en …</t>
  </si>
  <si>
    <t>Maiiland</t>
  </si>
  <si>
    <t>mandante en -xefe Sir Jorge Prevost, cavo designio era desembarcar en la báhía: de Roberto t miéníras que el Almirante con las del ^marido' del Mayor general Maiiland , daba vuelta i Marári para en­ trar en la bahía de Santa Lucía. Al mediodía, entró la pri­ mera división del exército y ere Ja esquadra en la bahía Roberto} y …</t>
  </si>
  <si>
    <t>Maikow</t>
  </si>
  <si>
    <t>„ La gazeta ministerial contiene ana rela­ te general Platow, y el ala izquierda man­ ción de la contionacioo de las operaciones dada por el teniente general Maikow. To­ de nuestro cxército de la Moldavia. He dos estos cuerpos se reunieron cerca de la aquí el contenido de estas noticias, que son muralla de Trajano. El tenient…</t>
  </si>
  <si>
    <t>Maitland</t>
  </si>
  <si>
    <t>a sobre la emi­ nencia que domina el pays , compuesta de cinco morteros y tres obuses. El 3 de febrero estando ya concluida la ba­ tería, el Teniente General Maitland avanzó con el grueso de su división hasta Lamentin , al propio tiempo que el Ter nienre General Beckwith y Sir Jorge Prevost se pusieron soT* bre Bruno y Sourri…</t>
  </si>
  <si>
    <t>Makenzie</t>
  </si>
  <si>
    <t>ña ha conferido á Sir Arturo VVeliesley el grado: de capitán general al servicio de S. M. C. , y al general Cuesta la gran cruzde-Cárlos m. —El mayor general Makenzie , que murió gloriosamen­ te en la batalla de Talavera, era miembro del parlamento por el condado de Sutherland. — Parece que el general VVeliesley será inmediat…</t>
  </si>
  <si>
    <t>Makeosie</t>
  </si>
  <si>
    <t>pe primado han salido de gentos y tambores , y 620 soldados. aquella ciudad para el -principado de Bai- Entre los muertos se cuenta al ma­ reuth. yor general Makeosie y al brigadier general Escriben de Vierta , con fecha del 21 dd Langwerth. agosto,. las noticias siguientes: n El Emperador Napoleón hace frecued- HOLANDA. tes …</t>
  </si>
  <si>
    <t>Malats, Segismundo</t>
  </si>
  <si>
    <t>Segismundo Malats</t>
  </si>
  <si>
    <t>*- D. Pedro Iglesias. — D. Francisco Ortega. — D. Manuel de la Quintana. — D. Juan Antonio López. — D&lt; Manuel González del Campo. -D. Juan Rayara. — D. Segismundo Malats. — D. José Antonio Ruiz. — D. José Moreno. — D. José Marco del Pont. — D. José Llanos. — Ei-conde de Montes-claros. — D. Bernardo González Alvarez. — Doña" F…</t>
  </si>
  <si>
    <t>Maldonado, José</t>
  </si>
  <si>
    <t>José Maldonado</t>
  </si>
  <si>
    <t>valie , capitán de “Fernando VII: al capitán D. Pedro Subero , te­ niente del imperial de Toledo : á D. Juan Montes , cadete de guardias de Corps : á D. José Maldonado , teniente del provincial de Salamanca , y al teniente D. José Esquivel , guardia de Corps. Al brigadier D. José García de Paredes, comandante general de Artil…</t>
  </si>
  <si>
    <t>Malet, Miguel</t>
  </si>
  <si>
    <t>Miguel Malet</t>
  </si>
  <si>
    <t>ni fin , dispuse que marchasen 5 compañías del tercio de Figueras , el somaten, de Camprodon con algunos de los pueblos de sus cercanías, al mando de D. Miguel Malet, presbítero , el de Olot organizado en S compañías á las.órdenes del Dr. D. José Casabona , y dos.otro* somatenes de varios pueblos que todavía están dominados p…</t>
  </si>
  <si>
    <t>Mallada, Juan</t>
  </si>
  <si>
    <t>Juan Mallada</t>
  </si>
  <si>
    <t>zurrun de Asan za, Sr. de Conduero. — D. Ventura Elorduy. — D. Felipe Porte. — D. Felipe Arias. — D. Juan Casaus. — D. José Ponte.— D. Mariano Olaso.—D. Juan Mallada. — D. Mi­ guel Porte. — D. Jacinto Garisa. — D. Bruno Huici. — D. Manuel Larruga.— D. Ventura Ateza. — D. José Soler.— D. Miguel Echinique. — D. Antonio Lajíeña.…</t>
  </si>
  <si>
    <t>Mallen, Fidel</t>
  </si>
  <si>
    <t>Fidel Mallen</t>
  </si>
  <si>
    <t>as excitando los polacos y alemanes á la- deserción.—Notabie.es y propio del carácter v valor aragonés el exemplo que ofrece la intrépida conducta de D. Fidel Mallen., alcalde de Mueca. Miéntras se reunieron los enemigos de Daroca y Calatayud para atacar nuestra división, Mallen con una porcion .de paisanos armados acometió á…</t>
  </si>
  <si>
    <t>Mallen, Peregrino</t>
  </si>
  <si>
    <t>Peregrino Mallen</t>
  </si>
  <si>
    <t>de Marina , 528 rs. = Varici vecinos de la Parroquia de S. Julián , por una vez, 446 r3.= J&gt;. Antonio Olavarría, 40 rs. == D. Miguel Baeza , 24 rs. =D. Peregrino Mallen , por una vez, 40 rs. cu El P. Prepósito de S. Felipe Nefi , 200 r«.*= D. Pedro de Castillo , 60 r?. — D. Josef Chamorro, ¿oo rs. mD. Pasqual Ignacio Altolagu…</t>
  </si>
  <si>
    <t>Mallol, Martin</t>
  </si>
  <si>
    <t>Martin Mallol</t>
  </si>
  <si>
    <t>no. Murcia........................ Señores Moreda y Ladalid'. Oviedo......................... Señores D. Manuel Ilubiano y Nieto.. Palma. . . . . . . D. Martin Mallol. Sevil. . D. José María Gómez. Sar^Ker. . Señores Vidal é hijo.. StajCriiz de Tenerife. D. Antonio García Campero.. Tarragona.................. D. Ramón de Llor…</t>
  </si>
  <si>
    <t>Mamerheim</t>
  </si>
  <si>
    <t>sus here­ sé ha aprovechado con destreza del entor­ deros 6 descendientes. Concluida esta lectu­ pecimiento de los austríacos para adelantar­ ra , el barón Mamerheim se levantó el prime­ les muchas marchas; y como no ha tenido ro para declarar que renunciaba formalmente resistencia ninguna en la Galiireia entró el la obedienc…</t>
  </si>
  <si>
    <t>Manac</t>
  </si>
  <si>
    <t>_ . „ García de la Prada (D. Manac!) , regidor .Lerio BracamonteH D; Gaspar) , jaez de la de Madrid. ,: . j’-tnta de negocios contv-nciieos. Garcl (D. Eugenio) , cirujano del regjipien-! Lirran ( D. Escol i .tico ). teniente</t>
  </si>
  <si>
    <t>Manescau, Josef María</t>
  </si>
  <si>
    <t>Josef María Manescau</t>
  </si>
  <si>
    <t>nativa del Reyno las muestras de patriotismo y adhesión á la buena causa que ha dado el Decano de la Sala del Crimen de la Real Aadiencia de Valencia D. Josef María Manescau, individuo de aquella Junta Superior, y la extraordinaria actividad., energía y zelo que ha manifestado en el encargo de Mi­ nistro del Tribunal de Segur…</t>
  </si>
  <si>
    <t>Mangiano, Rafael</t>
  </si>
  <si>
    <t>Rafael Mangiano</t>
  </si>
  <si>
    <t>y acreditada bizarría* Finalmente todos los Brigadieres , y segundos Comandan* tes de las divisiones, el Marqués de Zayas^ D. Vicente Igle­ sias , y D. Rafael Mangiano han seguido á sus Generales y observado su misma conducta, y los xefes, oficiales y tropa se han portado con un valor inimitable : pudiendo asegurar que en ini…</t>
  </si>
  <si>
    <t>Manglano, Rafael</t>
  </si>
  <si>
    <t>Rafael Manglano</t>
  </si>
  <si>
    <t>arín de Aló?. = Marqués de Malespina. =rr D. Gregorio Rodríguez =D, Manuel Zappino. zzD. Tomas O-Doneju. Marqués de Zayas. = D. Vicente Igle­ sias. = D. Rafael Manglano. A Brigadieres los Coroneles D. Josef Escudero.” D. Msnu?l de ííurrigíiray.rrrD.Joref Navarro Falcon. =■ Marqués de Malpica.zz D. Josef de la Cruz. = D. Josef…</t>
  </si>
  <si>
    <t>undo en el mando del exército , puse sobre mi izquierda con las divisiones terce­ ra., quarta y quinta del mando de los generales marques dé Portago, D. Rafael Manglano , y D. Luis Alexandro Bassecourt ; pero la de este general pasó á sostener la división, de caballería del teniente ge­ neral duque de Alburquerque, que había …</t>
  </si>
  <si>
    <t>Mannerheim</t>
  </si>
  <si>
    <t>189</t>
  </si>
  <si>
    <t>189 Idem '. 14 de julio. Aquí todo es fiestas y diversiones despucs de la coronación. El barón Mannerheim qué propuso á la dieta el destronamiento de Gustavo Adolfo , ha sido creado caballero co­ mandante de la orden de Wasa con la gran cruz ; y Adiersparre, que sublevó el exército occidental, ha sido nombrado barón y comanda…</t>
  </si>
  <si>
    <t>ido de Suecia en Londres, y el barón de Munok. Entretanto, después de la coronación de Carlos XIII, todo es premios y gracias para suspartidarios. El barón Mannerheim que propuso á la dieta el des­ tronamiento de Gustavo Adolfo , ha sido cread a caballero coman­ dante de la orden de Wasa con la gran cruz; y Adlersparre que su…</t>
  </si>
  <si>
    <t>Manningham</t>
  </si>
  <si>
    <t>tir de sus ataques por aquella parte; pero los dirigió con mayor vígbr contra el centro, donde resistieron también con ventaja la bri­ gada del mayor general Manningham, que formaba la izquierda de vues­ tra división, y una parte de la del mayor general Leith, que formaba la derecha de la división que estaba á mis órdenes.- *…</t>
  </si>
  <si>
    <t>Pero en desquite los dirigía con mayor fuerza hácia el centro , en donde fueron de nuevo rechazados gloriosamen­ te por la brigada al mando del Mayor general Manningham, que formaba la izquierda de* la división de Vd. , y una par­ óte de la que estaba á las órdenes del Mayor general Leith y que formaba la derecha de la divisi…</t>
  </si>
  <si>
    <t>Manri, Jacobo Manuel</t>
  </si>
  <si>
    <t>Jacobo Manuel Manri</t>
  </si>
  <si>
    <t>eciente al niente corregidor de esta villa D. León de Sagasta , por propio convento. Quien quisiere hacer postura á qual- la escrioanía del número de D. Jacobo Manuel Manri­ quiera de Las indicadas casas, acuda á dicho juzgado por que, se han mandado sacar á pública subasta, por tér­ la citada escribanía. mino de 30 días prec…</t>
  </si>
  <si>
    <t>Manso, Antonio</t>
  </si>
  <si>
    <t>Antonio Manso</t>
  </si>
  <si>
    <t>exército* á D. Luis Lmy y D. Ramón Aeiz de Zuz? ;ha jorLrido el grado tomedísto á . Jua» che O azibal , D. . fuanf F aochco Ortiz , D* Actor id de Vs D. Antonio Manso, y X&gt;. Pdio LamptrcZ, &gt;in ptrj .'9Í0 ae atender á los de mes b.mmé.itcs, así qüe el General ¿n xéfe remíta las retidas c pe miras , 3 ba mandado que tbdes los o…</t>
  </si>
  <si>
    <t>Manso, D Antonio</t>
  </si>
  <si>
    <t>D Antonio Manso</t>
  </si>
  <si>
    <t>o-’ roce?. Nuestra pérdida es coriísímí, y formaré estado luego' que me io pasen Jos cuerpo?. Ahoia puedo decir á V* E. han sido levemente hsridos el capitán D- Antonio Manso, ayu­ dante de Farnesió , y el tendente de Bárgós D. Pedro Lamperes , que no quiso retiraíse \ habiendo salido contuso en la cabeza cea varis» cuchillad…</t>
  </si>
  <si>
    <t>Manso, Jose</t>
  </si>
  <si>
    <t>Jose Manso</t>
  </si>
  <si>
    <t>l teniente coronel D. Miguel de Alava, á los capitanes D. Vicente Algarra, y D. N. Sechmager, y el te­ niente dél regimiento dé voluntarios de Madrid D. Jose£ Manso, adictos á mi estado mayor. A la actividad y zeló de estos individuos y del ayudante de mi mayor de or­ denes p. Vicente Vargas, se debe en algún modo el bueit ex…</t>
  </si>
  <si>
    <t>Manso, José</t>
  </si>
  <si>
    <t>José Manso</t>
  </si>
  <si>
    <t>consistió en los dos prisioneros., en un somaten.muerto , y cinco sol­ dados y somatenes heridos; pero la del enemigo es de bastante consi­ deración. D. José Manso , capitán de migueletes del. tercio de Berga ,. ha dado parte con fecha del mismo 26 al citado D. José , de Oizinellas, que sus guerrillas se habían tiroteado con …</t>
  </si>
  <si>
    <t>Manso, Josef</t>
  </si>
  <si>
    <t>Josef Manso</t>
  </si>
  <si>
    <t>toda la ca­ ballería. El Vizconde de Zoiina , Comandante General de ella , los Brigadieres D. Juan Bernuy, que mandaba la bri­ gada de Carabineros, y D. Josef Manso, Coronel del re­ gimiento de Farnesio, D. Pedro Gamez , D. Manuel Rizo, el Príncipe de Anglona , D. Manuel Freyre , el Conde, de Bocarmé , D. Juan Espronceda , D.…</t>
  </si>
  <si>
    <t>rcelona basta el pueblo del Hospitales con el fia de extraer paja , dispuso que el 5 por la tarde saliesen de .Esparraguera 40 somatenes mandados por D. Josef Manso, teniente del tercio de Berga, y 40 caballos á las órdenes del capitán del regimiento de Alcántara D. Juai Jalón, y de los tenientes de húsares Españoles, y Reale…</t>
  </si>
  <si>
    <t>Manteca, Fernando</t>
  </si>
  <si>
    <t>Fernando Manteca</t>
  </si>
  <si>
    <t>X). Ramón Vázquez , 10 rls. para un par de medias. JD. Juan Pinto, xo rls. para un par de medias, ii. Vicente Vázquez, 10 rís. para un par demedias. D. Fernando Manteca, 10 ris. para un par de medias. D. Josef Telio, 10 rls. para un par de medias. D. Juan Vázquez, 10 rls. para un par de medias. Doña María Rodríguez , 10 rls. …</t>
  </si>
  <si>
    <t>Mantilla, Sebastian</t>
  </si>
  <si>
    <t>Sebastian Mantilla</t>
  </si>
  <si>
    <t>D. Joaquin de Carbajal, y D. Miguel de Velasco, aquel de mi división, y este de caballería, el Ayudante de Campo de V. E. D. Fernando Ferrer, el mío D. Sebastian Mantilla, los de di­ visión D. Domingo Gali y D. Josef Falcon, el del Quartel Maestre del Exército de observación D, Manuel de Plaza, y el Subteniente D. Germán Segu…</t>
  </si>
  <si>
    <t>Manuei</t>
  </si>
  <si>
    <t>( D. Gabri I), teniente del re­ sion en el ministerio de Hacienda. gimiento de infantería mini. 2.° Mti-a ( D. Tomas), granadero del regi­ Il.rva» ( D. Manuei), administrador gene­ miento ruím. 2.0, infantería de línea. ral de correos. Mna de la Roca ( D. Joset Ramón). 1-Iid.lgo ( D. Gregorio), subteniente del M lot (D. Santi…</t>
  </si>
  <si>
    <t>Manuel</t>
  </si>
  <si>
    <t>itución y á las leyes, se complace tos especificados en el real decreto de 16 en que la divina Providencia haya colocado de febrero próximo pasado, á D. Manuel sobre el trono de las Españas á un Monar­ Saravia, alcalde de la real sala de Casa y ca , que adornado de las mas eminentes vir­ Corre; y para corregidor interino de l…</t>
  </si>
  <si>
    <t>Mdaga, vacaete por fallecimiento de D. Joaquín de Molina, i D. Feliciano Molina, canónigo da ia misma Sra. iglesia; para la canongía que este dexa, á D. Manuel E izalde, capellán Real de Granada ^ y para la capellanía Real qué resulta vacarte por promoción de este, á D. Luis Rodríguez. También se ha servido S. M. nombrar para…</t>
  </si>
  <si>
    <t>í una escala, por decirlo asi , ne­ á D. Angel Boulancourt, D. Gregorio Hi­ cesaria para su empresa , y le han propor­ dalgo , D. Josef B.irrachino y D. Manuel cionado ademas los medios de asegurar y Vellido , Subtenientes del regimiento de de estrechar su amistad con Alexaudro, y infantería española de línea núm. i.°, te­ au…</t>
  </si>
  <si>
    <t>articulo 1. „ Quedan nombrados n,— balleros de la Orden Real de E paña Munick g de octubre. Los Señores El capitán Mr. de BalliganJ , enviado Acuña (D. Manuel), gentilhombre dez­ de correo por S. A. R. el príncipe herede­ mara. 1 ro , ha llegado aquí ayer mañana del qnar- Agustin (D. Mariano), director del h os pifo ,.,1, tel…</t>
  </si>
  <si>
    <t>neral y edecán del Chuo ( D. Domingo ) , fusilero del regimien­ Reí. to núm. i.°, brigada irlandesa. Franco (D. Josef) , mayor del regimiento Ciaran (D. Manuel ) , intendente de León. infantería de línea núm. i.° Cibat, inspector de sanidad de ia guardia Francbi (D. Antonio) , cabo del núm. i.°, reai. brigada irlandesa. Cifue…</t>
  </si>
  <si>
    <t>dmte del regi­ Herirte (D. Luis), mayor del Real Extrao- miento núm. i.°, iiifanteiía de línea. gero. Mer.ch ( D. Luis), intendente. de Aragón. Hetas(D. Manuel), consejero de Estado. Meliro (conde), superintendente general de Heredia ( D. Juan) , sargento 2.a de caba- ía ca'a real. lleiía. Me.011 ( D. Juan Antonio), gefe de d…</t>
  </si>
  <si>
    <t>Weingartner, g,efe de batallón de la arti­ tor de la fábrica de Placencia. llería de la guardia. Roa ( D. Rafael) , cabo i.° del regimiento Vellido (D. Manuel) , subteniente del re­ núm. i.°, infantería de línea. gimiento núm. i.°, infantería de línea. Romero ( D. Josef) , sargento z.° del bata­ Vilfalba ( D. Luis ) , espitan…</t>
  </si>
  <si>
    <t>paña , creada últimamente para premiar -esta casta de personas (1). La lista , en los mismos términos -que allí se inserta , es la siguiente. “Acuña (D. Manuel) gentil-hombre de Cámara. — Agustín ( D. Mariano) director del Hospicio. — Alderete (D. Ramón) cabo primero del regimiento de infantería de línea , núm. 2.— Almenara (…</t>
  </si>
  <si>
    <t>se , mayor de caballos ligeros de la guardia real.” “Caamano (D. José ) ministro en Suiza. — Calvo (D. Ignacio) capitán de caballería. — Cambronero ( D. Manuel ) consejero de Estado. — Capón (D. Francisco ) granadero del regimiento de infantería de línea núm. i. —Carafa, gentil-hombre de Cáma­ ra. — Casa-Calvo (marques) tenie…</t>
  </si>
  <si>
    <t>Alfonso) granadero del regimiento núm., i , brigada irlandesa. — García Suelto (D. Tomás) médico dél exército de primera clase. — García de la Prada (D. Manuel) regidor de Madrid. — Gard ( D. Eugenio ) cirujano del regi­ miento real extrangero. — Garriga (D. José) comisionado ré-; gio en Cataluña. — Gayé, xefe de escuadrón de…</t>
  </si>
  <si>
    <t>a. — Guyé y coronel de volteadores de la Guardia real. — Guzman ( conde ) consejero de Estado.” “Henrie (D. Luis) mayor del real extrangero. — Heras (D. Manuel) consejero de Estado. — Heredia (D.Juan) sargento se­ gundo de caballería. — Hernández (D. Gabriel) teniente del re­ gimiento de infantería núm. 2. —Hervas (D. Manuel)…</t>
  </si>
  <si>
    <t>nte de AranGardasse ( D. Juan ) , mariscai de logis de juez. caballos ligeros de la guardia real. Vargas (D. Francisco de), teniente coro­ González ( D. Manuel), capitán de caba­ nel de artillería. llería. Vieuls (D. Estéban), mariscal de logis de Heros (D. Nicolás de los). caballos ligeros de la guardia real. La Borda Perez …</t>
  </si>
  <si>
    <t>gran Real Extrangero. canciller de la Orden duque del Campo de Montero (D. Josef), oficial en el ministe­ Alange.” rio de la Policía general. Moreno (D. Manuel), director de bienes AVISO. nacionales. Montard (D. Luis) , capitán del regimien­ En virtud de orden del señor cónsul de to Real Extrangero. Francia en esta corte se c…</t>
  </si>
  <si>
    <t>itó de Alemania Bigarré, general comandante de la infantería para Francia. de nnestra guardia. ; 1 Et gékieral conde BtvmikQwski va S la- Cambrooero (D. Manuel), consejero de lir para París, don le parece que se deten■ 1 Estado.'. drá alguna» semanas.- Casa-Enlacio (marques de }, mariscal de</t>
  </si>
  <si>
    <t>Manuel, Antonio Cano</t>
  </si>
  <si>
    <t>Antonio Cano Manuel</t>
  </si>
  <si>
    <t>Vallejo. — Marques de las Horma­ zas.— D. Manuel Soria. — D. Ramón Arascot.—D. Antonio Komanilios. — D. Francisco PritnauL — D. Francisco Romano. —► D. Antonio Cano Manuel. — Conae de Bondad Real. — Conde de Sta. Coloma..— Conde de Talara..— D; Ramón Navarro Pingarron.— D. Juan Facundo Caballero..— D-. Sebastian dé Tor­ res. …</t>
  </si>
  <si>
    <t>Manuel, Juan</t>
  </si>
  <si>
    <t>Juan Manuel</t>
  </si>
  <si>
    <t>(D. Estéban), mariscal de logis de Heros (D. Nicolás de los). caballos ligeros de la guardia real. La Borda Perez (D. Francisco), gefe de Xaramillo ( D. Juan Manuel). división en el ministerio de Hacienda. Xareño ( D. Antonio Venancio de) , oficial Lasserre (D. Marcial ) , subteniente de ca­ en el ministerio de Negocios extra…</t>
  </si>
  <si>
    <t>Manzone, Josef</t>
  </si>
  <si>
    <t>Josef Manzone</t>
  </si>
  <si>
    <t>l Martino y D. Antonio tro real decreto de 14 de octubre último, Romano; y á los vélites D. Amadeo Juy contribuir al mismo tiempo al adorno de galdo, D. Josef Manzone, D. Cayetano la capital; Fiore, D. Francisco Perracino, D. Alfon­ Hc-mos decretado y decretamos lo si­ so det Rincón, D, Meiiton Rico, D. Cir­ guiente : ios Erm…</t>
  </si>
  <si>
    <t>Mar</t>
  </si>
  <si>
    <t>entendido, y dispondréis lo conveniente para su cumplimiento, zz El Marqués de Astorga, Presidente.zr Real Alcázar de Sevilla 22 de mayo, de 1809.ZZA D. Mar­ tin de Garay.. Desde que se instalá la Junta Suprema Gubernativa del Reyno manifestó quáles eran sus sentimientos acerca de las Américas. No se engañaba en considerarlas…</t>
  </si>
  <si>
    <t>mnes; y luego que supo que habían co­ franceses. El general Macdonald se prepa­ menzado las hostilidades, rompió todas las ra á entrar en Hungría. El general Mar- relaciones con él'Ádstria, y envió á sus niont sale de la Carniola para incorporarse exércitos la orden de entrar en Gallitzia. con el general Macdonald, y se cree …</t>
  </si>
  <si>
    <t>9 de agosto de 1809</t>
  </si>
  <si>
    <t>Gaceta de Madrid n.º 222</t>
  </si>
  <si>
    <t>vio de los estos avisos, porque, se recela loque se ve­ heridos y enfermos. rifique pronto la paz entre R_osia y Suecia, .. El cuerpo de ejército del Mariscal Mar^ en cuyo caso, adoptando tarta Sültima pe- mont duque de Ragusa, .tendrá;«en;ade­ tencia el sistema .de los estadtoi grandes del lante él ñómbre de ioií/fcóua ouefp…</t>
  </si>
  <si>
    <t>dro Jacinto Ogayar, prior en S. Gil de la misma ciudad : para una ración de la colegial de Ba­ za , vacante por muerte de D. Juan Antonio Gqillen , á D. Mar­ tin Yanguas, racionero en la de Talavera : para una ración en la colegiata de Xerez de la Frontera , vacante por fallecimiento de D. F rancisco Saborido, á D. José Carlo…</t>
  </si>
  <si>
    <t>que habían emigrado de su patria. Esta expedición partió de Puerto-Rico el 22 de octubre de 1808 , al mando del teniente de fragata de la real armada D. Mar­ tin Espino , y arribó el 29 á la entrada del rio de Yuma, situado al oriente de la isla y á 30 leguas de la capital. El 30 subieron las lanchas y goleta hasta el pueblo …</t>
  </si>
  <si>
    <t>Mar, Alonso</t>
  </si>
  <si>
    <t>Alonso Mar</t>
  </si>
  <si>
    <t>os individuos del ayunta­ miento D. Antonio Luengo Vázquez, regidor decano ; D. Juan de Dios Dáviia, regidor; D. Antonio Ovejero, regidor habilitado; D. Alonso Mar­ tin, id. , y D. Juan de la Cruz García Carpizo, procurador del comuh. De agregados á junta de municipalidad concurrieron D. Ignacio de Ta­ pia, conde de Valdelágu…</t>
  </si>
  <si>
    <t>Mar, Genaro</t>
  </si>
  <si>
    <t>Genaro Mar</t>
  </si>
  <si>
    <t>os puntos de Salvatierra y Fago, mandados to­ dos por los oficiales D. José Fermín Gonget, D. Pedro Fran-. cisco de Cambra , D. Sebastian de Gambra , D. Genaro Mar­ tin , D. Matías de Aras , D. Tomás de Renovales , D. Ale-* ¿andró Amigot, D. Juan Casao, y los cadetes D. Xavier An­ gel Ros , D, Vicente de Soravilla , D. José M…</t>
  </si>
  <si>
    <t>Mar, Juan</t>
  </si>
  <si>
    <t>Juan Mar</t>
  </si>
  <si>
    <t>Soleré Los Tenientes D, Manuel Juárez , D. Justo Hír pan­ dee » D. Ramón,-Velasco , D* Juan. Pacheco, y D. Juan Mar, teo Plaza , que la e^.de. la compaña* suelta:.de Darcrca* y. el Subteniente D&gt; Antonio Garniel;: entre la* sol Jacios se. distinguieron, [Manuel Pertuza López., Mateo Jaén, y José £ Aparic</t>
  </si>
  <si>
    <t>noche á acamparse fuefá délos muros, enviando á pedir socorro con toda diligencia á Madrid. Al día siguiente salieron-otros 300 franceses en busca de D. Juan Mar­ tin , que no tardaron en hallarlo j y entre los pueblos de Marchámelo-' y- Fontánar se empeñó-otra acéion , en que les mató á los enemigos’ 80hombres , é hirió otro…</t>
  </si>
  <si>
    <t>Mar, Teniente Miriscal de Campo</t>
  </si>
  <si>
    <t>Teniente Miriscal de Campo Mar</t>
  </si>
  <si>
    <t>a-de corrección de esta ciudad. Estas dos señoras y el coronel son adictos al antiguo Elec­ tor de Hesse-Cassel. i TIRGL. Tremo 27 de abril, S. E. el Comandante Teniente Miriscal de Campo Mar­ qués di Chastelleí ha obligidD al enemigo , con varios moví-</t>
  </si>
  <si>
    <t>Marcelino, Luis</t>
  </si>
  <si>
    <t>Luis Marcelino</t>
  </si>
  <si>
    <t>línea núm. i.® Suager ( D. Josef) , comandante de bata­ Perez (D. Antonio),sargento i.® del mismo. llón del regimiento núm. 2.0, infantería Pereira (D. Luis Marcelino), de la junta de línea. civil. Salcedo ( D. Basilio ), ¿apellan de honor. Piñuela (D. Sebastián), consejero de Estado. Tascher, coronel y edecán del Rei. Pitel,…</t>
  </si>
  <si>
    <t>la guardia real. — Pavía (D. Félix) teniente del, regimiento infantería de línea núm. 1.—Perez (D. Antonio) sargento pri­ mero del mismo. — Pereyra (D. Luis Marcelino) de la junta ci­ vil.—Piñuela (D. Sebastian) consejero de Estado. — Pitel, xefe de esquadron de los caballos ligeros de la guardia real. — Ponce de León (D. Jua…</t>
  </si>
  <si>
    <t>Marchand</t>
  </si>
  <si>
    <t>e habían levantado contra ellos, y juntos con alguna tro­ pa de ia dispersa que se reunió, apresaron pocos dias antes todo el bagage del exército del General Marchand, y los cofres, y hasta la misma secretaría, en el lugar de Valdeorras cerca de Orense, escoltado por 140 caba­ llos, todos los quales fueron muertos ó prisioner…</t>
  </si>
  <si>
    <t>la izquierda , en las alturas de Tamhmes k ]9 de octubre (l). “ Tengo el honor de informaros que el exército del mariscal Ney, &gt; mandado ahora por el general Marchand, se adelantó ayer por la mañana con la fuerza de I0c¡ infantes , 1200 caballos , y 14 piezas de artillería , á atacar el exército español, en donde me hallo, el…</t>
  </si>
  <si>
    <t>538</t>
  </si>
  <si>
    <t>es, 33 caballos y 30 piezas de artillería; pero V. E. sabe hasta que punto se puede dar crédito- á las noticias de los habitantes. En consecuencia el general Marchand envié al general Merrnet con 4 regimientos de infantería y toda la caballería para hacer un re­ conocimiento exacto, pero no habiéndolo adelantado bastante noad…</t>
  </si>
  <si>
    <t>s que debían resultar de esta acción no eran, menos funestas : la evacuación de la provincia de Salamanca pa­ recia ser una de ellas-. Sin embargo el general Marchand espe­ rando algún refuerzo del general Kellermann se mantuvo en Sala­ manca cinco dias, y no dexó aquella ciudad hasta que el enemigo pasó el Tormes en Ledesma …</t>
  </si>
  <si>
    <t>Marchesoa, Emano</t>
  </si>
  <si>
    <t>Emano Marchesoa</t>
  </si>
  <si>
    <t>a jun­ regimiento de infantería de Ñapóles, está ta de Subsistencias de Extremadura, está nombrado teniente. nombrado comisario de Guerra , con dota­ D. Emano Marchesoa, subteniente que ción de i® reales de vellón al mes. fue del regimiento de iaftntería de H¡berD. Rafael Irazabal y Guillermí está nia , está nombrado subtenie…</t>
  </si>
  <si>
    <t>Marcial</t>
  </si>
  <si>
    <t>erez (D. Francisco), gefe de Xaramillo ( D. Juan Manuel). división en el ministerio de Hacienda. Xareño ( D. Antonio Venancio de) , oficial Lasserre (D. Marcial ) , subteniente de ca­ en el ministerio de Negocios extranballos ligeros de La guardia real. geros. Magallon ( D. Joaquín ) , capitán de caba­ Zegers ( D. Francisco )…</t>
  </si>
  <si>
    <t>Maréscolri</t>
  </si>
  <si>
    <t>abriel!/, Las providencias tomadas hasta el día príncipe santa Croce, príncipe Spada, duponen á nuestras tropas en disposición de ique de Bracciano , conde Maréscolri, cabaobrar, contra el enemigo en las orillas del J.'tro'Falconieri, marqués Baglioui, 7 señor Escalda por la parte de Francia y por la Palombi. ‘de Holanda. Se …</t>
  </si>
  <si>
    <t>Margado, Antonio</t>
  </si>
  <si>
    <t>Antonio Margado</t>
  </si>
  <si>
    <t>io Darcourt y D. José Imaz , co­ roneles de los regimientos de Zamora y Sevilla : á D. Francisco Ano, te­ niente coronel del regimiento de Lobera : á D. Antonio Margado , te­ niente del regimiento de infantería de Toledo : á D. Custodio Perez , ca­ pitán del regimiento de dragones de la Reyna i y al capitán de Artillería D. J…</t>
  </si>
  <si>
    <t>Marí, Juan'Antonio Sinta</t>
  </si>
  <si>
    <t>Juan'Antonio Sinta Marí</t>
  </si>
  <si>
    <t>de Baeza: 82 del concejo del Corral de AUlan:.i8o del concejo de Contreras: 540 del de Cubillo, de Losa: 68hde la cofradía-de.Anima?:8 con 28 del de D. Juan'Antonio Sinta Marí;í: &gt;8 de Doña Antbóia'Tóribio: ¿15 de ios bienes de S. Pablo : 147 del Rxcmo; Sr. duque de.Híjar: 13 del conde de Muriilo : 30 de los bienes dé S. Juan…</t>
  </si>
  <si>
    <t>María, Francisco</t>
  </si>
  <si>
    <t>Francisco María</t>
  </si>
  <si>
    <t>,,En la necesidad de haber de satisfa­ cebo Raon , beneficiado de la parroquia de cer las deudas mas sagradas y urgentes del Santiago de Calahorra: á D. Francisco María estado, y de haber de recurrir para ello Barcena , cura del lugar de Cuzcurrhiüj en entre oíros medios á una parte de los bie­ la Rioja, para el beneficio de …</t>
  </si>
  <si>
    <t>ef) , comandante de bata­ trangero. llón del regimiento Real Extrangero. Upategui (D. Manuel Maríi). Sait ( D. Luí-.) , intendente de Cuenca. Urbina (D. Francisco María), intendente Salcedo ( D. Josef Sixto) , consejero de Es­ de Valladolid. tado. Uriz (D. Joaquín Xavier), prior de Ron— San Adrián (marques), primer maestro de…</t>
  </si>
  <si>
    <t>. f21 Aragón. — Virselet, tirador del regimiento real extrangero. — Upategui (D. Manuel María). -- Urbina (D. Francisco María) intendente de Valladolid. — Uriz (D. Joaquín Xavier) prior de Roncesvalles.” En las gazetas del mismo gobierno intruso desde el 28 de octubre hasta el 5 de noviembre se anuncia de oficio,</t>
  </si>
  <si>
    <t>María, Ignacio de Santa</t>
  </si>
  <si>
    <t>Ignacio de Santa María</t>
  </si>
  <si>
    <t>en Madrid, para é industria de aquel hermoso país. S. M. otra igual ración de esta misma santa igle­ sabe que mudar no es sinónimo de refor­ sia : á D. Ignacio de Santa María, comen­ mar j pero en tratándose de mejorar la dador que ha sido del dicho hospital del suerte de sus pueblos , hará sin duda re­ Rei, para una ración d…</t>
  </si>
  <si>
    <t>María, Joan</t>
  </si>
  <si>
    <t>Joan María</t>
  </si>
  <si>
    <t>resente, nú­ león. mero 348 , pág. 1522, donde dice Gonzá­ Rapnn (D. Bernabé ), comisario ordenador. lez ( D. Manuel) } capitán de caballería, Retz ( D. Joan María de), teniente coro- debe leerse González (D. Manuel) , ca­ - nel de Ingenieros. pitán de artillería. EN LA IMPRENTA REAL.</t>
  </si>
  <si>
    <t>María, Joaquín</t>
  </si>
  <si>
    <t>Joaquín María</t>
  </si>
  <si>
    <t>acio. nea núm. i.° Picard (L&gt;. Francisco), caballo ligero de la Bcrnard (D. Víctor), gefe de esqoadron guardia real. V ayudante de palacio. Piñeiro ^ D. Joaquín María ) , dignidad de Bofferton (D. Luis), caballo ligero déla Cuenca. guardia real. Rebonl (D. Carlos), oficial en el ministe­ Bossier (D. Luis), mariscal de logis d…</t>
  </si>
  <si>
    <t>María, José</t>
  </si>
  <si>
    <t>José María</t>
  </si>
  <si>
    <t>te) teniente coronel de artille­ ría. — Fuentes (D. Julián). — Four (D. Juan) sargento pri­ mero del real extrangero.” “Gainza (D. Luis). — Galdiano (D. José María) regente de la audiencia de Navarra. — Guillet, xefe de batallón de la artillería de la guardia. — Gamin , coronel de los caballos ii-'geros de la guardia. — Garcí…</t>
  </si>
  <si>
    <t>María, Josef</t>
  </si>
  <si>
    <t>Josef María</t>
  </si>
  <si>
    <t>conde), intendente de Soria. Extrangero. Colonna (D. Marco Antonio), montero. Gainza ( D. Luis). Corbalan ( D. Joaquín), coronel del regi­ Galdiano (D. Josef María), regente de la miento núm. i.° audiencia de Navarra. Cornide (D. Antonio), mayor del regi­ Guillet, gefe de batallón de la artillería de miento núm. a.® la guardi…</t>
  </si>
  <si>
    <t>del mundo es un contrato voluntario, y como Por decreto de 12 del corriente S. M. tal sujeto á la potestad civil en quanto i se ha servido nombrar á D. Josef María las solemnidades y condiciones con que de­ Castro oidor de la chaocillería de Valla- ban celebráis; para producir efectos legales dolid , y a D. Francisco González…</t>
  </si>
  <si>
    <t>María, Josef García Santa</t>
  </si>
  <si>
    <t>Josef García Santa María</t>
  </si>
  <si>
    <t>de la misma clase D. Francisco Alvarez de Perea s á Tenientes de navio los de fragata D. Jcsef María Tagle , D. Francisco Antolinez , D. Joan Dámelo,-D. Josef García Santa' María , D. Luisv Na vane te , D. Manuel de Luengas : á Al-* féreces de navio los de fragata D. Josef de Tiscar, D. Sal­ vador Spadafora , D. Manuel Díaz H…</t>
  </si>
  <si>
    <t>María, Joséf Joaquín de Santa</t>
  </si>
  <si>
    <t>Joséf Joaquín de Santa María</t>
  </si>
  <si>
    <t>6 hasta 31 inclusive de m^rzo último para las obras ds fortificado 1 de esta Ciada i de Sevilla, con expresan de las personas que lo han verificado• D. Joséf Joaquín de Santa María, recogidos de los veci­ nos de su Quarrel, 14^)894 rs. vn. = Las Justicias de la Villa de Berrocal de donación de los vecinos, 500. r= D.Majiuci G…</t>
  </si>
  <si>
    <t>María, Juan Santa</t>
  </si>
  <si>
    <t>Juan Santa María</t>
  </si>
  <si>
    <t>de Az— • El oficial primero D. Camilo Arroyo piroz , D. Cristóbal . Fernandez Cuesca, todo lo concerniente á la organización ’y X). Serapio Saviñac, D. Juan Santa María, gobierno de los regimientos que se van for­ D. Josef Antonio Ibarrola , D. Vicente Pe­ mando de infantería y-caballería, su ves­ rez de Hervás, D. Manuel Cel…</t>
  </si>
  <si>
    <t>María, Manuel</t>
  </si>
  <si>
    <t>Manuel María</t>
  </si>
  <si>
    <t>. f21 Aragón. — Virselet, tirador del regimiento real extrangero. — Upategui (D. Manuel María). -- Urbina (D. Francisco María) intendente de Valladolid. — Uriz (D. Joaquín Xavier) prior de Roncesvalles.” En las gazetas del mismo gobierno intruso desde el 28 de octubre hasta el 5 de</t>
  </si>
  <si>
    <t>María, Pedro Santi</t>
  </si>
  <si>
    <t>Pedro Santi María</t>
  </si>
  <si>
    <t>s lo si­ ,, Hemos nombrado y nombramos «1 in­ guiente : tendente deexercíto D. Cipriaao de Eche­ articulo 1. ,,Con arregló al artículo 5 6 verría , á D. Pedro Santi María y á D. Jo­ de la constitución, que prescribe que ha de sef de Cía y Azanza asistentes del consejo "haber asistentes en el consejo de Estado, de Estado. «e d…</t>
  </si>
  <si>
    <t>Mariano</t>
  </si>
  <si>
    <t>, enviado Acuña (D. Manuel), gentilhombre dez­ de correo por S. A. R. el príncipe herede­ mara. 1 ro , ha llegado aquí ayer mañana del qnar- Agustin (D. Mariano), director del h os pifo ,.,1, tel general, y ha traído la noticia de la con­ Alderete ( D. Ramón) , cabo i.° del r&lt;|L_. clusión de los preliminares de paz entre la m…</t>
  </si>
  <si>
    <t>nuedo de mi tropa, que retirando la caballería á las inmediaciones del pueblo , em­ bistió la infantería saltando corrales y tejados. Los comandantes D. Mariano , D. Vicente , y Sr. Berdugo tomaron sus posiciones correspondientes y muy peligrosas. Mis valientes y nimca bien ponderados sargentos Saturnina Abuir y José Mondedeu…</t>
  </si>
  <si>
    <t>ta de personas (1). La lista , en los mismos términos -que allí se inserta , es la siguiente. “Acuña (D. Manuel) gentil-hombre de Cámara. — Agustín ( D. Mariano) director del Hospicio. — Alderete (D. Ramón) cabo primero del regimiento de infantería de línea , núm. 2.— Almenara ( marques) consejero de Estado. — Alonso (D. Ceno…</t>
  </si>
  <si>
    <t>ños, la memoria de vuestros beneficios Dombideaux (D. Pedro), teniente de ca­ y de su gratitud hasta la mas remota pos­ ballería. teridad. Domínguez (D. Mariano), corregidor de „ Señor, con la gloriosa paz deViena, Zaragoza. de aquella paz, fruto de vuestras portento­ Dosseaux (D. Pedro), capitán de caba­ sas victorias, y que…</t>
  </si>
  <si>
    <t>Marié</t>
  </si>
  <si>
    <t>Hemos decretado y decretarnos ¿fq que,; .. ¿Extracto de las mif.uaas de la aecretáua s'gue: . i. , de Estado, ¿ ' VCI,íu ,, El coronel Marié, nuestro ayudantede, v En nuestro palacio de Madrid ?a. campo, está nombrado mariscal de campo.,* agosto de .1809. , .i( Nuestro ministro de ia Guerra queda Don Josef Napoleón por la ’graej</t>
  </si>
  <si>
    <t>Maríer, IX Martin</t>
  </si>
  <si>
    <t>IX Martin Maríer</t>
  </si>
  <si>
    <t>guro* a V. S» q;ie si las divisiones de mar hubiesen estado á( mi disposición, 6 hubiesen querido auxiliarme, como^ tan­ tas veces lo solicité con el comandante IX Martin Maríer£spino, acudiendo é los puntos que yo señalaba para ata­ car quando yo avisase , no contaríamos el dia 15 sin enar*» balar el pabellón español en la p…</t>
  </si>
  <si>
    <t>Maríi, Manuel</t>
  </si>
  <si>
    <t>Manuel Maríi</t>
  </si>
  <si>
    <t>del Reí. Virselet, tirador del regimiento Real Ex­ Ruriman ( D. Josef) , comandante de bata­ trangero. llón del regimiento Real Extrangero. Upategui (D. Manuel Maríi). Sait ( D. Luí-.) , intendente de Cuenca. Urbina (D. Francisco María), intendente Salcedo ( D. Josef Sixto) , consejero de Es­ de Valladolid. tado. Uriz (D. Joa…</t>
  </si>
  <si>
    <t>Marin, Joaquin</t>
  </si>
  <si>
    <t>Joaquin Marin</t>
  </si>
  <si>
    <t>y otros cuer­ pos al mando del Comandante D. Domingo Vasallo, el Teniente Coronel D. Francisco Roxas, el Capitán D. Josef Muzquiz, el de igual clase D. Joaquin Marin, el Teniente Coronel D. Cayetano Torreani, y los Capitanes D. Antonio Gómez, y D. Carlos Vega. Pronta y dispuesta con una bizarra disposición esta tro­ pa , me a…</t>
  </si>
  <si>
    <t>Marinont</t>
  </si>
  <si>
    <t>de Saltzburgo, el general Rasca con S3 hombres tuvo orden de avan­ zar desde Italia; miéntras el general Ferron se aproximaba por la Carinthia, y el general Marinont por Baviera y Suábia con mas de 6 á 73 hombres de tropas. Esta fuerza era ciertamente formida­ ble, y hubiera conquistado y hasta aniquilado á qualesquiera otras…</t>
  </si>
  <si>
    <t>Mario</t>
  </si>
  <si>
    <t>ente del mismo re­ Cladera ( D. Cristóbal), gefe de división éa gimiento. el ministerio de lo Interior. Fernandez Moratin (D. Leandro), secre­ Clari (D. Mario), coronel y nuestro edecán. tario de la interpretación de lenguas. Clari ( D. Bienvenido), teniente coronel y Ferrandiz (D. Vicente), teniente coionel escudero. de arti…</t>
  </si>
  <si>
    <t>dad de la guardia real. — Cifúentes ( D. Pedro) tesorero general. — Cladera (D. Cristóbal) xefe de división en el minis­ terio del interior. — Clari (D. Mario) coronel y edecán. — Clari (D. Bienvenido) teniente coronel y escudero. — Clairmont ■Tonnerre , coronel y edecán. — Colonna , escudero. — Colonna -( el conde ) intenden…</t>
  </si>
  <si>
    <t>Mariscoti</t>
  </si>
  <si>
    <t>Núm. 344.. IÍ03 GAZETA DE MADRID { DEL SABADO 9 DE DICIEMBRE DE 1809. REINO DE HOLANDA. nieri, conde Mariscoti, Francisco Salombi y Travaglini. Esta^diputacion ha sido pre­ Amsterdan G de noviembre. sentada por S. A. S. ei príncipe archicanciS. M. acaba de recibir noticias mui sa­ 11er; y el duque d</t>
  </si>
  <si>
    <t>Marmol, Francisco Velez</t>
  </si>
  <si>
    <t>Francisco Velez Marmol</t>
  </si>
  <si>
    <t>res de calcetas , 4 de media?, 10 chaquetas, 1 chupito , 14 pantalones, 10 pares de botines, 77 de zapatos, 40 corbatines, y 21 capotes y ponchos. =* D. Francisco Velez Marmol , vecino de la villa del Coronil, 12 camisas y 12 capotes, zz D. Francisco de Paula Valere, vecino de la villa de Mayrena dei Alcor, 1 camisa , i cha­ …</t>
  </si>
  <si>
    <t>Marmont</t>
  </si>
  <si>
    <t>de las dos Patencias* Pero las cartas particulares anuncian haberse empezado las hostilidades por el lado de Italia; y se re­ fiere da este modo» El general Marmont se había avanzado hacia Trieste* roas el General Austríaco, previendo sus intentos, salió á su encuentro* Ejv esto se. empeña un combate muy vivo en que fuéron de…</t>
  </si>
  <si>
    <t>uardia deí enemigo , y así era necesario que algún exército le observase. Eí primer cuer­ po dei exército francés que vemos en mucho riesgo es el del General Marmont , que subía de Zara para reunirse al exército de Italia : habiendo tomado este exército á la izquierda , y di­ rigiéndose h^cia el Danubio , queda el Archiduque …</t>
  </si>
  <si>
    <t>tríacos. El enemigo se vió en la necesidad de abandonar áZengy Fiume, no menos que las islas situadas a lo largo de la costa de dicha pro­ vincia. El general Marmont se retiró ccn tal celeridad que se dexó en manos de los austríacos bastantes prisioneros. También aban­ donó el enemigo muchos heridos , entre quienes se cuentan…</t>
  </si>
  <si>
    <t>o la llegará á Fontainebleau del -1J at 20 de es­ primera de sus sesiones solemnes consagra­ te mes. das á celebrar su bienhechor y su protec­ El Sr. mariscal Marmont, duqne de Ra­ tor ; y en fin , esta misma época hubiera gú sa , acaba de ltegár aquí dé Vieiusido la en que los griegos habrían retíOvado sns juegos olímpicos p…</t>
  </si>
  <si>
    <t>ncentrado, y distante algunas leguas del Da­ nubio. Es todavía numeroso el campo de Spitz , destinado k cu­ brir el puente del Tabor. — El cuerpo del mariscal Marmont es­ tá del lado de Crems á. la orilla izquierda del Danubio hasta Budvveis en Bohemia. Algunos batallones de este cuerpo se hallan en la orilla derecha cerca de…</t>
  </si>
  <si>
    <t>echaba menos la presencia de XJdin.it ry de noviembre. nuestro Soberano; allí hubiera sin duda contenido Sí M. el furor militar , impidien­ El señor mariscal Marmont, duque de do que sus soldados se vengasen de las Ragusa, ha atravesado nuestro territorio atrocidades con que la ferocidad de algunos para ir á Lubiana, en donde…</t>
  </si>
  <si>
    <t>Márquez, Josef Joaquín</t>
  </si>
  <si>
    <t>Josef Joaquín Márquez</t>
  </si>
  <si>
    <t>irnos de qualquiera sorpresa... IX, Áiiibrosío de., la Quadra llegó en efecto al puente de Caldelasr como, se lo había prevenido pero antes de ilegar D. Josef Joaquín Márquez, coronel de Lobera* tuvo una acción con los ene­ migos, cuyo par.te copio a, la, letra, .y es como se sigue:. „ A cqtTseqUviUcia del partq^qua de acuerd…</t>
  </si>
  <si>
    <t>Marracó, José</t>
  </si>
  <si>
    <t>José Marracó</t>
  </si>
  <si>
    <t>rsen, marques de Bárboles. — D. Joaquin Heredia. — D. Ildefonso Quartero.--Doña Ven­ tura Lisa. — D. Pedro Silves— José Fornies. -- D. José Latasa. — D. José Marracó. — D. Tomas Castillo Larroy. -- D. Vicente Camacho. -- D. Pablo Pasqual.— D. Juan Ramón Perez. -- D. Xa­ vier Castillo.--Monjas de Sigena. — D. Ambrosio Nasarre.…</t>
  </si>
  <si>
    <t>Marracó, Juan Rafael</t>
  </si>
  <si>
    <t>Juan Rafael Marracó</t>
  </si>
  <si>
    <t>executaron con D. Miguel Marracó , presbítero y racionero del Pilar, sugeto de probidad y mérito, con el teniente coro­ nel D. Alonso Escobedo , con D. Juan Rafael Marracó, mugeres y niños de estos dos últimos , únicamente porque dirigian y mandaban á aquellos naturales que defendían la justa causa; y posteriormente han baxad…</t>
  </si>
  <si>
    <t>Marracó, Miguel</t>
  </si>
  <si>
    <t>Miguel Marracó</t>
  </si>
  <si>
    <t>ón y sentimientos, para asesinar á los que se habían distinguido en servicios patrió­ ticos de la presente causa que defendemos , y lo executaron con D. Miguel Marracó , presbítero y racionero del Pilar, sugeto de probidad y mérito, con el teniente coro­ nel D. Alonso Escobedo , con D. Juan Rafael Marracó, mugeres y niños de …</t>
  </si>
  <si>
    <t>Marschall, Rodulfo</t>
  </si>
  <si>
    <t>Rodulfo Marschall</t>
  </si>
  <si>
    <t>Antonio Codina, que guardaba el obús , y fue herido , y la trepa restante colocada en la torre de la iglesia ( en donde lo fue gravemente el referido D. Rodulfo Marschall) ventanas y aspilleras del edificio, haciendo un fue­ go incesante , auxiliaba á los defensores mas próximos á la brecha. El fuerte del Calvario fué igualme…</t>
  </si>
  <si>
    <t>Marsella</t>
  </si>
  <si>
    <t>33 GAZETA DE MADRID DEL SABADO 21 DE ENERO DE 1809. AFRICA. Argel 21 de noviembre de 1808. Extracto de una carta auténtica que ha traído directamente d Marsella un buque americano. De algún tiempo á esta parte reinaba en este país la mayor tranquilidad. Las tropas que habian vuelto de Constantina á Argel no cometían los des­ …</t>
  </si>
  <si>
    <t>Marsliall, Rodolfo</t>
  </si>
  <si>
    <t>Rodolfo Marsliall</t>
  </si>
  <si>
    <t>406</t>
  </si>
  <si>
    <t>fantería , y cerca de 200 de caballería. Tarragona 23 de octubre. Entre los héroes de la patria y defen­ sores de la inmortal Gerona debemos contar á D. Rodolfo Marsliall, coronel graduado y agregado al regimiento de Uitonia, que por su patriotismo abandonó su numerosa familia y bienes, y qui­ so tener parte en las glorias de…</t>
  </si>
  <si>
    <t>Marta, Josef</t>
  </si>
  <si>
    <t>Josef Marta</t>
  </si>
  <si>
    <t>a,Don primeros D. Josef de Hueros y D. Camilo Santiago. Torres, D» t Joaquín Cituentes,; Arroyo , según el asunto de que se trate. D. Antonio Tejada, D. Josef Marta £ar,-r: El gefe de división D. Rafael Tenorio, nerero y E&gt;. Manuel García Suelto oficia^ tiene ¿ su cargo lo perteneciente á lasr tro­ les segundos; y ¿ D.»Josef …</t>
  </si>
  <si>
    <t>Martí, Gabriel</t>
  </si>
  <si>
    <t>Gabriel Martí</t>
  </si>
  <si>
    <t>blico remate en -la sala consistorial de dicha ciudad de Vitoria el día 22 del presente á las .10 horas de su mañana y 3 de la tarde por el oficio de D. Gabriel Martí­ nez de Tragón las fincas siguientes: en la jurisdicción de la villa de Salva­ tierra y su barrio de Opacua una casa con su era , borda, rain y 15 here­ dades c…</t>
  </si>
  <si>
    <t>Martin</t>
  </si>
  <si>
    <t>rección Don Josef Napoleón por la gracia de de la expedición botánica de Nueva-España Dios y por la constitncion del estado, REI en lugar del difunto D. Martin de.SesSé , go­ de las Españas y de las Indias. zará del mismo sueldo que estaba señalado ,,A consecuencia de haber fallecido en á este, es á saber, 20© rs. de vn. anua…</t>
  </si>
  <si>
    <t>Tendréislo entendido para vuestra.satisfacción. —£1 marques.de Astorga, presidente.— •En .et real. alcázar de Sevilla,ú ;13 de octubre de 1809. — A •D. Martin- de. Garay. 2.° “Habieüdoveaidftia Junta suprema gubernativa,del reyno en .admitir la-diínision-qnevfipetidas veces ua ¡lecho sji vqqai JJ. Mar­ tin de&lt;-Garay, deLcargo…</t>
  </si>
  <si>
    <t>anislao)., cons.-jero de Estado, Gómez ( D. Valerio)^ sargento i.° del re­ iucorte , general y primer mayordomo. gimiento infantería de línea. Llano (D. Martin), maestro de ce retino— Gómez Tícrmosilla (D. Josef}, gefe d,$ di­ niqs., visión en el minLteiio de Policía. Llórente (D. Juan Antonio), consejero de Gómez de Terao ( …</t>
  </si>
  <si>
    <t>ndesa. — Lombardi (D. Francisco) oficial dé ordenanza. — Lu­ go ( D. Estanislao) consejero de Estado. — Lucotte, general y primer mayordomo. — Llano (D. Martin) maestro de ceremojiias. — Llórente (D. Juan Antonio) consejero de Estado. — Llobet ( Di Ramón) capitán del regimiento núm. i , infantería de línea.” “Malherer (D. Cár…</t>
  </si>
  <si>
    <t>Martin, Alonso San</t>
  </si>
  <si>
    <t>Alonso San Martin</t>
  </si>
  <si>
    <t>Va­ quero, á D. Joaquín Murua y Euiate , inquisidor en Sevilla : y pa­ ra otra que vacó en dicha iglesia por muerte de D. Manuel Co­ llazo Malvar , k D. Alonso San Martin , racionero de la misma: -para la canongia vacante-en la catedral de Valencia por falleci­ miento de 1&gt;. Ramón de Lrra, á D. Joaquín Ferraz v Cornel , ca­ n…</t>
  </si>
  <si>
    <t>Martin, Antonio</t>
  </si>
  <si>
    <t>Antonio Martin</t>
  </si>
  <si>
    <t>uan Josef Vera , 12 rls. para un, sombrero. D. Joaquín Coronas , 10 rls. para un par de media?. D. Josef de Troya , 20 rls. para dos pares de medias. D. Antonio Martin , 20 rls. para dos pares de medias. D. Francisco García , 40 rls. para dos mochilas y unas medias. D. Juan Rodríguez , 20 rls. para dos pares de medias. D. Jos…</t>
  </si>
  <si>
    <t>Hussóo (D. Francisco), (obteniente del re­ Rivas (D. Antonio Martin), corregidor de . gimiento Real Extrangero. Truxillo. Janoski (Alexandro), granadero del mis­ Roxas y Hierro ( D. Josef de) , del extin­ mo regimiento. guido consejo de Indias. Kaúfman (D.</t>
  </si>
  <si>
    <t>Martin, Elias</t>
  </si>
  <si>
    <t>Elias Martin</t>
  </si>
  <si>
    <t>i En conformidad de lo dispuesta en ios pia diócesi ; y para el de Camporedondo y artículos 98 y 99» de la constitución, en qu» Santiago del Arroyo á D. Elias Martin,te previene que la justicia se administrará iubdiacono. en nombre del REI por juzgados y tribu­ nales que él mismo establecerá , y que se suprimirán todos los tr…</t>
  </si>
  <si>
    <t>Martin, Francisco</t>
  </si>
  <si>
    <t>Francisco Martin</t>
  </si>
  <si>
    <t>cisco Barrios , 30 rls. para dos mochilas» D. Matias García , 20 rls. para dos pares de medías. D. Antonio Ximensz, 20 rls. para dos pares de medias. D. Francisco Martin , 10 para unas medias» D. Tomas González , 20 rls. para dos pares de medias» D. Manuel Alegre , 10 rls. para un par de medias. D. Josef García , 70 rls. para…</t>
  </si>
  <si>
    <t>y 4 caballos muertos ; 2 hombres y 2 caballos heridos ; 6 hombres y 9 ca­ ballos,prisioneros. Total, 14 hombres y 4 5 caballos* — Mantesa: te­ niente D. Francisco Martin, muerto ; capitán D.Juan Cañete, heri­ do ; 16 hombres y 9 caballos muertos; 4 hombres y 4 caballos heri­ dos ; 4 hombres y 7 caballos prisioneros. Total , 2…</t>
  </si>
  <si>
    <t>Martin, Juan</t>
  </si>
  <si>
    <t>Juan Martin</t>
  </si>
  <si>
    <t>263</t>
  </si>
  <si>
    <t>ales andaban por aquéllos pueblos exigiendo granosharinas y otras contribuciones. El marques de las Atalayuelas está en Ma­ cedón coir 800 hombres; y D. Juan Martin ( el Empecinado } se halla con su partida de 240 caballos hacia la sierra de Alto-Rey. Sevilla 6 de octubre. Acabamos de recibir diarios de Gerona desde el 13 al …</t>
  </si>
  <si>
    <t>ra partida, de ia qual esperaba dar la misma cuenta, estando su geute muy animosa , y con municiones abundantes. Teruel 30 de setiembre. El intrépido D. Juan Martin (el empe­ cinado) avisa á la junta superior de Aragón con fecha del dia 18, que el anterior, una avanzada suya había muerto tres dragones franceses, hecho prision…</t>
  </si>
  <si>
    <t>ganado lanár y muías de los puebles inmedia­ tos al mónasíerio de Sqpetrán , distante 4 leguas de dicha ciudad: in­ mediatamente fueron atacados por D. Juan Martin , principiando el fue­ go á la una de la farde, derrotados y perseguidos hasta media legua de lá ciudad; la noche puso fin á la acción, dexando los franceses 41 ho…</t>
  </si>
  <si>
    <t>314</t>
  </si>
  <si>
    <t>de estar su pueblo ocupado por las tropas enemi­ gas. ¡ Acción verdaderamente digna y heróyca 1 * El 27 de setiembre se recibió parte en Siguenza de D. Juan Martin (el Empecinado) avisando qué .acababa de desalojar á los franceses de Gñadalaxara , después de haberlos perseguido y acu­ chillado en los melonares" de Marchámalo.…</t>
  </si>
  <si>
    <t>sus delitos,y que con esta nue­ va executoria completan dignamente su carrera de inmoralidad y corrupción. Sevilla SO de octubre. Parte del asesor de D. Juan Martin ( el Empecinado.) al intendente de la provincia de Guadálaxara. “ Sr. intendente de la provincia de Guadalaxara. — Muy Sr. mió : D. Manuel Moreno habrá informado …</t>
  </si>
  <si>
    <t>n 250 de caballería é infantería , y se volvieron á Bruitrago. — En este instante viene un soldado de mi partida de Cogodudo , en donde dice se halla D. Juan Martin bastante indispuesto de re­ sultas de un sorbo de licor que le ofreció un caballero al pasar por Jadraque ; que á poco tiempo de haberte bebido sintió un gran fue…</t>
  </si>
  <si>
    <t>ar no solo á este pueblo sino á los de Fonz, Estadilla y otros que han sufrido igual suerte , y quedado reduci­ dos á escombros y á la miseria (1). — D. Juan Martin ( el Empe­ cinado j avisa desde Hueva con fecha de 16 de octubre , que el * primera compañía montada, del segundo regimiento ; 5 hombres y 8 caballos -muertos ; 1…</t>
  </si>
  <si>
    <t>Martin, Juan Francisco</t>
  </si>
  <si>
    <t>Juan Francisco Martin</t>
  </si>
  <si>
    <t>sef Manuel Carazo , del comercio de Cartagena. Una de id pesos en vales reales de D. Juan Josef Nuñez del mismo co­ mercio.— Y otra de 30^ rs. vn. de D. Juan Francisco Martin del propio comercio. El Consulado de Guadalaxara de Indias entregó en la» reales caxas de aquella Ciudad, y á disposición del Virey de Nueva-España , 22…</t>
  </si>
  <si>
    <t>Martin, Juan Solís</t>
  </si>
  <si>
    <t>Juan Solís Martin</t>
  </si>
  <si>
    <t>rieron D. Ignacio de Ta­ pia, conde de Valdeláguila; D. Juan Sanz; D. Severo Bernal Moran; Don Segundo Revilla; D. Pedro Revilla* D. Narciso Holgado; D. Juan Solís Martin ; D. Valentín Perrino ; D. Ignacio Burguillo; D. Sebastian Sánchez; D. Juan Manuel Bazan; D. Marcelo Meló. Del estado eclesiástico secular y regular asistie…</t>
  </si>
  <si>
    <t>Martin, Lorenzo</t>
  </si>
  <si>
    <t>Lorenzo Martin</t>
  </si>
  <si>
    <t>ee­ dores } pero con especialidad al sargento primero de húsares , á los capi­ tanes de mí cuerpo D. Julián- Simón y I). Francisco Bonal, al teniente D. Lorenzo Martin que salió herido, y al teniente D. Francisco Oriol, que sin experimentar lesión alguna, penetró per entre la caballería ene­ miga, abriéndose paso á sablazos. …</t>
  </si>
  <si>
    <t>Martin, Manuel</t>
  </si>
  <si>
    <t>Manuel Martin</t>
  </si>
  <si>
    <t>co Ponce, 10 rls. para un par de medias. D. Miguel de Vera , 20 rls. para dos pares de medias. D. Francisco Vera , 20 rls. para, dos pares de medias. D. Manuel Martin , 10 rls. para un par de medias. D. Josef Perez , 20 rls. para dos pares de medias. D. Martin Serrano, 10 rls. para un par de medias. D. Juan Tomates , 10 rls. …</t>
  </si>
  <si>
    <t>Martin, Sautisgo</t>
  </si>
  <si>
    <t>Sautisgo Martin</t>
  </si>
  <si>
    <t>manifestar su nombre, i3 rs.r= Otra ídem , 20 rs. == D. Teodoro Gcfíinet vecino de esta ciudad, 1600 re. = D. Joaquín Fernandez' Rodríguez , 60 rs. = D. Sautisgo Martin , 120 rs. = D. Luis Pedro Perier, 200 rs.rr O. Manuel Aguilar y Gueto , 200 rs. = D. Cayetano Cortinas y Viiíccb , 300 rs. = El Hermano mayor del hospital del…</t>
  </si>
  <si>
    <t>Martin-de</t>
  </si>
  <si>
    <t>lo a la suya. Ruego á Dios guarde la vida-de-V. E. mu­ chos añós. Trieste 20 de abril dé iSoq.mEcxmo. Sr. —Cár+ los Alexandra dé. LeUis.zz:Excmo. Sr. D. Martin-de.-Garay.. P . IX Al" cerrar este pliego llega lá plausible noticia* dé que la Rusia se ha unido, al Austria contra la. Francia. ida relación dé lá batalla que se cit…</t>
  </si>
  <si>
    <t>Martines, Josef</t>
  </si>
  <si>
    <t>Josef Martines</t>
  </si>
  <si>
    <t>de hacer novedad en ellas , de fixar la leí de motivo grave ni leve, los caballeros semi­ los auxilios que debían disfrutar los que en narista mayor D. Josef Martines: gefes de tales reformas pudieran no tener cabida para Bala D. Josef Ramón Fernandez y D. Ma­ su correspondiente Colocación. nuel Abbad: ge fes de trozo D. Pabl…</t>
  </si>
  <si>
    <t>Martinez, Bérnardino</t>
  </si>
  <si>
    <t>Bérnardino Martinez</t>
  </si>
  <si>
    <t>óbert, cürá de Daganzd de abaxo. . Asimismo sé ha dignado S; M. nombrar para una capellanía del número y coro de la iglesia metropolitana de Toledo á D Bérnardino Martinez: para un beneficio de la iglesia parroquial de la villa de Oropesa, diócesis de Avila, á D. Manuel Perez: para otro beneficio de la parroquia de Sobradi­ l…</t>
  </si>
  <si>
    <t>Martínez, Cecilio Armiño</t>
  </si>
  <si>
    <t>Cecilio Armiño Martínez</t>
  </si>
  <si>
    <t>. Joaquín de la Cortina. 30.000 El capitán D. Diego y D. Juan Manuel de Peredo. 30.000 D. Juan Marcos Rada. 25.000 D. Dionisio Cicero Lombrana. 2.000 D. Cecilio Armiño Martínez. 7.000 D. Diego Movellan. 16.000 D. José Bernardo Baz 10.000 D. Juan Antonio Aristi. 2.000 D. Joaquín de Echarte. 15.000 D. José María Landa. 4.000 D.…</t>
  </si>
  <si>
    <t>Martínez, Francisco</t>
  </si>
  <si>
    <t>Francisco Martínez</t>
  </si>
  <si>
    <t>ls. para dos pares de medias. D. Joaqain Ballestero 20 rls. para dos pares de medias. ^D. Miguel - de la Portilla , 20 rls. para dos pares de medias* D. Francisco Martínez , io rh?. para un par de medias. Doña Inés Domínguez , 48 -rls. para . unos pantalones. D* Diegocde 'Torres^ 20 rís...para dos pares de medias* D. Juan Gar…</t>
  </si>
  <si>
    <t>Martínez, Francisco de Paula</t>
  </si>
  <si>
    <t>Francisco de Paula Martínez</t>
  </si>
  <si>
    <t>echo á cierta cantidad de reales, que le serán entre­ gados luego que personalmente ó por poder en forma, se presen­ te en el término de seis meses á D. Francisco de Paula Martínez, vecino de la misma ciudad. SEVILLA : EN LA IMPRENTA REAL.</t>
  </si>
  <si>
    <t>Martínez, Joan Manuel</t>
  </si>
  <si>
    <t>Joan Manuel Martínez</t>
  </si>
  <si>
    <t>l Sr. conde de Lerena; D. Manuel Bernardo Roldan; D. Julián Gon­ zález Saez; D. Gil Antonio Laguna; D. Diego María Gallar; D. Francisco Ruano Santos; D. Joan Manuel Martínez;. D. Santiago Felipe Barrundos y D. Félix Lorenzo Sanz. Comunidades. R. P. Fr. Domingo Coronado y Fr. Josef Sánchez , dominicos; P. Fr. Francisco Gómez B…</t>
  </si>
  <si>
    <t>Martínez, Juan</t>
  </si>
  <si>
    <t>Juan Martínez</t>
  </si>
  <si>
    <t>oro­ na D. José Herrero , el del general D. Juan Granelia . el teniente graduado de capitán del de Orense D. José Novoa, y ei subteniente de Betanzos D. Juan Martínez ; diciendo haber­ se distinguido la artillería de su división , y recomendando á los oficiales de ella , el coronel D. Antonio Reselló, el capitau I). Martin Sa…</t>
  </si>
  <si>
    <t>Martínez, Vicente</t>
  </si>
  <si>
    <t>Vicente Martínez</t>
  </si>
  <si>
    <t>puntualizar á V. E. la pérdida que sufrió nuestro exército , pudiendo solo decir , que la primera división tuvo 12 oficiales muertos, éntrelos quales D. Vicente Martínez, digno coronel del ^regimiento primero de España, y 18 heridos ; siendo proporcionada la pérdida de la tro­ pa. La segunda división 2 oficiales muertos, 3 he…</t>
  </si>
  <si>
    <t>— D, Ramón Robres. — D. Pedro Benisa. — D. Joaquin Manrique de Lara.-- D. Manuel García del Campo.— D. Vi­ cente Aragón. — D. Antonio Viscasillas. — D. Vicente Martínez.— D. Hilario Ximenez.— Angel Blanque.— Juan Domec.- D. Fran­ cisco Gantolaria — D. Francisco de Paula Perpiñan, muger é hi­ jo. — Doña Bárbara Garay. — Conde …</t>
  </si>
  <si>
    <t>; el capitán del de Victoria D. Rafael Mora ; el ayudante general sargen­ to .mayor del de Aragón D. Salvador Molina ; el sub­ teniente de Castropol D. Vicente Martínez, y él coro­ nel del de Lena D. fiuan JDringood : los 3 primeros. y él contuso D. Manuel Puga , subteniente del de Lemos, eran de la vanguardia. N. 2.0 Estado …</t>
  </si>
  <si>
    <t>Martini, Nicolás</t>
  </si>
  <si>
    <t>Nicolás Martini</t>
  </si>
  <si>
    <t>Pergues» alférez que fue ue fue del regimiento de infantería de del regimiento de caballería del Infante , es­ S lavarra, está nombrado subteniente. D. Nicolás Martini, sargento i." de la tá npmbrado, teniente. D. Joaquín Infanson, subteniente qne compañía de vélites de nuestra real guar­ fue del regimiento provincial de Ovie…</t>
  </si>
  <si>
    <t>Martioejz, Josef</t>
  </si>
  <si>
    <t>Josef Martioejz</t>
  </si>
  <si>
    <t>na mochila. Doña Mariana Gallardo, 40 rl ‘. para dos mochilas y unas medías. D. Francisco Ruiz , y D. Manuel Perez, 20 rls. para dos pares de medias. D. Josef Martioejz , 10 rís. para un par de medias. D. Romualdo Ruiz, 20 rls. para dos pares de medias. D. Antonio Espinosa, 10 rls. para un par de medias. D. Vicente Gonza’ez, …</t>
  </si>
  <si>
    <t>Marton, Santiago</t>
  </si>
  <si>
    <t>Santiago Marton</t>
  </si>
  <si>
    <t>Castro 3 Lemos, contuso el subteniente D. José Losada 3 granaderos Provinciales, contuso el teniente D. Antonio Bar­ rios 3 León, contuso el teniente D. Santiago Marton 3 voluntarios de la Corona , heridos los tenientes D. Pedro Perez y B. Benito Salgado , y el subteniente D. Mariano Felez 3 General, contusos el teniente D. J…</t>
  </si>
  <si>
    <t>Marziani</t>
  </si>
  <si>
    <t>«¿4 . . migo para inquietar y Sublevar el país*' El archidaqne Eernamdo entró'en Var­ El general Marziani, que ha sido he­ sovia con el séptimo cuerpo, que constaba cho prisionero én la batalla de Raab, ha de 40® hombres. Está reducido á 2 j © : lue­ llegado al quartel general, y dice que des­</t>
  </si>
  <si>
    <t>Masá</t>
  </si>
  <si>
    <t>n muchos los correos extraordinarios dor Napoleón escribió una carta al Reí de que de algún tiempo á esta parte vienen Prusia ofreciéndole la paz. El coronel Masá nuestra corte de las de París y Peters­ sen’^ach ,que acaba de publicar varios opús­ burgo, y los que se despachan de aquí pa­ culos históricos, refiere en uno de e…</t>
  </si>
  <si>
    <t>Masená</t>
  </si>
  <si>
    <t>Ratzeburgo,83031 francos: el mariscal Augereau , duque de Castillón, los bailiages &lt;Je Wisehhafert y Neubaus, en el pais de Brema,' 80Ó33 francos: el.mariscal Masená , duque ue Rivolf, una parte del bailia¿é de'NéinburgO y de Hoya ¿ 80050 francos: el caballerizo mayor Coulincóurt, duque de vicénciav la mayor parte de los bail…</t>
  </si>
  <si>
    <t>Masia, Francisco</t>
  </si>
  <si>
    <t>Francisco Masia</t>
  </si>
  <si>
    <t>l comandante general de Artillería : al coronel D. Matías de Ferrar, y al de igual clase agregado al estado mayor D. Joaquín Ovalle : á los capitanes D. Francisco Masia, D. José Saravia , D. Antonio Loriga y D. Joaquín Domínguez, y al subteniente D. José de Ponte. Finalmente recomiendo muy particularmente á V. E. á los marísc…</t>
  </si>
  <si>
    <t>Massena</t>
  </si>
  <si>
    <t>as, que concluirán en fin de este mes, el término de la presentación: con la ad­ Stuttgardt 21 de marzo. vertencia de que será improrogable, y fe­ El mariscal Massena, duque de Rívoli, necido se considerarán fuera de la circula­ al pasar por esta ciudad ha tenido una lar­ ción las cédulas viejas, y perderán los due­ ga confer…</t>
  </si>
  <si>
    <t>rcarse.Aunque he dicho arriba , que no hablaría de ló que sucede en Alemania, añadiré á esta, por habérmelo- asegu-lado este General Comandante, qued Mariscal Massena es- tá marchando con un exército-de* 8o9 hombres desde Ulma* á Hohenliade , y que el Archiduque «Garlos Id va á*encon- t rar con un exército de 12 ©S para« darl…</t>
  </si>
  <si>
    <t>l últi­ pletos para venir de Dresde á Leipsick; pe­ mo brazo del Danubio el cuerpo de ex­ ro ahora no ha necesitado mas que dos para cito de S. E. el mariscal Massena, duque ir de Leipsick i Dresde. de Rívoli. Esta operación se ha executado „Creía que estábamos aun en las márge­ 4 dos leguas de Viena, sin que m una per- nes d…</t>
  </si>
  <si>
    <t>a el Aus­ Dalmacia; y se asegura que renian también tria superior». Saltzbuvgo y las fronteras tropas de desembarco ; loque ha dado mo­ del Tirol. El mariscal Massena ocupa la tivo para que ae den las disposiciones mas parte occidental de la Moravia» y- el maris­ eficaces de defensa. Zara» Spalatro, Sebecal Davoust la parte o…</t>
  </si>
  <si>
    <t>ning, y protesta al Dresde. príncipe que no ha estado en su mano el El cuerpo de exércíto á las órdenes del que este último no haya quedado en el mi­ mariscal Massena, duque de Rívoli, se ha nisterio. El príncipe en su respuesta dice puesto ya en camino para volver á Francia. que no puede menos de tomar parte en el lia fallec…</t>
  </si>
  <si>
    <t>591</t>
  </si>
  <si>
    <t>endido la guerra en 1799 , sus fronte­ ras fueron.también amenazadas , y los habitantes inmediatamen­ te volaron 4 guardarlas ; y en 1800 , quando el mariscal Massena atravesó el Rhin cerca de Feldkirk en el Voralberg , con una fuerza muy superior y victoriosa, fue tanto allí, como junto á la fortaleza de la montaña de St. Lu…</t>
  </si>
  <si>
    <t>Massenbach</t>
  </si>
  <si>
    <t>s ra aquellas. particularidades siguientes acerca de este Las últimas cartas de Turquía refieren hecho: que las tropas asiáticas que había en An- „E1 coronel Massenbach (es el autor drinópolis han cometido allí grandes des­ mismo de la obra ) se hallaba destacado el órdenes , y que han exigido á ia fuerza el 13 de octubre en …</t>
  </si>
  <si>
    <t>Mat-ís, Josef Calapis</t>
  </si>
  <si>
    <t>Josef Calapis Mat-ís</t>
  </si>
  <si>
    <t>Díaz de los Cobos Mdxica. zz. D. fuaa de Taaroa'?a.zr D. Juan Manuel Velas de la * Cadena, zr. D. Juan de Ightiaa Pablo, = D. León Ignacio Rico.. == D. Josef Calapis Mat-ís, Secretario. La Representación , firmada por lo&amp; miamos - -Capifolares^ jr con la sobredicha fecha i manifiesta la iccxpücaok</t>
  </si>
  <si>
    <t>MaTchand</t>
  </si>
  <si>
    <t>llesteros está á la vista , y solamente se espera su llegada para perseguir y aniquilar el exército derrotado. Sabemos por los pri­ sioneros , que el general MaTchand publicó en Salamanca su in­ tención de aniquilar á las 2 de la tarde dei 18 á 30'3 paítanos in­ surgentes : la orden á su exército era que se posesionase de las…</t>
  </si>
  <si>
    <t>Matcu, Josef</t>
  </si>
  <si>
    <t>Josef Matcu</t>
  </si>
  <si>
    <t>articular los comandantes de las guerrillas 1). Sebastian Kamirez,, D. Benito Losada, D. Jacinto Caspe, D. Pedro Moiano, D. J.osef Siraon, Zurita , y D. Josef Matcu ; no pudiéndome olvidar del desempeño de D. Ho­ norato Flcircs, capitán del real cuerpo de Ingenieros, y Quanel-maestre; dé la división del mando de V. S., quien …</t>
  </si>
  <si>
    <t>Mateo</t>
  </si>
  <si>
    <t>e empüñárido eP fusil- se defendió vs.éró'saiuenté de 3 dragehés, salvándose del peligro , d'pesár dé kai­ ser recibido un sablazo en la espalda; dél soldado Mateo de la</t>
  </si>
  <si>
    <t>Mateu, Antonio</t>
  </si>
  <si>
    <t>Antonio Mateu</t>
  </si>
  <si>
    <t>y re­ comienda á los que han sobresalido en la acción que son los capitanes Alborná, Guinovart y D. Cayetano Pasqual, el teniente D. José Roself, el sargento Antonio Mateu , el tambor Ignacio Bonis que se es­ capó de las manos de los coraceros , y D.. Pablo Basons. Seviila 14 de; octubre. —Coa motivo del real decreto de 22 de…</t>
  </si>
  <si>
    <t>Matías</t>
  </si>
  <si>
    <t>s han nacido en Ñapóles 14719 individuos: Walonas, D. Félix Palacios, D. Pedro han fallecido 11727; y se han celebrado Cendeja, É&gt;. Joaquín de Osés , D. Matías 3337 matrimonios. de la Torre, D. Francisco Xavier Vidarte Se ha hecho en todo el reino con la y D. Fermín de Labastida. Ganó el premio mayor celeridad posible el alis…</t>
  </si>
  <si>
    <t>Matthieu</t>
  </si>
  <si>
    <t>o-germanas en publicar está batalla,'trastornándo­ lo todo para alucinar al público. . En el boletín francés 14.° se dice , entre otras-cosas, que el capitán Matthieu con una ordenanza había, hecho-prisioneros á 680 hombres de tropas de línea austríacas , y á-2? hombres de las milicias. Siendo esto así , debe admirar todo él-…</t>
  </si>
  <si>
    <t>Maturana, Domingo</t>
  </si>
  <si>
    <t>Domingo Maturana</t>
  </si>
  <si>
    <t>medio: una heredad en dicho pueblo perteneciente á la capellanía de D. Tomas Gueñena, al contado 560 , y 842 al fiado: 3 dichas de la pia memoria de D. Domingo Maturana, al contado 621', y al fiado 934: dos dichas en el mismo pueblo correspondientes á la ermita de S. Jorge , al contado 249 , y al fiado 373; de manera que la t…</t>
  </si>
  <si>
    <t>Maubourg, Latour</t>
  </si>
  <si>
    <t>Latour Maubourg</t>
  </si>
  <si>
    <t>148</t>
  </si>
  <si>
    <t>dirección de Valverde; y el señor mariscal duque de Be— llune mandó qúe fuese en su seguimiento la división de..dragones, baxo jas órdenes del señor general Latour- Maubourg. Alcanzó este general la reta­ guardia enemiga en Tórtola; mandó atacarla, y la destrozó, cogiendo el tren, que consistía en 15 piezas de artillería, , y…</t>
  </si>
  <si>
    <t>. El general Villatte ha manifestado habiiidad y conocimientos militares en las maniobras. El general Ruffin también se ha distinguido, y lo mismo el general Latour- Maubourg : los dragones que manda este se han portado con bizarría. El joven Soprarsi, gefe de escua­ drón del i.° de dragones, se arrojó con increible valor en …</t>
  </si>
  <si>
    <t>lá vanguardia al mando de su intrépido xefe el brigadier D. José dé Zayas cargase al enemigo que se había reforzado con la división de caballería del general Latour Maubourg, y ordené que las divisio­ nes de infantería y caballería marchasen en colunas cerradas para que avanzando hacia Talavera protegiesen el ataque , si los …</t>
  </si>
  <si>
    <t>Maucune</t>
  </si>
  <si>
    <t>quería atacar, la derecha parecía- ser el punto mas accesible y el que condu­ cía á, su comunicación, con Ciudad Rodrigo. Entonces-hizo mar­ char al general Maucune con la caballería ligera, como se ve in­ dicado en el bosquejo. Esta colima luego que llegó á la llanura de la eminencia se-formó en cabeza-de coluna á la izquier…</t>
  </si>
  <si>
    <t>Maupatir</t>
  </si>
  <si>
    <t>án ya conquistadas y sometidas. : . í ^ ; El general dé división Lapisse ha enviado á Portugal algunas patrullas, que han sido mui bien recibidas. El general Maupatir ha entrado en Sala­ manca,* en donde ha encontrado algunos enfermos ingleses. , ^ . . . •&lt;■ ~. ■ ■ ■ ; V .. , 1 .!■■»■■■" . ... .-r- 7,'). El señor;de Guignes, …</t>
  </si>
  <si>
    <t>Maupetit</t>
  </si>
  <si>
    <t>96</t>
  </si>
  <si>
    <t>y lo arrolló. Han sido hechos prisioneros los regimien­ tos del Reí, de Mallorca, de H.bernia , de Barcelona y de Nápoles. Por la parte de Zamora el general Maupetit, con su brigada de dra­ gones , encontró una coluna de 800 fugitivos, á quienes embistió, dispersó y mató, ó cogió casi todos. Los paisanos españoles de Galicia …</t>
  </si>
  <si>
    <t>Mauri, José</t>
  </si>
  <si>
    <t>José Mauri</t>
  </si>
  <si>
    <t>D. Simón Fernandez Gallardo, D. Manuel María de Echevarría, D. Nicolás García de los Reyes y D. Julián de Mena oficiales segundos ; y por archivero á D. José Mauri­ cio Hermosilla. Por decreto de 6 de setiembre ha nombrado D. José en el ministerio de negocios extrangeros á D. Antonio Porlier xefe de división ; á D. Joaquín On…</t>
  </si>
  <si>
    <t>Mauri, Josef</t>
  </si>
  <si>
    <t>Josef Mauri</t>
  </si>
  <si>
    <t>García de los tiene que hacer en su buque. Reyes y D. Julián de Mena oficiales se­ ,, Gstoi informado del ínteres que ha­ gundos ; y por archivero á D. Josef Mauri­ béis tomado por mí en todas ocasiones du­ cio Hermosilla. rante ei curso de la larga y penosa comi­ Por decreto de 6 de setiembre S. M. sión que he desempeñado en…</t>
  </si>
  <si>
    <t>Maximiliano</t>
  </si>
  <si>
    <t>Gaceta de Madrid n.º 100</t>
  </si>
  <si>
    <t>istido la víspe­ gocios extrangeros de Inglaterra ; y la Puer­ ra á la bendición de las banderas. El archi­ ta envió inmediatamente al dragomán B.bi- duque Maximiliano ha distribuido iO flo­ ca para cumplimentarle. rines á cada compañía ; á este príncipe se ,, La sultana Fatmé dio á luz pl 3 de debe la organización de esta mi…</t>
  </si>
  <si>
    <t>May</t>
  </si>
  <si>
    <t>asturianos. Sus, guardias avanzadas llegaban á ménos de 5 leguas de Lugo , y componían un cuerpo de hombres, fuera de los ya dichos , mandado por el General May. El Marqués habia formado una Junta en Monforte. Se decía que los franceses habían evacuado á Santiago. Norte las que se han recibido de la Coruña y el Ferrol. El 10 …</t>
  </si>
  <si>
    <t>Mayan, Temas</t>
  </si>
  <si>
    <t>Temas Mayan</t>
  </si>
  <si>
    <t>Sebastián de Torres , D. Antonio Ignacio Corta varría y D. Ignacio Martínez de Villela, D. Antonio López .Quinta*na , D. Miguel Alfonso Villagomez , D. Temas Mayan*, T&gt;. Fasq nal Quiles Talón , D. Luis Meletidea Bruna , X). Juan Miguel Berez TafaUa, y D. Ciríaco Goqzalez Carvajal: nombrando para Fiscales á D, Nicolás María de…</t>
  </si>
  <si>
    <t>Mayer</t>
  </si>
  <si>
    <t>I JOO tre general Mayer ha salido de aquí pa ra Intendente general de las Provincias rcsfrTotis, donde permanece aun el Emperador vadas. En seguida han présíídó jürártieñto de Austria. Se cree que este Monarca ven­ de fidelidad á S. M. I. y R. en presencia drá i pasar unos dias en est</t>
  </si>
  <si>
    <t>r el «donde va encargado de los negocios po­ teniente general conde de Marcow, se ha líticos y militares. apoderado de la importante plaza de Var­ El general Mayer ha partido para Tes- na , en las costas del mar Neg o , desde chen autorizado con plenos poderes, á lin donde se cree que' se dirigirá lucia Anjride arreglar con u…</t>
  </si>
  <si>
    <t>Mayor</t>
  </si>
  <si>
    <t>e despachaba de aquella ciudad para Santo-:Domingo.,, Habiendo acudido á S. M. y Señores de la Suprema Jun­ ta Central el Lie. D. Juan Manuel Lubet , Alcalde Mayor que fue de la Ciudad del Puerto dé Sta. María , solicitando la decisión de la consulta hecha por Ja Sala del Crimen de la Real Audiencia de Sevilla en órden á la c…</t>
  </si>
  <si>
    <t>209 msqueletes estuvo á la orilla del rio ea observación de los de Naváta. Fournás con 300 caballos y 400 mtqueletes de dicho tercio, al mando de su Sargento Mayor, preparó una embor­ nada en las altaras de S. Baudilio, haciendo avanzar guer­ rillas hasta las inmediaciones de Báscara para atraer á ella á los enemigos; pero po…</t>
  </si>
  <si>
    <t>Mayoral, Joaquín Carrillo</t>
  </si>
  <si>
    <t>Joaquín Carrillo Mayoral</t>
  </si>
  <si>
    <t>sallos, el conde del imperio, primer presi­ dente del tribunal de casación = Muraire .—Viellart, presidente, &amp;c. 8tc. ESPAÑA. Zamora 14 de enero. Nos D. Joaquín Carrillo Mayoral, por la gracia de Dios y de la santa sede apostólica obispo de Zamora, del consejo de S. ;M. &amp;c&gt; : •. . : , „ A todo nuestro clero secular y regular:…</t>
  </si>
  <si>
    <t>Maz, Josef</t>
  </si>
  <si>
    <t>Josef Maz</t>
  </si>
  <si>
    <t>de Ofarrííl , de D. Miguel Josef de Azanza , del Marqués Caba­ ñero , del Conde de Campo de*Atange , del Duque de Frías, del Conde dé Cabarrits , de D. Josef Maz arredo ^ de D. Ma­ riano Luis dé Urquijo , del Conde de M ontarco, de D. Fran­ cisco Xavier de Nígrete, dé los Marqueses de Casa-calvo, de Vendaya , de Casa Palacios…</t>
  </si>
  <si>
    <t>Mazo, Anselmo Bierna</t>
  </si>
  <si>
    <t>Anselmo Bierna Mazo</t>
  </si>
  <si>
    <t>gencia de la audiencia de Charcas, va­ cante per fallecimiento de D. Antonio Boeto, al Oidor de la mis­ ma, conde de S. Xavier, y para esta resulta á D. Anselmo Bierna Mazo, auditor de guerra del vireynato de Sta. Fé : para la re­ cia de Caracas, vacante por ascenso de D. Antonio López :uintáña á ministro del consejo supremo …</t>
  </si>
  <si>
    <t>Mcerner</t>
  </si>
  <si>
    <t>quienes está hoy subordinada aquellamonarquía, que no tiene por consecuencia de independiente mas que el nombre. Anadeo que habiendo sido enviado el conde Mcerner á No­ ruega con el fin de dar parte al príncipe Cristiano de la elección de ia Dieta sueca , este lia declarado que siendo general al servi­ cio de una potencia que…</t>
  </si>
  <si>
    <t>Mcional, Josef</t>
  </si>
  <si>
    <t>Josef Mcional</t>
  </si>
  <si>
    <t>edactor de la gazeta de Valencia pañía del primer batallón del regimiento de reputa por „incompatible con el decoro natiradores de la guardia real; á D. Josef Mcional el que una fuerza mui inferior á la Chacón capitán. de la compañía de mique- »que tienen los insurgentes en armas esté letes de Navarra; á D. Antonio Anguita w …</t>
  </si>
  <si>
    <t>MeD, Gaspar</t>
  </si>
  <si>
    <t>Gaspar MeD</t>
  </si>
  <si>
    <t>cuerpo, está nombrado teniente de fue del regimiento de infantería de Navar­ Id primer, conipuñu. ra , está nombrado teniente. En caballería de línea D. Gaspar MeD. Lorenzo de Cotarelo , teniente que volhon, capitán de caballería de línea , está fue del regimiento de infantería de Nápo- nombrado comandante de esquadron en la …</t>
  </si>
  <si>
    <t>Medina, Lorenzo Sanz de Sedaño y D Josef</t>
  </si>
  <si>
    <t>Lorenzo Sanz de Sedaño y D Josef Medina</t>
  </si>
  <si>
    <t>de Mollinedo, maestrescuela y canónigo; D. Lorenzo Calvo de la Cantera , canónigo ; y D. Manuel Pascual Luizoain, canónigo* Por el estado noble. -a. D. Lorenzo Sanz de Sedaño y D¿ Josef Medina. i :d : Pot el estado general.' * w ' r &lt;* D. Josef Pinedo, D. Gregorio Ponceiis¡y:D. Vicente deíBiava.; \ El canónigo D. Manuel Pascu…</t>
  </si>
  <si>
    <t>Medrano, José</t>
  </si>
  <si>
    <t>José Medrano</t>
  </si>
  <si>
    <t>primeros de la coluna , clavó él mismo las piezas de arti­ llería , subiendo para este efecto por el foso del rebellín el ca­ pitán del mismo cuerpo D. José Medrano,” Las señoras de Gerona que forman la compañia de Sta. Bár­ bara, se presentaron con la mayor serenidad y gallardía en la montaña con parihuelas, despreciando el …</t>
  </si>
  <si>
    <t>Meiendez, Salvador</t>
  </si>
  <si>
    <t>Salvador Meiendez</t>
  </si>
  <si>
    <t>57 capitati de- navio D. Salvador Meiendez: para la capitanía general del Rey no de Chile al brigadier del Real cuer­ po de Ingenieros D. Francisco- Garda Carrasco: y para el gobierno y capitanía general de las Islas Filipinas al br</t>
  </si>
  <si>
    <t>Melendez, Ambrosio</t>
  </si>
  <si>
    <t>Ambrosio Melendez</t>
  </si>
  <si>
    <t>s dado un Soberano-tan ilustrado y tan amante de sus pueblos. Lista de los individuos quetomponian la diputación. D. Agustín Ricote, regidor decano ; D. Ambrosio Melendez» regidor;</t>
  </si>
  <si>
    <t>Melgarejo</t>
  </si>
  <si>
    <t>alli los ingleses» se habia sublevado.' £1 dia 24 recibió el duque de Dalmacia dos parlamentarios, de los qua-* les el uso había sido enviado por el general Melgarejo, comandante de la escuadra española, y el otro por los comandantes de las fuerzas de tierra. Este último tuvo que atravesar por las montañas para llegar á nuest…</t>
  </si>
  <si>
    <t>Meló, Marcelo</t>
  </si>
  <si>
    <t>Marcelo Meló</t>
  </si>
  <si>
    <t>D. Pedro Revilla* D. Narciso Holgado; D. Juan Solís Martin ; D. Valentín Perrino ; D. Ignacio Burguillo; D. Sebastian Sánchez; D. Juan Manuel Bazan; D. Marcelo Meló. Del estado eclesiástico secular y regular asistieron D. Angel Josef de Huecas j cura de S. Martin; D. Pedro Villafañe, id. de Sta. María; Don Pablo Camino, id. d…</t>
  </si>
  <si>
    <t>Melón, Sebastian</t>
  </si>
  <si>
    <t>Sebastian Melón</t>
  </si>
  <si>
    <t>uel Francisco Arreqei, 1®. = D. Josef Manuel Arrechta , io¿&gt;. =5 D. Pedro# Martínez Delgado , 100. zz D. Josef Isasi , i®*=D. Josef Munilla , 500. zz D. Sebastian Melón , 500. = D. Loren­ zo Moreno, 4®. = D. Juan Josef B^rberena, 5* zz D. Dosningó Gómez de Segura , 200, = D. Manuel Garda Muro, íaoo. = D. Miguel Rebato , 25. z…</t>
  </si>
  <si>
    <t>Menard</t>
  </si>
  <si>
    <t>guiente: vuelve á París. ,,Ayer ha llegado aqui el correo 13asi— Mañana aguardamos la brigada del señor lico con las ratificaciones del tratado ajus­ general Menard, compuesta de quatro ba­ tado con la Turquía. Los frenceses tienen tallones de infantería, que entre todos com­ todavía mucho i dluxo en el divan, á quien ponen h…</t>
  </si>
  <si>
    <t>Mendea, Antonio</t>
  </si>
  <si>
    <t>Antonio Mendea</t>
  </si>
  <si>
    <t>as en defensa de I3 justa causa qaa sostiene , y prontos á executar sus órdenes con puntual obediencia y su­ misión. Los Capitulares qua firman son = D. Antonio Mendea: Prieto, rrr D. Francisco Josef de Urruda- zr El Marques de Uluapa. = D. Agustín de Villanueva Cácerés Ovaaáo.*==: Manuel Díaz de los Cobos Mdxica. zz. D. fuaa…</t>
  </si>
  <si>
    <t>Mendieta</t>
  </si>
  <si>
    <t>nia i su lado el Fiscal de lo civil, el qual abrió la sesión con un discurso capcioso. El primero que tomó la palabra para responderle fuá el honrado ministro Mendieta, hablando con tanto calor y energía, que dexó mudo al mismo Du­ hesme, y enternecidos á todos los concurrentes tan firme lealtad : pues no pudieron amedrentar …</t>
  </si>
  <si>
    <t>Mendiola, Manuel</t>
  </si>
  <si>
    <t>Manuel Mendiola</t>
  </si>
  <si>
    <t>00 rs., y al fiado 376200; y la 3.a sin nú­ ron desde Madrid por D. Blas de Torres Errazquin á mero , de la propia manzana, cuyo valor pagado al con­ D. Manuel Mendiola, residente en la villa de Deva, tado es de 110264 rs., y al fiado 165398. Quien qui­ provincia de Guipúzcoa, puestos á favor de Doña Ma­ siere hacer postura á…</t>
  </si>
  <si>
    <t>Mendis</t>
  </si>
  <si>
    <t>como un honor que les es de­ bido por el valor que manifestaron en la defensa de esta Isla el 22. de Febrero de 1805. El 26. del pasado se apoderó el capitán Mendis, co* mandante de la Aretusa del general Ernouf, barco; corsario de 16. cañones y 58. hombres de tripulación, al qué en­ contró al N. E. de Alderney. Le fué muy di…</t>
  </si>
  <si>
    <t>Mendiza, Antonio</t>
  </si>
  <si>
    <t>Antonio Mendiza</t>
  </si>
  <si>
    <t>n la gazeta núm. 63 , en el qual se marida de la catedral de Ceuta , para una canongía continuar dicho canal hasta Madrid Se ase­ de la dé Segovia: á D. Antonio Mendiza— gura que S. M. ha dado todas las disposi­ bal y Llórente, cura párroco de la villa de ciones convenientes para que la execucion Navarrete, para otra canongía…</t>
  </si>
  <si>
    <t>Mendizabal</t>
  </si>
  <si>
    <t>299</t>
  </si>
  <si>
    <t>s de obtener jningun empleo público,” NOTICIAS DE ESPAÑA. La Co ruña S de setiembre., Al pasar por Alcañizas en 30 del pasado marchando á Castilla el general Mendizabal , dirigió á su exército esta corta , pero enérgica proclama, “Soldados : vues­ tro valor es el de los españoles r vuestra constancia la del heroís­ mo ; pero …</t>
  </si>
  <si>
    <t>Mendoza, Josef Sánchez</t>
  </si>
  <si>
    <t>Josef Sánchez Mendoza</t>
  </si>
  <si>
    <t>se hallan vacantes en observarán en todos tiempos, y se distin­ su real sala de alcaldes de Casa y Corte á guirán entre todos los pueblos por su amor D. Josef Sánchez Mendoza, oidor de la á V. M., y por su ciega obediencia á sus chancillería de Valladolid : para la segunda reales determinaciones.’' á D. Antonio Cortés y Zabal…</t>
  </si>
  <si>
    <t>illería de Valladolid , para una Ataque del centro. Se ha continuado el plaza de oidor, vacante en ella por promo­ trabajo para baxar al rio. ción de D. Josef Sánchez Mendoza á al­ Ataque de la izquierda. Se ha ensan­ calde de Casa y Corte; y ha conferido Ja chado una porción de la segunda paralela. alcaldía del crimen , que …</t>
  </si>
  <si>
    <t>Meneses, Narciso</t>
  </si>
  <si>
    <t>Narciso Meneses</t>
  </si>
  <si>
    <t>triotas aragoneses ; entre ellos el Sr. D. Martin de Garay, D. Valentín Solanot, D. José Obispo, conde de Sastago, D. Ignacio López, D. Vicente Lisa, D. Narciso Meneses, D. Fe­ lipe Perena y D. Ramón Gayan.</t>
  </si>
  <si>
    <t>nuel de Echaverria.—D. Ramón Sierra.—D.Antonio Guillelmi.— Duque de Rivas.— Conde de Sástago.—D. José Obispo.—D. Ig­ nacio Lopez.-=-'D. Vicente Lisa.—D. Narciso Meneses.— D. Fe­ lipe Perena.— D. Martin Garay.— D. Valentín Solanot.— D. Ra­ món Gayan. — D. Gerónimo Castillon. — D. Antonio Laspuertas.— D. Narciso Laclara. — D. M…</t>
  </si>
  <si>
    <t>Meoqui, Jjian Fernando</t>
  </si>
  <si>
    <t>Jjian Fernando Meoqui</t>
  </si>
  <si>
    <t>80.000 Dst iUtstre arehicofradía del Santisimo Sacramenta de la. Ca­ tedral. 10.000 D. Manuel Antonio Basail. C. 4.000 D. Tpoiás Ibarrola. C. 20.000 D. Jjian Fernando Meoqui. C. 30.000 D. Manuel del Cerro. 20.000 El Capitán de Artillería D. Manuel Gil de la Torre. 4.000 D. Francisco de Santiago, Q. 12.000 la cofradía del Sant…</t>
  </si>
  <si>
    <t>Meor, Francisco</t>
  </si>
  <si>
    <t>Francisco Meor</t>
  </si>
  <si>
    <t>cia vuestra sagrada persona. Para colmo :de D. Rafael Sánchez, D. Julio Dufort Dannuestra dicha nos falta ver cumplido uu so­ tist, D. Pedro Felnai, D. Francisco Meor, lo deseo. Aunque tengamos el dulce con­ D.’Pedro Crosal, D. Alexandro Sanz; y á suelo de ser presididos por el excelente D: Miguel de Belgrano y González comip…</t>
  </si>
  <si>
    <t>Mercado, Juan</t>
  </si>
  <si>
    <t>Juan Mercado</t>
  </si>
  <si>
    <t>brero. D. Josef Quadrado , 10 rls. para un par de medias. D. Juan Rrenes, 30 rls. para dos mochilas. D. Josef Espejo , 10 rls- para un par de medías. D. Juan Mercado , 30 rls. para dos mochilas. D. Josef Riancho , 20 rls. para dos pares de medía?. Doña María Rodríguez , 70 rls. para quatro mochilas y ua par de medias. D. Salv…</t>
  </si>
  <si>
    <t>Mercedes, Vicente</t>
  </si>
  <si>
    <t>Vicente Mercedes</t>
  </si>
  <si>
    <t>y algunos subalternos , y entre los se­ gundos un coronel y varios oficiales. De los nuestros murieron en la acción los dos comandantes de caballería D. Vicente Mercedes v D. Antonio Sosa , un ayudante y 4 soldados , y tuvimos 45 he­ didos.__Habia ya comunicado el gobernador de Puerto-Rico á</t>
  </si>
  <si>
    <t>Meri, Gerónimo</t>
  </si>
  <si>
    <t>Gerónimo Meri</t>
  </si>
  <si>
    <t>listos to­ dos desde 16 á los 40 años Sevilla 25 de diciembre — Extracto de las acciones de la -partida que manda en Castilla la Vieja el prrsbítero D. Gerónimo Meri­ no , capitán de infantería, y cura de Filioaiado, según los partes que ha dirigido á S. AI. — En 2 de abril último apresó un correo fran­ cés, que remitió á dis…</t>
  </si>
  <si>
    <t>Meriin, Cristóbal</t>
  </si>
  <si>
    <t>Cristóbal Meriin</t>
  </si>
  <si>
    <t>abinete ingles no se había explicado general de nuestra guardia al general de di­ todavía sobre la suerte que destinaba á los visión y nuestro edecán D. Cristóbal Meriin. príncipes reinantes ahora; pero el corres­ art. il. Nuestro ministro de la Guer­ ponsal de Magdeburgo corta y raja sica ra queda encargado de la execucion d…</t>
  </si>
  <si>
    <t>Merino, Isidro</t>
  </si>
  <si>
    <t>Isidro Merino</t>
  </si>
  <si>
    <t>dor á rio de Estado Mariano Luis de Urquijo.” IX Mariano González de Sepúlveda ; por ayudante de grabador á D. Josef Macazaya; por primer discípulo á D. Isidro Merino; El día 2 del corriente pasó el REI ¿ por segundo á D. Josef Sepúlveda ; por ter­ visitar la real biblioteca: exXninó S. M. to­ cero á D. Tomas Cruz; por quarto…</t>
  </si>
  <si>
    <t>Merle</t>
  </si>
  <si>
    <t>e Pieros á una legua de Viilafranca, y se componía de 5© hombres de infantería y 600 caballos. Esta posición era mui ventajosa y difícil de ganar. El general Merle dió sus disposicio­ nes. Se adelantó la infantería, cargó sobre los ingleses, y los derrotó ente­ ramente. La aspereza del terreno no permitió maniobrar á la cabal…</t>
  </si>
  <si>
    <t>Las cantidades que esten sin pagar hasta el día de la ex­ pedición de este nuestro decreto de la contribución que impuso á la ciudad de Santander el general Merle: á la entrada de las tropas francesas en ella, quedan perdonadas. art&lt; 2.0 Nuestros ministros de lo Interior y de Hacienda quedan en­ cargados cada uno en la parte …</t>
  </si>
  <si>
    <t>Merlin</t>
  </si>
  <si>
    <t>­ solutamente absurdo , porque los ingles--no han tomado ei ca­ mino de A cántara. Tvdo esto es deplorable ; pero es de espe­ rar que la llegada, del General Merlin , y ai mismo tiempo una: poca de refl xion sobre la' locura de este movimiento T le. hará otra vez entrar en sus deberes, S. M. el Emperador se ha decidido á acer…</t>
  </si>
  <si>
    <t>Mermet</t>
  </si>
  <si>
    <t>plenos poderes para el efecto, y traxeron al mismo tiempo la carta adjunta. El 27 á las 7 de la mañana tomaron posesión de la ciudad la división del general Mermet y una brigada de dragones. La guarnición entregó al medio dia sus armas, que consistían en 5® fusiles. Los habitantes que no eran vecinos mistaban establecidos en …</t>
  </si>
  <si>
    <t>duque los intereses, á fin de conservar todas las de Dálmacia, y que habia asegurado que 5a potencias que existen, y de asegurar la fe­ división del general Mermet habia entrado licidad de la Europa y de la generación , á en Oporto, y que habia sido bien recibida cuya Frente nos ha colocado la Providen­ por ios habitantes. ci…</t>
  </si>
  <si>
    <t>Mesa, Carlos</t>
  </si>
  <si>
    <t>Carlos Mesa</t>
  </si>
  <si>
    <t>mé , por hacendados ; D. Francisco del Valle Roldan, D. An­ tonio Maregil, D. Manuel Alvaro Benito y D. Miguel de Lázaro, canóni­ gos de la catedral; D. Carlos Mesa, por la fábrica de paños; D. Diego Pir catoste, por rentas reales; D. Felipe Ledesma, por el comercio. Prelados de las religiones. Los de mercenarios, trinitarios…</t>
  </si>
  <si>
    <t>Metternich</t>
  </si>
  <si>
    <t>o­ dean á Leopoldstadt está cubierto con baterías y reductos. Id. 29. Hoy ha vuelto- de Aitenburgo el conde Champagny.. Se dice que mañana llegará ei conde Metternich, y que las ne­ gociaciones de paz se continuarán en esta ciudad. Aseguran que ya están vencidos los principales obstáculos. Uno de ellos era la Ocu­ pación de S…</t>
  </si>
  <si>
    <t>Meyer</t>
  </si>
  <si>
    <t>140</t>
  </si>
  <si>
    <t>ador en gefe del exército, y «n Abo con tanto entusiasmo como si la edecán de S. M. el conde de Gruwne. Finlandia hubiese pertenecido siempre á la El general Meyer ha salido para Bruna Rusia. en compañía del archiduque Fernando. En los dias 30 y 31 de enero han pasa­ A medida que van aumentándose los do por Dresde como unos 8…</t>
  </si>
  <si>
    <t>de qual ha recibido ahora poderes mas exten­ poca consideración para en caso de guerra. sos que nunca. Casi todos los regimientos tienen orden d« El general Meyer, que habia sido nom­ marchar á la Bohemia, á la Carintia y á la brado quartelmaestre general de uno de Carniola. los tres exercitos que están formándose, El general…</t>
  </si>
  <si>
    <t>y al conde Bubna. Id. 28. Hoy han llegado á esta ciudad el feld-mariscal prínci­ pe Juan de Lichtenstein , el teniente feld-mariscal conde Bubna, el barón Meyer, y el teniente coronel príncipe Wenceslao de Lichtenstein : todos ellos acompañados de una gran comitiva han venido diréctaménte del quartel general austriaco. Apenas…</t>
  </si>
  <si>
    <t>4.51 La» eáttas de Viena refieren que el conde "Ruina y él barón Meyer estuvieron el día 5 'en la revista ele la guardia imperial francesa. -Según cartas de Augsbnrgo , el duque de Bissano , los de Treviso y Rovigo , y otras diferentes personas están preparándo­ se para partir. Se supone generalmente que Napoleón partirá el 12</t>
  </si>
  <si>
    <t>Mi, Ferrand</t>
  </si>
  <si>
    <t>Ferrand Mi</t>
  </si>
  <si>
    <t>endente y Capitán General de Puerto-Rico D. Toribto Mon­ tes , dándole cuenta dé las ventajas conseguidas contra las tropas francesas mandadas por el general Ferrand* „-Mi venerado Señir. = SI comandante del bergmtia Federico, D- Martin Alaría Epine, ha brá enterado k V. S. de Ja p^dcipitacion. con que tuve que salir del puer…</t>
  </si>
  <si>
    <t>Mi, Josef</t>
  </si>
  <si>
    <t>Josef Mi</t>
  </si>
  <si>
    <t>mando del capitán D. Manuel-í Domínguez: A ía izquierda del puente sobre otra colina' puse otra batería de tres cañones de á 4 mandada por el cápitan D. Josef Mi­ randa , y en el recodo que forma la ria al mismo lado á ñor de agua otra batería de trés ¿ cañones , á cargo de los Capitanes” D. Felipe Luengo y D. Diego del Barco…</t>
  </si>
  <si>
    <t>Michelem, Luis</t>
  </si>
  <si>
    <t>Luis Michelem</t>
  </si>
  <si>
    <t>212 nel D. Luis Michelem , soguia el centro, y los batallones de Barbastro y Campo Mayor cubrían el todo. Las partidas de guerrilla de. mi división al cuidado de sus respectivos oficiales, adelantaban por la izquier</t>
  </si>
  <si>
    <t>Migue</t>
  </si>
  <si>
    <t>pitán del esquadron de Dragones* d&amp; América: íixo&gt; de; la misma plaza; y del esquadron de Dragones:, también de milicias disciplinadas de Goatemala á D. Migue! González; Colarter capitán de! mismo cuerpo, habiéndose dignado* igualmente conferir la sargentía mayor dé la plaza* de Lima* á D. Antonio Montero capitán de! regimien…</t>
  </si>
  <si>
    <t>Miguel</t>
  </si>
  <si>
    <t>osé Bazo y Berri, á D. Juan Ju­ rado, auditor que ftié cíela capitanía-general de Caracas-: para la plaza de oidor de Caracas, vacante por .muerte de D. Miguel .Aunóles, á.D. José Francisco Heredia, asesor de la intendencia ¿e Panzacola; parala plaza de oidor de México , . vacante por ascenso de D, Ciríaco González Carvajal á…</t>
  </si>
  <si>
    <t>miento núm. iinfantería de línea. Chamboran ( D. Moimes ), capitán del mis­ Escudero (D. Josef), subteniente del nú­ mo regimiento. mero 2.° Chelli (D. Miguel), gefe de batallón. Espert, coronel y mayordomo del Reí. Chevallier, gefe de batallón de la guardia Espinosa ( D. Manuel Sixto ), consejero de real. Estado. Choisseul (…</t>
  </si>
  <si>
    <t>a. — Chabert (D. Antonio) sargento primero del regimiento núm. i, brigada irlandesa. — Chamboran (D. Moimes) capitán del mismo regimiento. — Chelli ( D. Miguel ) xefe de •batallón. — Chevallier, xefe de batallón de la guardia real. — ■Choisseül (D. Augusto) comandante de esquadron. — Chuo (D. Domingo) fusilero del regimiento …</t>
  </si>
  <si>
    <t>(marques de la), intendente de Sa­ de Dios , la paz de las familias , la prospe­ lamanca. ridad de las naciones. la fuerza y la. estabi­ Hermosilla ( D. Miguel de) , mariscal de lidad de los imperios.” campo.</t>
  </si>
  <si>
    <t>o ¿ qualquiera corporación» en. cuya ra­ Sánchez de Cntanda» y atendiendo á las zón han debido prestar el juramento citado»: recomendables prendas de D. Miguel de presentarán con sos peticiones una certifica-- Santander» obispo de Amizooen, auxiliar cion de haberlo hecho. del arzobispo de Zaragoza» hemos decre­ aut. m. Los qn…</t>
  </si>
  <si>
    <t>Miguel, Bernardo</t>
  </si>
  <si>
    <t>Bernardo Miguel</t>
  </si>
  <si>
    <t>es qué han resultado heridos en ambas; el dé subtenientes de infaiftería á los sargentos primeros D. Juan Saair, del segundo regimiento de Saboya , y D. Bernardo Miguel del tercio de Tarragona ; y por último ha concedido S. M. un escudo de distinción y otro de ventaja al mes sobre sus respectivos haberes á todos los sargentos…</t>
  </si>
  <si>
    <t>Miguel, Francisco Fernandez de la Peña y San</t>
  </si>
  <si>
    <t>Francisco Fernandez de la Peña y San Miguel</t>
  </si>
  <si>
    <t>ados de la Real caxa de consolidación de vales reales en las provincias. Alicante. ...... . Señores C'assou y compañía. Badajoz...................... D. Francisco Fernandez de la Peña y San Miguel. Cádiz.......................... D. Benito de da Piedra. Cartagena. ...... . D. Cándido Montero- de la Concha. Ciudad-Rodrigo. . .…</t>
  </si>
  <si>
    <t>Miguel, Josef</t>
  </si>
  <si>
    <t>Josef Miguel</t>
  </si>
  <si>
    <t>de sazón 3oQ hombres disponibles para qual- instituto, acordó en la junta de 11 del pa­ quier punto, y sin embargo sir Juan Moore sado que por el Sr. D. Josef Miguel de no se puso en marcha hasta el 16 de octu­ Alea se. practicasen las diligencias oportu­ bre, es decir, mucho después de ajustado nas, á fin de que se publiquen…</t>
  </si>
  <si>
    <t>Miihaud</t>
  </si>
  <si>
    <t>bandidos en la misma guarnición de esta villa. Ha sido-.mui nu­ comarca. Antes de efectuar esta operación meroso el concurso de las gentes que han el general Miihaud había ya dispersado la ■acudido á ver desfilar.las tropas, cuya ga­ junta insurreccional de Molina de Aragón, llardía, aseo y agilidad admiran cada ve* en donde …</t>
  </si>
  <si>
    <t>MiiJler, Cátios</t>
  </si>
  <si>
    <t>Cátios MiiJler</t>
  </si>
  <si>
    <t>fensa de otro3 , me circunscribo con sujeción á lo prevenido en la Ordenanza, á presen­ tar a S. M. como dignos de premio, al subteniente de Wimpffen D. Cátios MiiJler, que quando no muera de su grave herida , quedará estropeado é imposibilitado de continuar su gloriosa carrera ; al capitán D. Félix Molo, teniente del regimie…</t>
  </si>
  <si>
    <t>Miiller, Orlos</t>
  </si>
  <si>
    <t>Orlos Miiller</t>
  </si>
  <si>
    <t>” „ Nuestra pérdida en este día en todos los puntos, ha sido de 2o muertos, 61 heridos, entre estos el subtenien­ te del regimiento suizo de Vimpffen D. Orlos Miiller gravemente, 2 prisioneros y 18 extraviados. La del ene­ migo presenta haber sido roncho mayor, y muy conside­ rable en razón de los cadáveres encontrados.” ,, D…</t>
  </si>
  <si>
    <t>Mil</t>
  </si>
  <si>
    <t>alayera al exér­ cito ánglo- insurgente hasta la llegada del Toledo jo de agosto. mariscal duque de Dalmaria á Flasencia. La división de dragones del general Mil- ,,He hablado mucho sobre este asunto haud había tenido órden de pasar'él Tajo teon un oficial de la división alemana , -que en la distancia que media entre esta ciu…</t>
  </si>
  <si>
    <t>hai dia en qne el estado mayor no campiñas , ha sido por fortuna alcanzada reciba algún parte de haber sido destruida por la caballería que manda el general Mil- alguna de semejantes quadrillas. ¡ Quando haud , entre Hítete y Cuenca. Ciento y acabarán de comprehender los españoles qne treinta de aquellos bandidos han quedado …</t>
  </si>
  <si>
    <t>Miláns</t>
  </si>
  <si>
    <t>as del coronel D. Franci. co de Córdoba, hácia el puntó de S. Pe­ dro de Cercada y Clarails,, donde encontré los tercios de miqueletes al man­ do del coronel Miláns, y temer.ua coronel Claros. Había yo dado antes las *</t>
  </si>
  <si>
    <t>Miláns, D Francisco</t>
  </si>
  <si>
    <t>D Francisco Miláns</t>
  </si>
  <si>
    <t>rado. Dios guarde á V. E. mu­ chos arios. Hostalrieh 10 de julio de i =: Pcd,o (¿u.idrado, Excmo. Sr. Marques de Coupigny, PARTE SEXTO. Excmo. Sr. El coronel D Francisco Miláns, con fecha del 8 de! cor­ ríe rite , m. din lo que literalmente copio a V. E. " Ea eoiiscquencia de la orden de V. S. pase á atacar loe enemigos en la…</t>
  </si>
  <si>
    <t>Milans, Ramón</t>
  </si>
  <si>
    <t>Ramón Milans</t>
  </si>
  <si>
    <t>insurrección se da la mano con la de Jaca y sus vecindades. Id. 19. En el lugar de Calasanz cerca de Peralta de la Sal, las guerrillas de la tropa de D. Ramón Milans y loó hombres de Perena que se 1tallaban en Balaguer, cogieron anteayer á los ene­ migos. 23 cabezas^de ganado, que se llevó á Balaguer. Nuestra gente sostuvo nu…</t>
  </si>
  <si>
    <t>Milford</t>
  </si>
  <si>
    <t>. Algunos lo'creyeron á pesar de haberles yo dado mi palabra de oficial ingles que no se verificaría tan magni­ fico proyecto.” “£,1-1.2 dexé aquí al capitán Milford , confiando en él que no permitiría tjiiér pasase el enemigo, y me dirigí á Ponza á pédirTe cañoneras al príncipe de Canosa : no solamente consintió en ello este…</t>
  </si>
  <si>
    <t>Milhaud</t>
  </si>
  <si>
    <t>entos era envolver a Blake, y cortarle la retirada, Jo que, según sabemos de España por la Coiuíía, no con­ siguieron. La c^ivision de caballería del general Milhaud, entró en Palencia, y envió un destacamento á los desfila­ deros de Reynosa, para cortar el parque de artillería, lo que tampoco lograron , pues se consígalo lle…</t>
  </si>
  <si>
    <t>Milla, Santiago</t>
  </si>
  <si>
    <t>Santiago Milla</t>
  </si>
  <si>
    <t>de idem,100.= D. Manuel de Olavenri, Vista de»idem , 25. = D. Félix Castríllo , Oficial 2. 0 de idem , *25. = D. Bartolomé Rigo , Guarda-mayor, 25 = D. Santiago Milla , 16. = Do­ ña Ana Francisca ftequena , 100. zz D. Julián Yeia, 500.= D. Toribio Carvajal , 25. = D. Alexandro Ramírez , 10o,^= Por ei dos por ciento que se ba …</t>
  </si>
  <si>
    <t>Millan, Fernando San</t>
  </si>
  <si>
    <t>Fernando San Millan</t>
  </si>
  <si>
    <t>egimiento de iaé nombrado subteniente de la primera com­ famería de línea núm. 2.° pañía del segundo batallón. D. Luis Delacombiere , teniente de in­ D. Fernando San Millan, teniente gra— ' fantería de linea , está sombrado capitán duado de capitán que fue del/égimicnto d* «o sn proptáarma.</t>
  </si>
  <si>
    <t>Miloradowir</t>
  </si>
  <si>
    <t>tida el mayor general Sr.wizkji Puerta^ y comenzaron las operac iones mi­ ha sido muerto por una bala de cañón.” litares en el mismo dia. El teniente general Miloradowir^ch pro­ Los primeros movimientos se dirigieron mete al fin de este parte enviar los porme­ contra Siobodsej.ib , punto de ivmc.ii im­ nores circunstanciados …</t>
  </si>
  <si>
    <t>Miloradowitch</t>
  </si>
  <si>
    <t>1507</t>
  </si>
  <si>
    <t>itadas en las arquillas de las iglesias des­ Bagration , este exército prosigue sus triun­ tinadas para el socarro de los pobre^. En fos. El teniente general Miloradowitch , que Kola, en Rusia, han echado á pique dos manda el centro del exército , encontró el barcos mercantes cargados de sal y de ha­ dia 15 cerca de Rasievat …</t>
  </si>
  <si>
    <t>o universal se ha han de componer nuestra guarnición. Los aumentado todavía mis con la llegada dd habitantes han contribuido voluntariamente teniente general Miloradowitch , que tie­ con las sumas necesarias para estos gastos. ne el mando general de las dos Vala- Se han levantado arcos triuníales en honor quias. del exército …</t>
  </si>
  <si>
    <t>Milorsdo</t>
  </si>
  <si>
    <t>n bombardeo terrible. Hicimos allí prisio­ „En la orilla izquierda del Danubio el neros 28 oficiales, y 3100 soldados; cogi­ cuerpo á las órdenes del general Milorsdo- mos ademas una bandera de baxá, 13 ca­ ■witsch tuvo el 15 de agosto una acción ñones, 528 fusiles, 622 pares de pistolas, brillante cerca de la fortaleza de Gi…</t>
  </si>
  <si>
    <t>Mina, Xavier</t>
  </si>
  <si>
    <t>Xavier Mina</t>
  </si>
  <si>
    <t>prisioneros que subían de Aragón, y cogido en la misma acción k toda la es­ colta. francesa, quemando los furgones y coches. Añaden que la partida de D. Xavier Mina (ó del estudiante) quitó á los france­ ses mucha plata de la que habían robado de las iglesias, y mató 60 en las inmediaciones de Sangüesa.— Los franceses que. en…</t>
  </si>
  <si>
    <t>Mingen</t>
  </si>
  <si>
    <t>tendente cayeron en manos de los huíanos, que con él los conduxéron i Egra. El 14 llegó á Bamberg otro cuerpo de tropas austríacas', man­ dado por el Barón Mingen, y sin demora ha continuado su marcha. Magdebufgo 17 de junio. Las tropas saxonas que sé 'hallaban en Willenburgo se han re­ fugiado á esta ciudad, á dónde se han t…</t>
  </si>
  <si>
    <t>Mintegui, Josef</t>
  </si>
  <si>
    <t>Josef Mintegui</t>
  </si>
  <si>
    <t>lacios y D. Francisco Alonso y Moral, comercio. D. Antonio Roldan; D. Lorenzo Piñuela; D. Juan Ignacio Perez,y D. Vicente Hernández Pé­ rez, cabildo. D. Josef Mintegui; D. Juan Justo García; D. Josef Espailiar y í). Tomas González , universidad. Diputación de Benavente. D. Josef Fernandez Solis; D. Guillermo Gpmez Maestro; D.…</t>
  </si>
  <si>
    <t>Minuci</t>
  </si>
  <si>
    <t>os rebeldes del Tirol. 2.a Obligar á todos los agentes ingleses Eldia it por la mañana hizo que el ma­ que residen en el país á que presenten una yor general Minuci atacase los desfiladeros cuenta exácra y conforme á la verdad del de Lofer y de Strubpass. Los bivaros, á importe total de las propiedades que po­ pesar de todos …</t>
  </si>
  <si>
    <t>Mío</t>
  </si>
  <si>
    <t>Gaceta de Madrid n.º 235</t>
  </si>
  <si>
    <t>»Vuestra debilidad natural os hacia fá­ «Roma 10 de junio de 1809. = Firma— cil presa de las conquistas de todo$,los guer­ do=sSalicetti, Janet. = El conde Mío1reros que querían pasar al otro lado de los llís , gobernador general, presidente. — Alpes; pero unidos á la Francia, su fuerza Por la consulta , C. Desalbs." es tambi…</t>
  </si>
  <si>
    <t>Miollis</t>
  </si>
  <si>
    <t>a. El destacamento de milicias urbanas de Spoleto intonto defender la ciudad , pero tuvo que encerrar­ se en el castillo , donde recibió socorros. El comandante Miollis se disponía á envolverlos; nías ellos no teniendo fuerzas suficien­ tes para resistir, se marcharon después He haber quemado un ma­ lino de pólvora.—Aquí tene…</t>
  </si>
  <si>
    <t>yer con graade magni­ estaban ya los franceses en el Tomelloso y ficencia por tan pl-usible nueva. S. E. el Lugar Nuevo , fui de dtetámen de regresar conde Miollis , gobernador general, dio una á la Roda , y no exponernos con quatro pa­ magnífica función y un baile, al que con­ res de muías, galera y berlina, en que iban curr…</t>
  </si>
  <si>
    <t>Mir, Isidoro</t>
  </si>
  <si>
    <t>Isidoro Mir</t>
  </si>
  <si>
    <t>394 SEVILLA. D. Isidoro Mir , comisionado en asuntos del servicio ett la Mancha, y Ce mandan te de la partida de descubierta dé Cazadores de yífrica 9 ha dado paite de que , hadándose el día 0 del corriente mes en la V</t>
  </si>
  <si>
    <t>ados prisioneros ; y sin embargo de que di­ chas partidas solo constaban de 120 hombres al mando de D=. Ven­ tura Ximenez , y 100 de infantería al de D. Isidoro Mir, y ha­ berse haliado con algo mas de 24-0- enemigos en ia hermita, y co­ mo unos 500 en ia población , mandó el B. Ventura avanzase i-a caballería para cercar la …</t>
  </si>
  <si>
    <t>Miranda, Pablo</t>
  </si>
  <si>
    <t>Pablo Miranda</t>
  </si>
  <si>
    <t>ente de la ciudad para atachr los puntos ocupados por el enemigo en S. Daniel y ruinas de la torre de S.- Juan. — El te­ niente corone] de artillería D. Pablo Miranda que marchaba en­ tre los primeros de la coluna , clavó él mismo las piezas de arti­ llería , subiendo para este efecto por el foso del rebellín el ca­ pitán del…</t>
  </si>
  <si>
    <t>Miro, Gerónimo</t>
  </si>
  <si>
    <t>Gerónimo Miro</t>
  </si>
  <si>
    <t>Indias. guerra.de primera clase á D. Bernardo GaHemos decretado y decretamos lo si­ lamayór y D. Josef Muntaner, y d« se­ guiente : , . gunda clase á D. Gerónimo Miro , D. Jo­ articulo 1. Andrés Alfonso Cho­ sef Pazos, D. Antonio Bodoi, D. Josef ya , D. Martín de V ¡líala*» D. Manuel Síl­ Barrera y D. Joaquin Frias. EN LA IMP…</t>
  </si>
  <si>
    <t>Salvador, para sargento mayor de caballería de línea;'de D. Bernando Casamayor y •D. José Muntaner, para comisarios de guerra de primera cla«e; y de D. Gerónimo Miro, D. José Pazos, D. Antonio Bodoy, D. José Barrera y D. Joaquín Frías, para comisarios de guerra de segunda clase. En la del iy se concede á D. Juan Basil una pla…</t>
  </si>
  <si>
    <t>Mirza, Abbas</t>
  </si>
  <si>
    <t>Abbas Mirza</t>
  </si>
  <si>
    <t>l trono, del reyno de Zebreez. Al mismo tiempo se dirigió Mahogned Houssain Khan hacia Treffleez persiguiendo á los rusos. Quando llegó la.noticia al príncipe Abbas Mirza, in­ mediatamente. dió al rey un. detalle de las circunstancias de' la. victoria ; y poniéndose: en. persona al frente de un poderoso ejér­ cito, se dirigió…</t>
  </si>
  <si>
    <t>Mmnel</t>
  </si>
  <si>
    <t>infantería de línea nútn. 2.' Francia y el Austria. Almenara (marques ) , consejero de Estala, Alonso ( D. Csnon) , ídem. ' IMPERIO FRANCES. Alonso ( D. Mmnel), oficial i.° del mili!—. terio de Negocios ex*rangeros. JFontaineblean 10 de octubre. Amorós ( D. Francisco) , consejero de Í!--» Están concluidos todos los preparativ…</t>
  </si>
  <si>
    <t>Mo, Pablo</t>
  </si>
  <si>
    <t>Pablo Mo</t>
  </si>
  <si>
    <t>Gobernador de ía plaza y fuertes de Vigo al Sr. D. Pablo Mo­ rillo , Coronel de Voluntarios Españoles. Señor Coronel : En contestación á la de Vd. con f¿cha de hoy, Je digo que estoy tratando con el General Co­ mandante del bloqueoy que el Consejo de guerra</t>
  </si>
  <si>
    <t>Moacey</t>
  </si>
  <si>
    <t>pues se ha estado á pique de romper el fue­ go , creyendo ser un reconocimiento mas que un parla­ mento.” ,, Tengo el honor de contestar á V. E. Sr. Mariscal Moacey con toda stencion en el único ienguage qne conozco, y asegurarle mis sagrados deberes. Qua^tíl general de Zarago­ za 22 de diciembre de 1S08. =s 22/ General Palaf…</t>
  </si>
  <si>
    <t>Mocíño, Josef</t>
  </si>
  <si>
    <t>Josef Mocíño</t>
  </si>
  <si>
    <t>Don Los dueños de cédulas de la tesorería Martin de Sessé , se entregarán y deposita­ de consolidación que, conforme á lo preve­ rán por el botánico D. Josef Mocíño en ia nido* ea.el anuncio inserto en la gazeta de casa oticina donde trabajan los botánicos 9 del corriente, las hayan presentado para de la expedición del Perú y…</t>
  </si>
  <si>
    <t>Mogrovejo, Manuel Diez</t>
  </si>
  <si>
    <t>Manuel Diez Mogrovejo</t>
  </si>
  <si>
    <t>esorero ba ias pensiones correspondientes á los ex­ de esta misma iglesia con retención de su regulares albergados en ella, satisfaga los canongía: á D. Manuel Diez Mogrovejo, gastos precisos de su asistencia , y dé cuen­ medio-racionero de ella, para una canon— tas mensuales, visadas por el rector, al in­ gía en ia propia ca…</t>
  </si>
  <si>
    <t>Mohr</t>
  </si>
  <si>
    <t>, sin perjuicio del descuento de la par­ que su vanguardia persigue hacia Loviecz á te de la anualidad , y del que deban sufrir toda la división del general Mohr. El gene— por razón de sus faltas, según la práctica neral Kosinski se ha dirigido también hacia de las iglesias; quedando abolida desde aquel punto. El general Domb…</t>
  </si>
  <si>
    <t>Moiano, Pedro</t>
  </si>
  <si>
    <t>Pedro Moiano</t>
  </si>
  <si>
    <t>ortaron con el mayor valor y espíritu., y en particular los comandantes de las guerrillas 1). Sebastian Kamirez,, D. Benito Losada, D. Jacinto Caspe, D. Pedro Moiano, D. J.osef Siraon, Zurita , y D. Josef Matcu ; no pudiéndome olvidar del desempeño de D. Ho­ norato Flcircs, capitán del real cuerpo de Ingenieros, y Quanel-maes…</t>
  </si>
  <si>
    <t>Moimes</t>
  </si>
  <si>
    <t>o ), sargento t.° del re­ Escolari (D. Pedro), cabo i.° del regi­ gimiento núm. r.°, brig.da irlandesa. miento núm. iinfantería de línea. Chamboran ( D. Moimes ), capitán del mis­ Escudero (D. Josef), subteniente del nú­ mo regimiento. mero 2.° Chelli (D. Miguel), gefe de batallón. Espert, coronel y mayordomo del Reí. Chevall…</t>
  </si>
  <si>
    <t>del regimiento real extrangero, in­ fantería de línea. — Chabert (D. Antonio) sargento primero del regimiento núm. i, brigada irlandesa. — Chamboran (D. Moimes) capitán del mismo regimiento. — Chelli ( D. Miguel ) xefe de •batallón. — Chevallier, xefe de batallón de la guardia real. — ■Choisseül (D. Augusto) comandante de esq…</t>
  </si>
  <si>
    <t>Moles, José</t>
  </si>
  <si>
    <t>José Moles</t>
  </si>
  <si>
    <t>y t 7 de setiembre4 Sabedor este capitán cíe los excesos que los enemigos cometían en Rodas Viejas , comisio­ nó para defender, este punto aPaiférez. D. José Moles, y el mis­ mo Sánchez con 50 hombres persiguió k 60 enemigos , de los que fueron pasados acuchillo 54 , con la sola pérdida .de un lan­ cero y un caballo heridos. …</t>
  </si>
  <si>
    <t>Molina, Antonio</t>
  </si>
  <si>
    <t>Antonio Molina</t>
  </si>
  <si>
    <t>uan Ruiz , 10 rls. para un par de medias., D. Francisco Domínguez , 10 rls. para un par de medias* D. Juan de Vargas, 14 rls. para un par de botines. D. Antonio Molina , y IX Juan Carrera, 20 rs. para dos pa* res- de media?. D. F/a ncisco Miranda , 15 rls. para una mochila. D. Francisco Ramírez, 60 rls. para quatro mochilas. …</t>
  </si>
  <si>
    <t>Molina, Feliciano</t>
  </si>
  <si>
    <t>Feliciano Molina</t>
  </si>
  <si>
    <t>e Galerno del R?yno, ss ha servido nombrar para la Dignidad de tesorero de ia Cuedraf. de Mdaga, vacaete por fallecimiento de D. Joaquín de Molina, i D. Feliciano Molina, canónigo da ia misma Sra. iglesia; para la canongía que este dexa, á D. Manuel E izalde, capellán Real de Granada ^ y para la capellanía Real qué resulta va…</t>
  </si>
  <si>
    <t>Molina, Joaa</t>
  </si>
  <si>
    <t>Joaa Molina</t>
  </si>
  <si>
    <t>l mérito d$ los dignos defensores de la Patria ^ se ha dignado conceder al espitan D,, Miguel Rosa­ les ei grado de teniente coronel ; y al czrabmeío D. Joaa Molina grado y sueldo de alférez de caballería, coa el uso del és«:uio de diitiudon. aMsnx£KS¡K3IBlU *&gt;'T&gt; A T iPRENTA DE LA GAZETA.</t>
  </si>
  <si>
    <t>Molina, Salvador</t>
  </si>
  <si>
    <t>Salvador Molina</t>
  </si>
  <si>
    <t>ubteniente del se­ gundo de Cataluña D. Pedro Prast ; el capitán del de Victoria D. Rafael Mora ; el ayudante general sargen­ to .mayor del de Aragón D. Salvador Molina ; el sub­ teniente de Castropol D. Vicente Martínez, y él coro­ nel del de Lena D. fiuan JDringood : los 3 primeros. y él contuso D. Manuel Puga , subteniente…</t>
  </si>
  <si>
    <t>Moliner, Juan</t>
  </si>
  <si>
    <t>Juan Moliner</t>
  </si>
  <si>
    <t>lares de esta villa al S. Marcos, anexo asimismo de dicha par­ presbítero D. Cirios Jaubert; y para ecó­ roquia. ______ ______ nomo de U misma casa i D. Juan Moliner, capellán del real convento de la Encarnación. Reflexiones sobre el real decreto de 18 Nuestro ministro de Negocios eclesiás­ de agosto acerca de la cesación de …</t>
  </si>
  <si>
    <t>Molitor</t>
  </si>
  <si>
    <t>concurrencia pública en: los salones de palacio. ; '• ' *• .í,; ‘ En los dias 14 de este mes y siguientes ha pasado por Strasburgo la di­ visión del general Molitor. Hoi ha principiado el curso de la escuela especial de lenguas orientales vivas establecida en la biblioteca imperial. Se aguardan en Nanci dentro de pocos días 2…</t>
  </si>
  <si>
    <t>brán sula quando se restituyó á Parchan ade­ puesto en marcha el 12 de este mes á las lantado en ella sus conquistas, alcanza­ órdenes del respetable general Molitor, que do nuevos triunfos, y victoria* r y tal ves ha sido ya comandante civil y militar de la se habrían y al apoderado Á ebtR.:fuerza de Dalmacía á principio* de…</t>
  </si>
  <si>
    <t>Molla, Mariano</t>
  </si>
  <si>
    <t>Mariano Molla</t>
  </si>
  <si>
    <t>ras le­ nuel Solis, B. Pedro Romeral , D. Josef tras del mismo colegio D. Antonio Ortega, Ortega Manceñido, D..Francisco de Cas­ D. Santiago Aívarez, D. Mariano Molla, tro, D. Antonio Torremocha y D. Ale— D. Julián Roxo, D. Francisco Lorrio y xandro Casanova. D. Manuel Josef García , y pasantes de los art. iv. Nuestro ministr…</t>
  </si>
  <si>
    <t>Molo, Fulgencio</t>
  </si>
  <si>
    <t>Fulgencio Molo</t>
  </si>
  <si>
    <t>ccmponia del tercer batallón del mismo cuerpo, á. las órdenes de su comandante D. Paulino deUnceta, y del regimiento de Wimpffen, á las del ca­ pitán D. Fulgencio Molo sobre el camino real, y en el centro de estas des-colunas se situó el batallón de Tarragona, á las órdenes de su sargento mayor D. José de Moragrega para obser…</t>
  </si>
  <si>
    <t>Molo, Pedro</t>
  </si>
  <si>
    <t>Pedro Molo</t>
  </si>
  <si>
    <t>allón del segundo regimiento de Saboya á las órdenes de su teniente coronel D. José Alvarez -, del regimiento suizo de YVimpffen, á las del capi­ tán D. Pedro Molo , y del tercer tercio de Tarragona á las de su sar­ gento mayor D. José Moragrega , hubiera atacado al enemigo al amanecer en su posición de Bruñólas , si los guia…</t>
  </si>
  <si>
    <t>Mommaxi</t>
  </si>
  <si>
    <t>Jta comenzado va a expedición contra ios con 300 tiradores de las montañas. Toda tiroleses. El general Deroi,-con una divi­ esu divisiou la manda el general Mommaxi.</t>
  </si>
  <si>
    <t>Moncey</t>
  </si>
  <si>
    <t>propongo que nombren Comisarios para tratar con los qué yo nombraré á este efecto." ,, Quedo de vmds. con Ja mayor consideración. =r Seño^ res. ='E1 Mariscal Moncey.=== Quartei generai de Torrero 22 de diciembre de i8oo" Respuesta del General en nuestro idioma. ‘El General en Xefe -del esdícito de reserva responde de la plaza…</t>
  </si>
  <si>
    <t>Mondet</t>
  </si>
  <si>
    <t>892 oes del general Mondet, á qnien persigue jioj^jR-uego á V. A-. qne eomuniquei, ¡gnalel general Dombrowskfí *&gt;a evacuado el 10 menfe á su trópáesta providencia.” de este mes la ciudad fronteriza de Novemiastt&gt;.' A</t>
  </si>
  <si>
    <t>Mondragon, Francisco</t>
  </si>
  <si>
    <t>Francisco Mondragon</t>
  </si>
  <si>
    <t>lo Pasqual.— D. Juan Ramón Perez. -- D. Xa­ vier Castillo.--Monjas de Sigena. — D. Ambrosio Nasarre.— Mar­ ques de las Amarillas.— Marques de Lezo. — D. Francisco Mondragon. — D. Francisco Vázquez. — D. Manuel Pardo. — D. José Perez Valiente. — D. Gregorio Tocanecorro. — Baronesa de Togia. — Marquesa de Villanueva. — D. Juan …</t>
  </si>
  <si>
    <t>Monet</t>
  </si>
  <si>
    <t>e la, resistencia mas obstinada, fu' preciso evacuar este fuer­ te .” El 31 , añade , “ desembarcaron los ingleses su cuerpo principal en Buezand. El general Monet, después de haber intentado oponerse al desembarco por medio de su artillería de á¡ caballo, tuvo que reple­ garse h&amp;cid el camino de Middleburgo á Flesinga. ... E…</t>
  </si>
  <si>
    <t>Monforte, Tomas Sostoa</t>
  </si>
  <si>
    <t>Tomas Sostoa Monforte</t>
  </si>
  <si>
    <t>Barceia, y extraviado el cadete D. Pedro Alvarez 3 Escolares de León, contuso el comandante D. Fernando. Capacete 3 Vitoria, herido el subte­ niente D. Tomas Sostoa 3 Monforte , heridos el capitán segundo D. Ma­ nuel Coton, el subteniente D. Manuel de Puga y el cadete D. Benito Ca­ pas ; Morrazo, coatusos el sargento mayor D.…</t>
  </si>
  <si>
    <t>Monguiot, Josef</t>
  </si>
  <si>
    <t>Josef Monguiot</t>
  </si>
  <si>
    <t>e, que la oficialidad y tropa se ha portado con la mayor bizarría , particularizando la sin­ gular conducta, de lps cadetes del batallón de Tarragona D. Josef Monguiot, D. Juan Guaze , D. Ignacio Urtet, D. Ráymundo Cortes , D. Juan Ixar , D. Carlos Salas, y D. Diego Rivagorda , que habiendo salido de guerrilla, escar­ mentaro…</t>
  </si>
  <si>
    <t>Moñino, Josef</t>
  </si>
  <si>
    <t>Josef Moñino</t>
  </si>
  <si>
    <t>nal; quando el Angel de la muerte plugo turbar su tranquilidad, y al despertar el Viernes 30* de Diciembre le arrebató para siempre al Serenísimo Sr. D. Josef Moñino, conde de Floridablanca, y presi­ dente del mas. sagrado congreso, que organizó la nación para su gobierno y defensa, en los dias de su horfandad. Al punto los g…</t>
  </si>
  <si>
    <t>Monnet</t>
  </si>
  <si>
    <t>e cerciorarse de la verdad del’armisti- Inos recibido por Flesinga, Biervliet, Sascio, y se les concedió ic que pedían. EL se­ van-Gand y Ambires, el general Monnet, ñor duque de Dantzick, que hábia llegado comandante de las tropas francesas en VValaquí el dia 23, mandó suspender el ataque chereo, se defiende valerosamente. L…</t>
  </si>
  <si>
    <t>amente el fuego del enemigo. Se le intimó la rendición , y ha­ biéndose pasado sin recibir respuesta alguna mucho mas de una hora que se concedió al. gobernador Monnet para consultar un consejo de guerra, comenzaron de nuevo y continuaron las hos­ tilidades con el mayor vigor hasta las 2 ele la mañana , á cuyo tiempo pidió el…</t>
  </si>
  <si>
    <t>430</t>
  </si>
  <si>
    <t>rey ha remitido la carta siguiente al conde do ílunebourgo , ministro de la guerra. ( Este es Mr.Char­ te'). “ El gobernador déla pieza áe Elesinga, general Monnet, no ha cumplido las órdenes que Nos !e habíamos dado de cortar 4o$ diques , é inundar la isla de VValcheren , luego que hubie^ se desembarcado en ella una fuerza s…</t>
  </si>
  <si>
    <t>Montaos, Manuel González</t>
  </si>
  <si>
    <t>Manuel González Montaos</t>
  </si>
  <si>
    <t>de Cíavijo.— La muger de D. Andrés Elasti. — Francisco Talayera — D. Juan Pedro Delgado y sus dos hi­ jos. — D. Rafael Delgado. — D. Vicente Delgado. D. Manuel González Montaos. — D. Vicente Perez Cañizares. — El conde de Torre Muzqui^. -- D. Lope Peñaranda. — D. Tadeo Galisteo. — La condesa de S.Román, viuda, con sus hijos. …</t>
  </si>
  <si>
    <t>Montbrun</t>
  </si>
  <si>
    <t>e éstremeño, que mandaba en una de ias ^puer­ tas, de pedir que entrase eL.mismo/duque d^Istpa con los ojos vendados: á tanta audacia correspondió el general Montbrun con indignación, exponién­ dose á ser víctima de su imprudencia, que le hizo olvidar no trataba ya con enemigos «cultos, pues fue cercado de .gen,tes, y. solo e…</t>
  </si>
  <si>
    <t>Auerstaedt lo pasó y penetró en la ciudad. Arrojado y de Dantzick, y la divióon de caballería de su posición el enemigo, fue atacado en­ 'ligera del general Montbrun. Vióse enton­ tonces por el duque de Rívoli, que venia ces uno de ios espectáculos mas hermosas por la orilla derecha. Landshut cayó en que puede haber presentad…</t>
  </si>
  <si>
    <t>to, y llegó á Guns; y el general Lauriston se REINO DE ÑAPOLES. unió á su izquierda con el cuerpo de obser­ vación. ' Ñapóles 3 de junio. El dia S el general Montbrun, con su En cumplimiento de una orden de división de caballería ligera, forzó el paso S. M. el Emperador de los franceses se han del Raabnitc, cerca de Sovenihag…</t>
  </si>
  <si>
    <t>ía. conservaría esta hermosa posición. El día El virei colocó su exército de este mo­ 15 ha sido perseguido vivamente hacia el do: la caballería .óel-general Montbrun, la camino de Comorn y de Pe;t. brigada del general Colbert y la caballería Los habitantes del p.tis están tranquilos, del general Grouchi sobre su derecha: el …</t>
  </si>
  <si>
    <t>o del ene­ n La división del general de Albignze y migo , y que una coluna movible,' á las ór­ los saxones iban desdé las dos de la mafiana denes del general Montbrun , ha recorrido siguiendo el alcance al enemigo que •« re­ la isla* de Petit-Schutt hasta frente por fren­ tira por Grimma. te de Raab. En fin, el estado mayor d…</t>
  </si>
  <si>
    <t>Montenegro, Salvador</t>
  </si>
  <si>
    <t>Salvador Montenegro</t>
  </si>
  <si>
    <t>rls. para dos mochilas. D. Josef Riancho , 20 rls. para dos pares de medía?. Doña María Rodríguez , 70 rls. para quatro mochilas y ua par de medias. D. Salvador Montenegro r 40 rls- para dos mochilas y un par de medias. Defía María Cándida Adorno , 60 rls. para quatro mochila**. D. Antonio Navarro, 40 rís. para dos mochilas y…</t>
  </si>
  <si>
    <t>Montero, Antonio</t>
  </si>
  <si>
    <t>Antonio Montero</t>
  </si>
  <si>
    <t>Goatemala á D. Migue! González; Colarter capitán de! mismo cuerpo, habiéndose dignado* igualmente conferir la sargentía mayor dé la plaza* de Lima* á D. Antonio Montero capitán de! regimiento) fixo de la misma. Tambiém se: ha se ha servido nombrar para el Dea.-</t>
  </si>
  <si>
    <t>Montero, José</t>
  </si>
  <si>
    <t>José Montero</t>
  </si>
  <si>
    <t>Por otro decreto de 1:° de setiembre S. M. D. José ha nombra­ do en el ministerio de policía á D. José Mamerto Gome* Hermosiila xefe de división ; á D. José Montero , D. Simón del Castiiio, D. Cándido Revenga, D. Simón Fernandez Gallardo, D. Manuel María de Echevarría, D. Nicolás García de los Reyes y D. Julián de Mena oficia…</t>
  </si>
  <si>
    <t>Gómez, teniente del batallón de Fernando Vil. Asimismo recomiendo á los capitanes del batallón del general, el te­ niente coronel D. Manuel Bayona y D. José Montero , porque se distia-' guieron persiguiendo á los enemigos con sus compañías de cazadores y granaderos , después que fueron batidos en el puesto en que se hallaban.…</t>
  </si>
  <si>
    <t>Montero, Josef</t>
  </si>
  <si>
    <t>Josef Montero</t>
  </si>
  <si>
    <t>Po icía á me ha coiidacido á Francia se le den prue­ D- Josef Mamerto Gómez Hermosilla gefe bas de satisfacción por la buena conducta de división ; á D. Josef Montero, D. Simón que ha usado conmigo , y se le faciliten to­ del Castillo, D. Cándido Revet ga , D. Si­ dos los medios necesarios para la entrada món Fernandez Gallar…</t>
  </si>
  <si>
    <t>Montero, Santiago</t>
  </si>
  <si>
    <t>Santiago Montero</t>
  </si>
  <si>
    <t>ría, seguida del batallón de Tar­ ragona aL mando del capitán D. Cristóbal Milá.\ Los so­ matenes divididos en dos columnas mandadas , la primera por D. Santiago Montero , teniente coronel graduado del regimiento de Baza, y la segunda jpor D* Francisco Taloch , capitán de somatenes, batieron la una las alturas, y la otra el b…</t>
  </si>
  <si>
    <t>Montero, Veutura López</t>
  </si>
  <si>
    <t>Veutura López Montero</t>
  </si>
  <si>
    <t>iento pro­ nitores y aclamaciones , produxo La jorna­ vincial de Alcira, coronel de infantería li­ da de Jeaa, y la Prusia perdió en ella el gera; á. D. Veutura López Montero , te­ lugar que ocupaba entre las naciones. No niente que fue del regimiento de dragones hemos querido entrar en las negociaciones de Villaviciosa, capi…</t>
  </si>
  <si>
    <t>Montes, Francisco</t>
  </si>
  <si>
    <t>Francisco Montes</t>
  </si>
  <si>
    <t>o-Rico : para el de Cartigena de Indias, con la subinspeccion general de las tropas del Reyno. de Santa Fe', que. también reúne, al. xefe de esqusdra D. Francisco Montes:: para el de Montevideo al briga­ dier D. Vicente Nieto, coronel del regimiento de infan­ tería de Puebla:: para el de la provincia de Chiquitos al capitán D…</t>
  </si>
  <si>
    <t>Montes, Juan</t>
  </si>
  <si>
    <t>Juan Montes</t>
  </si>
  <si>
    <t>el general de Castilla la vieja : á D. Ra­ fael Ovalie , capitán de “Fernando VII: al capitán D. Pedro Subero , te­ niente del imperial de Toledo : á D. Juan Montes , cadete de guardias de Corps : á D. José Maldonado , teniente del provincial de Salamanca , y al teniente D. José Esquivel , guardia de Corps. Al brigadier D. Jo…</t>
  </si>
  <si>
    <t>Montes, Tori-bio</t>
  </si>
  <si>
    <t>Tori-bio Montes</t>
  </si>
  <si>
    <t>o se ha dado una ligera noti­ cia en las gazetas números 17 y 27 , manda publicar ahora el si­ guiente extracto de la relación que acaba de comunicar D. Tori-bio Montes, gobernador que fué de Puerto-Rn o. Extracto de los sucesos principales en la conquista de Sto. Domin­ go.— Los españoles que habitan la parte de la isla de S…</t>
  </si>
  <si>
    <t>Montes, Toribio</t>
  </si>
  <si>
    <t>Toribio Montes</t>
  </si>
  <si>
    <t>empleo de 'gobernador del Callao* con la subinspeccion general de las tropas dd Reyno del Peni , que está unida á este empleo, al ma­ riscal de campo D. Toribio Montes, gobernador y capi­ tán general de Puerto-Rico : para el de Cartigena de Indias, con la subinspeccion general de las tropas del Reyno. de Santa Fe', que. tambi…</t>
  </si>
  <si>
    <t>ealizar el proyecto que habían medita­ do , obligándose Ramírez á pagar los gastos que hiciese Montes en caso de no satisfacerlos la real hacienda. — D. Toribio Montes, animado de los mismos deseos que Ramírez, y en fuerza de las reiteradas instancias de aquellos naturales , franqueó un bergan­ tín y una goleta fletados, y do…</t>
  </si>
  <si>
    <t>to. Domingo dpi vergonzoso yugo del tirano Napo­ león , emperador de los franceses , y en vista de la protección eme ñor su medio ha merecido del Sr. D. Toribio Montes , mariscal de campo de ¡os .reales exércitos, gobernador, intendente y capitán general de la isla de Puerto Rico , la junta nombra por gobernador político y mi…</t>
  </si>
  <si>
    <t>541 Concluye el extracto de los sucesos principales de la conquista de la isla de Sto. Domingo. D. Toribio Montes envió después 120 hombres con oficiales, sargentos y cabos , para que instruyesen los paisanos , y sirviesen de pie á los cuerpos que debian formarse : á poca tiempo envió otros 350 hombres con sus respectivos ofi…</t>
  </si>
  <si>
    <t>Montfort</t>
  </si>
  <si>
    <t>as del gantay por urz puente echado sobre el fosa Emperador ia Penélape , al mando mío, de la fachada de la mano derecha , y se lle­ y la Paulina, su capitán Montfort, vol­ gaba á él desde la ciudad por medio de otro vieron á aparejar ayer á las 8 de la noche» puente construido con toda solidez. para dar caza y atacar á la fr…</t>
  </si>
  <si>
    <t>Montoro, Bartolomé</t>
  </si>
  <si>
    <t>Bartolomé Montoro</t>
  </si>
  <si>
    <t>234 dexa á D. Manuel Martínez Vellido : para otra ración vacante en dicha iglesia de Jaén por fallecimiento de D. Bartolomé Montoro , á D. José Pereyra , canónigo de la colegial de Baeza : pa­ ra una canongía de la iglesia colegial de S. Hipólito de Córdoba, vacante por muerte de D. Andrés Ocarol , á D. José González Gue</t>
  </si>
  <si>
    <t>Montrichard</t>
  </si>
  <si>
    <t>enemigos. Al mismo tiempo le di orden de que se aproximase algo mas con Numero 2.0 los otros regimientos de su división , á fin de sostener á la del general Montrichard, Carta del duque de Ragusa. con la qual iba yo á encontrar al enemigo, que venia desfilando. Seítor. ,, Este nos atacó en tres colunas; yo hice ,,He tenido el…</t>
  </si>
  <si>
    <t>Montrichart</t>
  </si>
  <si>
    <t>134</t>
  </si>
  <si>
    <t>s ligeras Habia destacado una parte de su división hacia Kimberg desde Gleissdorf por Waitz y Pirkfel. Consiguieron estas alcanzar la retaguardia del general Montrichart en el momento mismo en que Giulay se habia adelantado por el camino real por Peggau. Hasta ahora se han traido ya 789 prisioneros , y entre ellos al general …</t>
  </si>
  <si>
    <t>Monttet</t>
  </si>
  <si>
    <t>r, el dio del aniversario del gran-Napoleon. No habrá agradado mucho á S. M. este modo de celebrar su fiesta. (2) La guarnición estaba mandado por el general Monttet. í(3) La rendición .de Fksingo ero absolutamente precisa para las. opetmñones ulteriores de la expedición, de cuyas fuerzas se empleaba una gran parte ‘en activa…</t>
  </si>
  <si>
    <t>Moore</t>
  </si>
  <si>
    <t>Salamanca el n de octubre; que las que manda sir David Baird es*taban enAstorga el 22; pero lejos de adelantarse, se^reparabjui £ la retirar .da: el general Moore hácia Portugal, y sir David Baird hacia la Qoruña. Nuestros navios de línea apostados en Piimout y Portsmout han rér cibido orden de estar prontos á dar la vela .pa…</t>
  </si>
  <si>
    <t>Moóre</t>
  </si>
  <si>
    <t>rada después de haber perdido I I© hombres. • : (O Los cxércitos que han derrotado-los franceses eran mucho mas considera­ bles. Solo eí exérciro del general Moóre no ha sufrido-hasta, ahora descalabre nin­ guno jjr bien sabida es la causa. El general que entró en España en el mes de octu­ bre, y que estaba en el. Escorial el…</t>
  </si>
  <si>
    <t>to de 800 hombres, y mandado por su coronel Mourgeoñ, se ha rendido el 20 de octubre en Lerin después de un combate mui obstinado. En el exército del general Moore hai 3S enfermos. El dia 8 de este mes hubo en la fondón taberrie una junta mui numero­ sa compuesta de comerciantes y fabricantes, yen ella se nombró una comi¿ sio…</t>
  </si>
  <si>
    <t>ai 20© ó 300 hombres de caballería francesa, que persiguen incesante­ mente á nuestros soldados rezagados en e* camino de Bernbibre á Villarranca. El general Moore os agradecerá mucho el que coloquéis un batallón en las alturas que dominan el camino para contener al enemigo sin necesidad de arriesgarse á nada. Carecemos de no…</t>
  </si>
  <si>
    <t>uedaron enteramente destrui­ dos en el combate del día 16 cerca de la Corona. Se han embarcado 60 hombres solamente^ de cada uno de estos cuerpos. El general en gefe Moore quedó muerto, porque á la cabeza de esta brigada quiso acometer para me­ jorar la suerte de sus armas. ¡ Esfuerzos inútiles! Esta tropa fue dispersada, y s…</t>
  </si>
  <si>
    <t>¿ las 3 de la tarde de dicho dia á nuestras tropas, que estaban situadas deíante de la Coruña. Una herida grave que recibí poco antes que muriese el general Moore me obligó á retirarme del campo.de batalla, y por lo mismo no puedo for­ mar por mí mismo la relación circunstanciada de este combate, que ha sido largo y obstinado…</t>
  </si>
  <si>
    <t>¿ h Francia , por BMW que ft procure disimular en sus periódicos.. GRAN BRETAÑA. Lóndre* 13 de enero. En la gsssta publicada ajer tarde se vd que el General Moore no habia palabra de los seis mil hombres del exdrcit» del Marqués de la Romana, que algunos periódicos contaba* haber sido destronados por los dragones franceses. L…</t>
  </si>
  <si>
    <t>l por­ calidad , ligero , seco y suave ; se quebranta menor circunstanciado de los últimos ins­ y enciende con facilidad ,yda un calor su­ tantes del general Moore. Antes de espirar perior y de mas duración qi:.* los carbones padeció terribles dolores, pero los llevó con que se sacan de otras comarcas; es menos gran resignaci…</t>
  </si>
  <si>
    <t>te? El última campaña. .coronar á sti hermano en Madrid: 3 sema­ ,, El general Baird estaba en la Coruña, nas le han bastado para efectuarlo desde el general Moore en Salamanca, y el gene- que llenó con sus tropas al Pirineo. ara! Ilope en Aranjuez. Las tropas que man­ .... ,,Cincuenta mil ingleses, añadió Mr. daba uno de est…</t>
  </si>
  <si>
    <t>ncia. ¿Pero los habitantes de la parte chas y operaciones del exército después que septentrional no piensan de la misma ma­ salió de Portugal: que el general Moore se nera?___¿Por qué nuestras tropas no se habla concertado sobre este punto con la ban apoderado del Ferrol ? Si el gobierno Junta ceatral de España: que la posici…</t>
  </si>
  <si>
    <t>22 de abril de 1809</t>
  </si>
  <si>
    <t>Gaceta de Madrid n.º 112</t>
  </si>
  <si>
    <t>r&gt; vencerle.” Tal era el parecer que preva­ sarlos fue necesario echar pelotones. '• ■-&gt; lecía en sus consejos militares, y el plan ,, Entre tanto él general Moore se -había que se habían propuesto, en que acabaron adelantado hasta dar vista al cuerpo del de confirmarles varias cartas que de inten­ duque de Dalmacia,-él qüal …</t>
  </si>
  <si>
    <t>uiente Tecapitulacion de los principales sucesos, ocurridos en Galicia y Asturias en el discurso de los meses que van de este año. &lt;£Al tiempo que el general Moore determinó su retirada a la Coruña, Bonaparte hizo, marchar hacia Benavente y Astorga toda su fuerza disponible , que ascendía, ó 80c) hombres. Quando en Astorga to…</t>
  </si>
  <si>
    <t>Gaceta de Madrid n.º 291</t>
  </si>
  <si>
    <t>do sus hospitales , sus heridos, sus caballos, y parte de sus cquipages. Semejante i art. 11. Estas cédulas hipotecarias se­ esta fue la conducta del general Moore en su rán conformes al modelo siguiente: ridicula expedición del mes de noviembre últi­ Capital de pensión 6 de renta vitalicia. mo, huyendo de Benavente i la Coru…</t>
  </si>
  <si>
    <t>453</t>
  </si>
  <si>
    <t>á Bonaparle por su ministra de la guerra sobre, este mismo abgeto, que se leyó en el senado en aquella sesión, notamos las siguientes cláusulas : “Fl general Moore no habia podido sacar de la Galicia la mitad de sus tropas. Las pérdidas inmensas que habia experimentado su exército, no retraxeron al gobierno ingles de enviar o…</t>
  </si>
  <si>
    <t>sobre este particular. llington se retire con su exército antes da exponerse á qtle le suceda otra desgracia GRAN BRETAÑA. igual á la que sucedió al general Moore. ( Mornin-ckranide. ) Lóndres 28 de octubre. FAZ ENTRE FRANCIA Y AUSTRIA. Del 30. REFLEXIONES SOBRE LA FAZ DE AUSTRIA. Naestros diarios ministeriales han con­ fesad…</t>
  </si>
  <si>
    <t>Moore, Sir Juan</t>
  </si>
  <si>
    <t>Sir Juan Moore</t>
  </si>
  <si>
    <t>agh, uno de ios principales Secretarios de ,Estado de S. M. Á bordo del navio Ville de París 18 de enero. Milord: por la sensible muerte del Teniente general Sir Juan Moore, acaecida en la acción del 16 del corriente, creó de mi obligación informar á V.E. que el exército francés ata­ có las tropas británicas en la posición qu…</t>
  </si>
  <si>
    <t>de guardias , y á ios Mayores Mi11er y Williams def regimiento 8r. Quando está Vm. tan bien enterado de las bellas prendas que adornaban al Teniente General Sir Juan Moore , sería por demas que yo* exagerase, la pérdida que por sil muerte, experimenta el exercito y la nación. Yo por mi parte he que­ dado privado de un amigo a…</t>
  </si>
  <si>
    <t>Moqre</t>
  </si>
  <si>
    <t>franceses ¡ Blake ocupa la derecha % y él,centro está estrechado por ti cxército ingles, al mando del general Moqre., quetascieucie á mas de 30© hom­ bres, y por el de Extremadura, compuestb^de 23®. "Asi que, los franceses habrán de combanr corí uu éxército de 50 a 6o© hombres antesrdé 7póder marchar sob</t>
  </si>
  <si>
    <t>Mor, Ramón María</t>
  </si>
  <si>
    <t>Ramón María Mor</t>
  </si>
  <si>
    <t>. ...... Señores viuda de Escolar,. Noriega é hijo. Granada......... .. D. Francisco Unzaga ó el que lo repre­ sente. Jaén......................... . D. Ramón María Mor toro. Mahon. ....................... Doña Catalina Germán y Ur.galde., Málaga. . . . ... .. . D. Juan Ximeno. Murcia........................ Señores Moreda y …</t>
  </si>
  <si>
    <t>Moragrega, José</t>
  </si>
  <si>
    <t>José Moragrega</t>
  </si>
  <si>
    <t>José Alvarez -, del regimiento suizo de YVimpffen, á las del capi­ tán D. Pedro Molo , y del tercer tercio de Tarragona á las de su sar­ gento mayor D. José Moragrega , hubiera atacado al enemigo al amanecer en su posición de Bruñólas , si los guias no me hubieran apartado del camino recto mas de dos horas. Hecho el correspon…</t>
  </si>
  <si>
    <t>Moragues, Ignacio</t>
  </si>
  <si>
    <t>Ignacio Moragues</t>
  </si>
  <si>
    <t>erga, y 40 caballos á las órdenes del capitán del regimiento de Alcántara D. Juai Jalón, y de los tenientes de húsares Españoles, y Reales de Granada D. Ignacio Moragues , y D, Miguel La Chica. Ocultos en un bosque, según la instrucción que llevaban, descubrieron el dia 6 á las siete de la mañana á los enemi­ gos sobre el cam…</t>
  </si>
  <si>
    <t>Morales, Josef</t>
  </si>
  <si>
    <t>Josef Morales</t>
  </si>
  <si>
    <t>z, á D. Antonio Porlier, cura párroco de la villa de S. An­ drés : para la ración vacante en la de Granada por fallecimiento de D. Francisco Diaz , á D. Josef Morales , rector de aquella universidad : y para una capellanía presbiteral en la reál de Gra­ nada , vacante por muerte de D. Modesto Viana, i O. Vicente Rico Bernabé.…</t>
  </si>
  <si>
    <t>Morales, Manuel</t>
  </si>
  <si>
    <t>Manuel Morales</t>
  </si>
  <si>
    <t>, 10 rls. para un par de medias» D. J a^uin Sánchez, 40 rls. para dos mochilas y un par de medias» D. Jo$ef Romero, 20 rls. para dos pares de medias. D. Manuel Morales , 48 rls. para unos pantalones» D. Leandro Perez , y D. Miguel Rodríguez , .20 rls. pan dos pares de medias. D. A stonio González , 20 rls. p^ra dos pares de m…</t>
  </si>
  <si>
    <t>Moran, Joscí</t>
  </si>
  <si>
    <t>Joscí Moran</t>
  </si>
  <si>
    <t>iones convenientes para que la execucion Navarrete, para otra canongía de la santa de este decreto no tenga obstáculo ningu­ iglesia de Calahorra : á D. Joscí Moran, no , y que se realice lo mas pronto que presbítero , para otra canongía de la cate­ sea posible. Luego que este concluida tan dral de Palencia : á D. Agustín Urr…</t>
  </si>
  <si>
    <t>Moran, Juan</t>
  </si>
  <si>
    <t>Juan Moran</t>
  </si>
  <si>
    <t>eses de caba­ llería que habían salido de Valdepeñas,y&gt; debían hallarse según noticias que tenia, entre Alcubillas y el Pozo de la Berna, comisiané á D. Juan Moran alférez del regimiento dé caballería de .España con mas de cincuenta caballos, y</t>
  </si>
  <si>
    <t>Moran, Severo Bernal</t>
  </si>
  <si>
    <t>Severo Bernal Moran</t>
  </si>
  <si>
    <t>García Carpizo, procurador del comuh. De agregados á junta de municipalidad concurrieron D. Ignacio de Ta­ pia, conde de Valdeláguila; D. Juan Sanz; D. Severo Bernal Moran; Don Segundo Revilla; D. Pedro Revilla* D. Narciso Holgado; D. Juan Solís Martin ; D. Valentín Perrino ; D. Ignacio Burguillo; D. Sebastian Sánchez; D. Jua…</t>
  </si>
  <si>
    <t>Morand</t>
  </si>
  <si>
    <t>íacos^ y los ha destrozado en donde se avistó con el Rei de Baviera, uno tras otro. * con quien pasó una media hora, y le pro­ A las 2 de la tarde el general Morand metió restituirlo dentro de 15 dias á su ca­ encontró por la parte de la izquierda una pital , y vengar el desacato hecho á su casa, división austríaca, á la qüal…</t>
  </si>
  <si>
    <t>Morard</t>
  </si>
  <si>
    <t>el dia 8 vendimiaire, año 14“, 100 francos des necesarias para poner las islas en esta­ de sueldo de retiro en calidad de granadero do de defensa. El capitán Morard emprendió del regimiento 63.° el viage de Me'xico con la mira de traer los Madama Layac, que nunca ha sido he­ caudales que necesitaba el general español. rida, s…</t>
  </si>
  <si>
    <t>Morder</t>
  </si>
  <si>
    <t>1483</t>
  </si>
  <si>
    <t>1483 han dado órderf para que vayan ro© hom­ pilcarles que le permitiesen asistir á sos en­ bres á aquella ciudad con el objeto de pro­ fermos. El mariscal Morder acce lídá todas tegerlos contra los insultos del pueblo. El sus solicitudes , y con especialidad á la de marques de Welleslei va todos los días dos que no se consid…</t>
  </si>
  <si>
    <t>Moreau</t>
  </si>
  <si>
    <t>ón del santo'após­ tol Santiago, y en el campo misma donde se manifestó la es­ trella, segua latradicionhistórica. -v LIBROS NUEVOS. -c; Historia del General Moreau h»sta la paz de I/utieviUe,. Contiene una. noticia de su vida , las . campaña» del Rhin é Italia, las anécdotas, rangos sublimes de talento y de vaIqr qjoj lo car…</t>
  </si>
  <si>
    <t>Morell, Pedro</t>
  </si>
  <si>
    <t>Pedro Morell</t>
  </si>
  <si>
    <t>de bala de cañón de las ha­ terías que tiene el enemigo, en Palau , con cuyos fuegos‘molesta­ ba bascante , principalmente á la guerrilla al mando de D. Pedro Morell teniente del segundo de Barcelona , de la que era. el soljiado herido, y que se sostuvo con toda bizarría.” “Era presumible deque al amanecer volvieran k intenta…</t>
  </si>
  <si>
    <t>Moreno, José</t>
  </si>
  <si>
    <t>José Moreno</t>
  </si>
  <si>
    <t>D. Manuel de la Quintana. — D. Juan Antonio López. — D&lt; Manuel González del Campo. -D. Juan Rayara. — D. Segismundo Malats. — D. José Antonio Ruiz. — D. José Moreno. — D. José Marco del Pont. — D. José Llanos. — Ei-conde de Montes-claros. — D. Bernardo González Alvarez. — Doña" Francisca Siró de Gre. --El marques de Mo­ naste…</t>
  </si>
  <si>
    <t>Moreno, Manuel</t>
  </si>
  <si>
    <t>Manuel Moreno</t>
  </si>
  <si>
    <t>or de D. Juan Martin ( el Empecinado.) al intendente de la provincia de Guadálaxara. “ Sr. intendente de la provincia de Guadalaxara. — Muy Sr. mió : D. Manuel Moreno habrá informado á V. S. comnletamente de todo lo ocurrido desde el 23 hasta el 29. En este dia des­ pués de haber padecido mi tropa el engaño ( no me resuelvo á…</t>
  </si>
  <si>
    <t>Moreno, Pascual Sánchez</t>
  </si>
  <si>
    <t>Pascual Sánchez Moreno</t>
  </si>
  <si>
    <t>ministro secretario de rio benedictino de S. Millan de la CogoLla, E,tado Mirlano Luis de Urquijo.” para una capellanía de Reyes nuevos de Toledo: á D. Pascual Sánchez Moreno pa­ Don Josef Napoleón por la gracia de ra cura ecónomo de la parroquia de S Mar­ Dios y por la constitución del estado , REI tin de esta corte: á D. Ma…</t>
  </si>
  <si>
    <t>Moreno, Víctor</t>
  </si>
  <si>
    <t>Víctor Moreno</t>
  </si>
  <si>
    <t>mó , D. Benito agosto relativos tí la cesación de las Navarro, D. Francisco Larregui , D. An­ grandezas y títulos que no se hayan con­ drés Piñuela , D. Víctor Moreno, D.Juan cedido 6 confirmado por S. Al. reinante, Ribera, D. Francisco González, D. Seve— y d la confiscación de los bienes embar­ riño Riezu y D. Eusebio Heros …</t>
  </si>
  <si>
    <t>á ©. Mateo Bravo y Lomas, D. Antonio Leiral , D. Carlos Reboul, ©. Francisco Guilmó , D. Benito Navarro, D. Francisco Larregui , D. Andrés Piñuela , D. Víctor Moreno, D. Juan Ribera, D. Francisco González, D. Sevérino Rie-zu y D. Eusébio Heros oficiales segundos ; á D. Juan Esteban Tricio archivero ; y á ¡B. Francisco Borda v…</t>
  </si>
  <si>
    <t>Morera, D Antonio</t>
  </si>
  <si>
    <t>D Antonio Morera</t>
  </si>
  <si>
    <t>dos j .etre .ellos el .alférez D» Alberto de Suelves. SUIZOS DE ARAGON. Un herido. GRANADEROS DE PALAFOX. Tres heridos. PRIMER BATALLON DE HUESCA. El Capitán D* Antonio Morera, y el Teniente D. Juaquin Borgoñon, heridos. El Capitán D. Josef Sierra y el Subteniente D. Paulino Domenec, contusosj un Sargento, un Cabo y a soldado…</t>
  </si>
  <si>
    <t>Morfín, Miguel</t>
  </si>
  <si>
    <t>Miguel Morfín</t>
  </si>
  <si>
    <t>cisco Zurita , 10 rls. para Un par de medias, P. Manuel de Fuentes , 10 rls, para un par de medias. P. Juan Duran, .20 rl?. para dos pares desmedías* D. Miguel Morfín, 15 rls. para una mochila. P. Josef Romero 60 rls. para quatro mochilas* -D. Bernardo Alvarado, 20 rls. para dos pares de medias. D. Joaqain Ballestero 20 rls. …</t>
  </si>
  <si>
    <t>Moría</t>
  </si>
  <si>
    <t>Istria intimó la rendición de Madrid, en donde sé habia formado una junta militar, presidida por el general Castelar, tenien­ do, baxo sus prdengs al general Moría, capitán general de Andaluza é ins­ pector general de artillería. I3e 8 diás á esta parte se formaban; trincheras en las. puertas y calles; po$ todas partes ¡se ci…</t>
  </si>
  <si>
    <t>as alhajas de plata y oro, cayo va­ lor no se expresa. = Real Palacio del Alcázar de Sevilla z de Abrero de 18 9* Gran pesadumbre recibirá nuestro Ex-General Moría coa esta noticia que * desbarata sus déseos , sus afectados recelos y sus; pronósticos. Este Socorro'ha llegado -feliz y oportu■ «ármente ■ á España para sostener …</t>
  </si>
  <si>
    <t>Moriano, Juan</t>
  </si>
  <si>
    <t>Juan Moriano</t>
  </si>
  <si>
    <t>que no ha ocur­ rido novedad particular en los ejércitos, si bien se espera por momentos , despacho á V. E. estos pliegos con el cor­ reo de gabinete D. Juan Moriano para que llegue al co­ nocimiento de S. M. el estado progresivo de las cosas. El dia 9 ha escrito el ¡Mariscal Beresford á este Mi­ nistro de la Guerra, desde La…</t>
  </si>
  <si>
    <t>Morillo, Domingo</t>
  </si>
  <si>
    <t>Domingo Morillo</t>
  </si>
  <si>
    <t>on en la forma siguiente. Pesos fuertes. El M. I. y V, Sr, Dean y Cabildo de esta santa Iglesia Ca­ tedral, 50.00a El Sr. mariscal de Castilla. 6,000 D. Domingo Morillo, (*) C, 2.000 D. Josef Ignacio . guirrevengoa. C. ' 25.000 El Sr. marques de Santa Cruz de Inguanzo, G, 25.000 D-Josef Vicente Olloqui. C. 25.000 El Sr. conde…</t>
  </si>
  <si>
    <t>Morillo, Pablo</t>
  </si>
  <si>
    <t>Pablo Morillo</t>
  </si>
  <si>
    <t>ndencias y gazetas tomadas al enemigo. Van en el místico nombrado Fer­ nando VÍI , su Capitán D. Agustín Abente, que he fleta­ do, zn Morillo. N. i.° D. Pablo Morillo , Coronel del regimiento de in­ fantería de Voluntarios de España , y Comandante de las tropas españolas que acaban de llegar á reforzar y estrechar «1 sitio de…</t>
  </si>
  <si>
    <t>entes del regimiento de la Corona; i D. Pedro Linares y D. José Carrion, coronel y teniente coronel del regimiento de infantería de línea de León : á D. Pablo Morillo , coronel del regimiento de la Union ; á D. An­ tonio Arriete, capitán del regimiento de Aragón : al brigadier conde de Friegue y á D. Benito Sierra', coronel y…</t>
  </si>
  <si>
    <t>Morio</t>
  </si>
  <si>
    <t>164</t>
  </si>
  <si>
    <t>e tiempo quedará Gerona sometida (3). (1) ■ . El cuerpo de tropas que está á las órdenes del general Verdier, no es otro que la división que manda el general Morio , compuesto de 4- regimientos VVesfalíanos , uno de VVurtzbourg, otro de Berg , y de un escuadrón de caballería italiana. Los franceses se valen de las tropas alia…</t>
  </si>
  <si>
    <t>Morlot</t>
  </si>
  <si>
    <t>a. Si yo hice lo mismo ántes de llegar á Pamplo­ na, advertid que se faltó por los- franceses ai sagrado déla capitulación. Fui-el primero á quien el general Morlot sin palabra y sin honor despojó de caballos; y- equipage , hollan­ do lo estipulado; Sí-, al general, francés es lícita la fracción de un derecho tan sagrado, no …</t>
  </si>
  <si>
    <t>Moron, Manuel</t>
  </si>
  <si>
    <t>Manuel Moron</t>
  </si>
  <si>
    <t>te. está nombrado subteniente del regimiento , En el regimiento de infantería española, núm. i.® de infantería española de líoea. • de línea núm. a.° D. Manuel Moron, ca­ D. Josef Bindl, cadete que fue del pro­ pitán que fue del regimiento de infantería vincial de Córdoba, está nombrado subte­ de Africa , está nombrado capitá…</t>
  </si>
  <si>
    <t>Moroni</t>
  </si>
  <si>
    <t>ento ha confirmado S. M. 1808, Por la noche hubo concurrencia y baile en palacio* ITALIA. Roma jo de enero• £a una de las heredades pertenecientes al conde Moroni se han encon­ trado recientemente los sepulcros de la antigua familia romana de los Maní-</t>
  </si>
  <si>
    <t>Mortier</t>
  </si>
  <si>
    <t>a varios cuerpos ; dé i éxetcito grande : el 5 de Octubre ha­ bía»-ya pasado varios regimientos por Tours , y el últiido: filé el $. de Cazadores. El mariscal Mortier se diri­ ge Cambien: á España al frente de la división de su, mando»’ ¿ Mas hay por Ventura hoy mas trop'as enemigas en España- que- había ántes de la, victoria…</t>
  </si>
  <si>
    <t>en este ais. El príncipe dePontecorvo tiene los bailiages deCrohne, Ohsen , Pille, Í .acbéífi A'éÍ2éU V’ qüe pihéducett 1005 32 francosr de renta: el mariscal Mortier, duque de Treviso, el bailiage de Calemberg, y los molinos de Blmmenau y Coldifigen i 10Ó161 fráncok dé rentaf el general Duroc, duque de Frioul, el bailiage de…</t>
  </si>
  <si>
    <t>= Juro cumplir las obligaciones de...... con el solo objeto de la felicidad de Burgos 28 de abril. la nación y de la gloria del REI, confor­ S. E. el mariscal Mortier ha llegado á me á las disposiciones de la constitución. esta ciudad con rj© hombres del cuerpo art. n. Nuestros ministros, cada ano de exército que está á su ma…</t>
  </si>
  <si>
    <t>humanidad y buen gobierno de los fran­ ico combates, y que por lo mismo no co­ ceses , que sé lo habéis de leer con sumo in­ nocen rivales. teres. El mariscal Mortier marchaba sobre PJaser cia con su cuerpo de exército; y no­ sotros teníamos en aquella ciudad un hos­ pital mui considerable. Nuestro cirujano Extracto de las mi…</t>
  </si>
  <si>
    <t>540 del general Kellermann, y el sexto cuerpo estarán al mando de mariscal Mortier, que se espera aquí muy en breve.” “Vea V. E. qual es la suerte del sexto cuerpo: todos la pre­ veíamos. Así pueda V. E. no entregarnos á ella sin recurso: á lo ménos pueda yo esperar que V</t>
  </si>
  <si>
    <t>Morusi</t>
  </si>
  <si>
    <t>e han llegado El día 27 del mes anterior hubo en la boi de la orilla derech(*-del -J^anobíoodicen- ‘ coi4fe ^un/baile magnífico; yantes de él, que el príncipe Morusi, nombrado por la con motivo de hallarse ausente el embaxaPuerta primer dragomán de la embuxada dor de Rusia , S. E. el embaxador dé Franotomana"para el coñgíesb“…</t>
  </si>
  <si>
    <t>Mota, Amaro</t>
  </si>
  <si>
    <t>Amaro Mota</t>
  </si>
  <si>
    <t>144 El Administrador del Hospital del ;Espirita Sárito , 30 rls. para dos mochilas, r — 4 • &gt; D. Amaro Mota , 17 rls. para unos zapatos. D. Joaquín Calero , ao rls. para dos pares de medias. I . Manuel Pulido*, l7 ris. para unos zapatos. 3?. Alonso Colíantes , 10 rls. para un par de medias. r- j o</t>
  </si>
  <si>
    <t>Motard</t>
  </si>
  <si>
    <t>e tres horas de combate contra iba escoltando, la habían impedido Llegar ¿ dobles fuerzas , obligó al enemigo á aban­ la isla de Francia. donarla. El capitán Motard fue informado del Quedó la Semillante mui maltratada en proyecto que tenían los ingleses de atacarle este combate, y se vió en la precisión de en el fondeadero de…</t>
  </si>
  <si>
    <t>Moulin</t>
  </si>
  <si>
    <t>ía irá Bohe­ una pueden alojarse 20 hombres. Las ca­ mia por la Franconia, ha sido dirigido por lles están cubiertas de arena, y son bastan­ el señor general Moulin hacia Passau por te anchas para hacer en ellas las evolucio­ Fríedberg y Schwabhaúsén. nes militares. Las tiendas de los oficiales El mariscal duque de Dantzick h…</t>
  </si>
  <si>
    <t>Mounet</t>
  </si>
  <si>
    <t>nes desem­ donaron igualmente, habiéndoles"asegurado barcaron los ingíesés su cuerpo principal en tus comandantes que rto podían ya dudar Buezand. El general Mounet, después de de la verdad dél armisticio. " ' haber intentado oponerse al desembarco por - No pasará mucho tiempo sin qué el Ti- medio de su artillería de á caball…</t>
  </si>
  <si>
    <t>Mourgeoñ</t>
  </si>
  <si>
    <t>ación. Se han enviado al interior de España .3® hombres de Gibraltar. El ba­ tallón de tiradores de Cádiz, compuesto de 800 hombres, y mandado por su coronel Mourgeoñ, se ha rendido el 20 de octubre en Lerin después de un combate mui obstinado. En el exército del general Moore hai 3S enfermos. El dia 8 de este mes hubo en la …</t>
  </si>
  <si>
    <t>Movellan, Diego</t>
  </si>
  <si>
    <t>Diego Movellan</t>
  </si>
  <si>
    <t>capitán D. Diego y D. Juan Manuel de Peredo. 30.000 D. Juan Marcos Rada. 25.000 D. Dionisio Cicero Lombrana. 2.000 D. Cecilio Armiño Martínez. 7.000 D. Diego Movellan. 16.000 D. José Bernardo Baz 10.000 D. Juan Antonio Aristi. 2.000 D. Joaquín de Echarte. 15.000 D. José María Landa. 4.000 D. Domingo Llano Torre. 2.000 D. Igna…</t>
  </si>
  <si>
    <t>Moya, Juan Bartolomé</t>
  </si>
  <si>
    <t>Juan Bartolomé Moya</t>
  </si>
  <si>
    <t>taron bien al enemigo ; la del subteniente del mis­ mo cuerpo D. Josef de Moya que la mandaba y fue herido ; y la bizarría del distinguido del propio D. Juan Bartolomé Moya , que con los capitanes de somatenes Francisco Fáloch y Ramón Soler, y los miqueletes del ter­ ció de. Villafranca Ráymundo Santaguda, Peregrin Vidal, y J…</t>
  </si>
  <si>
    <t>Moyano, Tomás</t>
  </si>
  <si>
    <t>Tomás Moyano</t>
  </si>
  <si>
    <t>e del Pinar, D. Fran­ cisco Requena , D. Josef Pablo Valiente , D. Sebastian de Torres,D. Ignacio Martínez de Villela , D. Miguel Alfonso Villagomez, D. Tomás Moyano, D. Pasqual Quiíez y Talón, D. Luis Melendez Bruna, D. Juan Miguel Perez Tafalla, y el Sr. Fiscal D.An­ tonio Cano Manuel. Luego que llegó eí Sr. Decano y dexó e…</t>
  </si>
  <si>
    <t>Msnu</t>
  </si>
  <si>
    <t>Manuel Zappino. zzD. Tomas O-Doneju. Marqués de Zayas. = D. Vicente Igle­ sias. = D. Rafael Manglano. A Brigadieres los Coroneles D. Josef Escudero.” D. Msnu?l de ííurrigíiray.rrrD.Joref Navarro Falcon. =■ Marqués de Malpica.zz D. Josef de la Cruz. = D. Josef de Zayas. Grados de Coronel á los Tenientes Coroneles Mr. Benjamín …</t>
  </si>
  <si>
    <t>Muguerza, Pedro</t>
  </si>
  <si>
    <t>Pedro Muguerza</t>
  </si>
  <si>
    <t>ga. C. 2.000 D. Miguel Rafael d: Medina. C. 2C.OOO B. Domingo ligarte. C. 4-000 D. Vicente Eguia. C. 50.000. D. Esteban Velez de Escalante. C. 50.000 D. Pedro Muguerza. C. 10.000 D. Joaquín Aldana. C. 10.000 D. Domingo Ignacio Lardizabal. 50.000 D. Mateo Palacios. C. — 50.000 D. Antonio Ugaldéa. C. 2.000 D. Gregorio Saenz de …</t>
  </si>
  <si>
    <t>Muíiarriz, Vicbnte</t>
  </si>
  <si>
    <t>Vicbnte Muíiarriz</t>
  </si>
  <si>
    <t>es' * f-’ Fr. Tomas de S.; Fulgencio, prior de agustinos recoletos &gt; y Fr. Manuel "Herreros. ■ ■ &lt;'■■■ * • ■ fTr*:j v , ; r-rl por -él estado noble * D. Vicbnte Muíiarriz. •* * l\'~ • - v , , . ' ■ ' «• Por los labradores D. Juan Josef de Land* y García, D. Andrés Raboso y D. Francisco Reció. •"•••’*; * v-: -;-f; r - - : • ..…</t>
  </si>
  <si>
    <t>Mulot, Pedro</t>
  </si>
  <si>
    <t>Pedro Mulot</t>
  </si>
  <si>
    <t>añía del nas, he aquí los sacrificios que estamos ha­ a.° batallón del mismo cuerpo; á D. Fran­ ciendo actaalmeute, enormes por cierto. cisco Kosty á D. Pedro Mulot, subtenien­ ¿Mas qué conseguiremos coa todo ello? La tes del regimiento de infantería Real Extran­ respuesta no es difícil, si es que vale juz­ gero, tenientes de…</t>
  </si>
  <si>
    <t>Muñí, Francisco</t>
  </si>
  <si>
    <t>Francisco Muñí</t>
  </si>
  <si>
    <t>asaca. D. Francisco Fernandez , 17 rls. para unos zapatos. D. Juan Parra . 48 rls. para unos pantalones. D. Antonio Diaz , 75 r-’s*- pira una casaca. D. Francisco Muñí z , 48 rls. para unos pantalones. D. Antonio de los Santos , 70 rls. para un poncho. D. Bartolomé Tomar?» , 48 reales .para unos pantalones. I). Francisco Xavi…</t>
  </si>
  <si>
    <t>Munich</t>
  </si>
  <si>
    <t>nn regimiento á sus expensas, y el príncipe Zamoiski ha ofrecido levan­ DINAMARCA. tar dos. BA VIERA. Copenhague G de junio. El mayor general Ewalh , comandante Munich a de junto. de las tropas danesas que han batido i Schill Desde que los dos exércitos franceses eo Stralsuod, acaba de ser nombrado te­ de Alemania y de Italia…</t>
  </si>
  <si>
    <t>Munilla, Josef</t>
  </si>
  <si>
    <t>Josef Munilla</t>
  </si>
  <si>
    <t>sef Arrechea , 1®. = D. Manuel Francisco Arreqei, 1®. = D. Josef Manuel Arrechta , io¿&gt;. =5 D. Pedro# Martínez Delgado , 100. zz D. Josef Isasi , i®*=D. Josef Munilla , 500. zz D. Sebastian Melón , 500. = D. Loren­ zo Moreno, 4®. = D. Juan Josef B^rberena, 5* zz D. Dosningó Gómez de Segura , 200, = D. Manuel Garda Muro, íaoo.…</t>
  </si>
  <si>
    <t>Muñoz, Joaquin</t>
  </si>
  <si>
    <t>Joaquin Muñoz</t>
  </si>
  <si>
    <t>de Superunda. — D. José Almendariz. — D. Iginio Antonio Llórente; —• Fr. Ignacio Gómez Ibluzqueta. — D. Luis Melendez Bruna. — D. José Mariano Dineo.—D. Joaquin Muñoz, recibidor de Mal­ ta. — Conde de Oñate. — Marquesa de Malpicá. — D. Joaquín de Viliauneta.-- D. Antonio Campagny.— D. Torquato Collado.— Marques de Bellestá.— …</t>
  </si>
  <si>
    <t>Muñoz, Josef</t>
  </si>
  <si>
    <t>Josef Muñoz</t>
  </si>
  <si>
    <t>Cruz; por quarto á Don do el edificio, deteniéndose particularmente Podro Sepúlveda , á D. Josef Arnedo , á en las piezas del monetario, salas de ma­ D. Josef Muñoz, á D. Josef Coronal, á Don nuscritos y antigüedades, en las de autores Rafael Piañiol, á D. Remigio Vega , á Don clasicos y en las de tipografía , en todas las Pe…</t>
  </si>
  <si>
    <t>Muñoz, Martin</t>
  </si>
  <si>
    <t>Martin Muñoz</t>
  </si>
  <si>
    <t>real cuerpo de Ingenieros, y ai teniente coronel D. Antonio Cano, capitán pri­ mero del batallón ligero voluntarios de Navarra : á D. Antonio Palma, D. Martin Muñoz, D. Pedro Valero y D. Francisco Martin , sargento mayor, capitán 1.° , teniente y subteniente del batallón de tiradores de Ciudad-Rodrigo: á D. Rafael Cano, capit…</t>
  </si>
  <si>
    <t>Muñoz, Tomás de la Cruz</t>
  </si>
  <si>
    <t>Tomás de la Cruz Muñoz</t>
  </si>
  <si>
    <t>libra:“De Doña Barbara Estrada ; “tres caxas de azúcar blan­ co con 47 arrobas y 19 libras , y tres caxas ele quebrado con 49 arrobas y 7 Iibras.=De D. Tomás de la Cruz Muñoz. =2 sesenta caxas de azúcar blanco con 980 arrobas y 2 libras, y quarer.ta caxas de quebrado con 642 arrobas y 22 libras. =2 De D* Nicolás Peñalver: “se…</t>
  </si>
  <si>
    <t>Müorado</t>
  </si>
  <si>
    <t>guarnición de 2® turcos: esta plaza mui de cañón y otros efectos. Habiendo pasado fuerte se rindió á la vista de los primeros el Danubio el teniente general Müorado- preparativos del bombardeo. ” wistch, el mayor general Howaiski tuvo el 15 de setiembre una acción con la van­ SUECIA. guardia del Seraskier Geogrew, la qual fue…</t>
  </si>
  <si>
    <t>Muraire</t>
  </si>
  <si>
    <t>1509</t>
  </si>
  <si>
    <t>, llena de nobleza y de nuestra fidelidad.” franqueza, que en un dia solemne y en pre­ sencia , se puede decir, de la Europa ente­ Discurso del señor conde Muraire, primer ra, tuvisteis con el embaxador de Austria, presidente del tribunal de Casación. con la mira de evitar la guerra que su go­ bierno estaba maquinando contra …</t>
  </si>
  <si>
    <t>Murat</t>
  </si>
  <si>
    <t>la campaña por e) Tiro!. Eatónccs se empecará á poner en obra nuestro plan que será mas formidable al enemigo de lo que se ba per­ suadido el intruso Rey Murat. GRAN. BRETAÑA. Londres 15 de abril, Los papeles que hemos recibido de los Estros-Unidos, y que llegan hasta el 23 de marzo, nos dan noticia de habar tomado Mr. Maddis…</t>
  </si>
  <si>
    <t>Muro, Manuel Garda</t>
  </si>
  <si>
    <t>Manuel Garda Muro</t>
  </si>
  <si>
    <t>D. Josef Munilla , 500. zz D. Sebastian Melón , 500. = D. Loren­ zo Moreno, 4®. = D. Juan Josef B^rberena, 5* zz D. Dosningó Gómez de Segura , 200, = D. Manuel Garda Muro, íaoo. = D. Miguel Rebato , 25. zz D. Gregorio Castriciones, vecino de S. Salvador , 4®. = D. Víctor Zavala , 200. zz D. Juan Hernández, 100. — D. Juan Anto…</t>
  </si>
  <si>
    <t>Murrai</t>
  </si>
  <si>
    <t>: Los regimien­ tos 4°, 42.°, 50 * y 87.°, y una parte.de la brigada de la guardia y del re^ gimiento 26° han sostenido lo más recio de la acción. El teniente coronel Murrai, qnartelmaestre general, y los oficiales del estado mayor hán hecho grandes servicios; y he sentido mucho que la enfermedad del brigadier ge­ neral Clint…</t>
  </si>
  <si>
    <t>Murulaz</t>
  </si>
  <si>
    <t>15 de julio de 1809</t>
  </si>
  <si>
    <t>Gaceta de Madrid n.º 196</t>
  </si>
  <si>
    <t>l exército se. ade­ caído en poder del exército francés ; disilanta para observar á Comorn. ¡ pando asi en una campaña de quatro dias Ayer mañana el .general Murulaz , á la á aquel exército presuntuoso, cuyoslgefes cabeza de i© soldados de caballería, ha en­ se lisonjeaban de eijccrjrarnos en /Zaragoza. trado en Weszprin, cer…</t>
  </si>
  <si>
    <t>Musnier</t>
  </si>
  <si>
    <t>e Algas se- apodera­ ron de toda ia plata que los franceses tenián ya inventariada en al­ gunas iglesias de la tierra-baxa del partido de Alcañiz. El general Musnier sintió en el almaque le arrebatasen de las manos esta presa, v reuniendo hasta unos 3 c) soldados de infantería y 80 de caballería de los que tenia en Alcañiz, C…</t>
  </si>
  <si>
    <t>Muuton</t>
  </si>
  <si>
    <t>Cubriéronse de gloria los y le d;Xo: ,, Dentro de una hora habréis fusileros de la guardia, mandados por el «•perdido al que muere con la g’oria y ei general Muuton, y arrollaron la reserva, «convencimiento de haber sido y de ser compuesta de todos ios granaderos del exér­ «vuestro mejor amigo.” cito austríaco , únicas tropas…</t>
  </si>
  <si>
    <t>Muzquiz, Ignacio</t>
  </si>
  <si>
    <t>Ignacio Muzquiz</t>
  </si>
  <si>
    <t>supremo de la Guer­ humillante; no os entreguéis como ciegos ra, y ex-virei del reino de Navarra; el á sediciones tan pérfidas como groseras; marques D. Ignacio Muzquiz, ex-embaxaabjurad un frenesí tan vano y ridículo; dor en la corte de París; D. Estanislao dé apreciad vuestra situación, que todos nues­ Lugo, del consejo de …</t>
  </si>
  <si>
    <t>N'ei</t>
  </si>
  <si>
    <t>u y Coldifigen i 10Ó161 fráncok dé rentaf el general Duroc, duque de Frioul, el bailiage de Stemhorst y parte del de Ratzeburgo, 83461 fran­ cos.: el mariscal N'ei, duque de Elcningén, el bailiage de Lauenburgo y otra parte del de Ratzeburgo,83031 francos: el mariscal Augereau , duque de Castillón, los bailiages &lt;Je Wisehhafe…</t>
  </si>
  <si>
    <t>N, J</t>
  </si>
  <si>
    <t>J N</t>
  </si>
  <si>
    <t>e Toledo.............. 200 2,100 LIBRO. Nueva canción patriótica dirigida á los soldados españoles con motivo de las victorias de los austríacos. Por D. J N. G. Se vende en el despacho principal de la Gazeta. SEVILLA : EN LA IMPRENTA REAI*</t>
  </si>
  <si>
    <t>Na'poleon</t>
  </si>
  <si>
    <t>Gaceta de Madrid n.º 228</t>
  </si>
  <si>
    <t>1019</t>
  </si>
  <si>
    <t>ngaña línea. — el que piense que el-gobierno ingles se pro­ El gabinete ingles ha creído qne ocu­ pone el bien de estos en ninguna de sus em­ pado el Emperador Na'poleon en la guerra presas. lo que si le importa mucho para de Austria, y llevadas la mayor parte de asegurar su despotismo en los mares y su las fuerzas de Francia…</t>
  </si>
  <si>
    <t>Na, Josef</t>
  </si>
  <si>
    <t>Josef Na</t>
  </si>
  <si>
    <t>este príncipe pasase la corona á la denciales en calidad de encargado de Nego­ Rusia, cuyo Monarea es de la misma, casa cios de S. M. cató.ica el Rei D. Josef Na­ que el de Suecia. poleón cerca de nuestra corte." Francfort 1,° de junio. Se dice que á consecuencia de un con­ venio entre los Emperadores Alexandro Hemos visto pa…</t>
  </si>
  <si>
    <t>Na, Luisv</t>
  </si>
  <si>
    <t>Luisv Na</t>
  </si>
  <si>
    <t>Alvarez de Perea s á Tenientes de navio los de fragata D. Jcsef María Tagle , D. Francisco Antolinez , D. Joan Dámelo,-D. Josef García Santa' María , D. Luisv Na vane te , D. Manuel de Luengas : á Al-* féreces de navio los de fragata D. Josef de Tiscar, D. Sal­ vador Spadafora , D. Manuel Díaz Herrera , D. Juan Du­ ran : á Al…</t>
  </si>
  <si>
    <t>Na-oíeon</t>
  </si>
  <si>
    <t>mucho la moneda de les, 4 sargentos y 114 soldados. La ciudad cobre, se ha dado orden en nombre de S. M. de Umea ha sido ocupada por nuestras tro­ el Emperador Na-oíeon para que puedan pas, y las avanzadas del general Wrede cambiarse en la antigua casa las cédulas de llegan hasta SaetVar. Las tropas i las órde­ banco por mone…</t>
  </si>
  <si>
    <t>Nadal, Pedro</t>
  </si>
  <si>
    <t>Pedro Nadal</t>
  </si>
  <si>
    <t>leses. El 27 de octubre fue el dia que entró el barco en el puerto } era uu bergantín de la matrícula de Mahon , nombrado la Purísima Concepción , su capitán Pedro Nadal. El Encargado de ne­ gocios de Francia en Constantinopla * á instancias de este Cónsul francés , pasó varios oficios al Ministerio Otomano para que se obliga…</t>
  </si>
  <si>
    <t>Nafarrondo, Joaquín de Uria</t>
  </si>
  <si>
    <t>Joaquín de Uria Nafarrondo</t>
  </si>
  <si>
    <t>ndez -de la Cuesta , con Dios y por la constitución del estado, REI dicho sueldo de ?i© reales. Para la de de las Españas y de las Indias. "Vizcaya á D. Joaquín de Uria Nafarrondo, He nos decretado y decretamos lo si­ con igual sueldo. Para la de Segovia á guiente : D. Jaime Amar, con el propio sueldo. Para ,,Por consecuencia…</t>
  </si>
  <si>
    <t>Nafoleoíj, JOSEF</t>
  </si>
  <si>
    <t>JOSEF Nafoleoíj</t>
  </si>
  <si>
    <t>UCION. Esta designación del Rei se presentará á las cortes para su aprobación. En el nombre de Dios todopoderoso: art. ni. La corona de las Españas y D. JOSEF Nafoleoíj, por la gracia de de las Indias no podrá reunirse nunca con Dios REI de las Españas, y de las Indias; otra en una misma persona. Habiendo oido á la junta naci…</t>
  </si>
  <si>
    <t>Nanclares, Jacinto</t>
  </si>
  <si>
    <t>Jacinto Nanclares</t>
  </si>
  <si>
    <t>o , al contado 5984, y 8976 al fiado, pertenecientes al cabildo de la villa de Escoriaza: otras dos heredades en el mismo lugar de la cape­ llanía de D. Jacinto Nanclares, al coatado 935, y 1402 y medio al fiado: en el Dectrana goza su cabildo varias heredades pertenecientes á las pias memorias de Simona de Lauda y capilla de…</t>
  </si>
  <si>
    <t>Nansomi</t>
  </si>
  <si>
    <t>rcito de Italia; y lia salido expuesta á cada Ynomento a los excesos de ya con el general MacdonalJ. un populacho desenfrenado, seducido por El señor general Nansomi , primer ca­ las tram.s secretas Je los ingleses; la publi­ ballerizo de S. M. I., lu partido de aquí camos, persuadidos de que su lectura aca­ para ponerse á la…</t>
  </si>
  <si>
    <t>Nansonti</t>
  </si>
  <si>
    <t>717 visión de caballería del general Nansonti. 3.0 Si tos oflciaIes.no se restituyesen en S. elogió el aire marcial y gallardía de el término prefijado, sus casas serán que­ .esta hermosa división, que después de una madas, y sus muebl</t>
  </si>
  <si>
    <t>Nansoudamente</t>
  </si>
  <si>
    <t>de Wagram ; porque entonces su línea, s^nberg por el Aanco con una batería de i a ya sumamente dilatada, ocupada acas era­ cañones de la división del general Nansoudamente y por la buena suerte de ios com­ ti. El hermoso cuerpo del duque de Auers­ bates , dexaba vagar los diferentes cuerpos taedt diú cuenta en menos de tres q…</t>
  </si>
  <si>
    <t>Nansouti</t>
  </si>
  <si>
    <t>Todos general de brigada Foulers fue muerto en los parques de reserva que venian desfilan­ un ataque. do hubieron de pararse en la orilla derecha El general Nansouti , coa la única bri­ por la rotura do los puentes, y lo mismo</t>
  </si>
  <si>
    <t>Napier</t>
  </si>
  <si>
    <t>ignoro pre­ cisamente su número, aunque no es grande. Muchos oficiales de graduación han sido muertos ó'heridos: por ahora no puedo citar mas que al teniente coronel Napier, del regimiento Q2."; los mayores Napier y Stanhope, del ,o.°, que lian sido muertos.: y heridos el teniente coronel Winck, del 4 i el teniente corone] Ma…</t>
  </si>
  <si>
    <t>ro Coohrane corrió también mucho riesgo. Entre tanto el enemigo destruía la- chalupa de guerra la Favorita , anclada en S. Pedro , que debía tomar el capitán Napier. El Almirante supo que la fragata enemiga 1» tritft tenia ófden de tomar la, vuelta á Ja isla del</t>
  </si>
  <si>
    <t>Napo</t>
  </si>
  <si>
    <t>o parece que estas quejas produxeron tinguirse la descendencia directa;masculina, mucho efecto quando las vemos repetidas natural y legítima de dicho príncipe Napo­ á poco tiempo, después en las corres de león Luis, ó en el caso que él ó ^us suce­ Burgos del año 1334 , donde se establecie­ sores sean llamados al trono en.virt…</t>
  </si>
  <si>
    <t>a , con todo, es obligación de buenos va­ diendo en casi todas nuestras fronteras, y sallos el acudir á la voz de su Soberano, en qú#¡t§;,M. mismo el Emperador Napo­ quando así lo exigen la individual y públi­ león dio' los mas positivos testimonios de ca seguridad , y la tranquilidad de los esta­ esta verdad. dos hereditario…</t>
  </si>
  <si>
    <t>703</t>
  </si>
  <si>
    <t>sencia de S. M. la abertura de los estados de Finlandia según la anti­ Munich 4 de mayo. gua costumbre. Principió esta ceremonia Se dice que S. M. el Emperador Napo­ por la celebración de los oficios divinos en león dirigió el discurso siguiente á las tro­ la catedral, á la que asistió el Emperador pas bávaras antes de la bat…</t>
  </si>
  <si>
    <t>e la Europa» estableciendo el poder político tanta condescendencia ; y esperaba haber' del Emperador Napoleón en toda la línea1 convencido á S. M. el Emperador Napo­ de Las fronteras occidentales y septentrio­ león de la lealtad de sus intenciones , de so nales de la monarquía austríaca. Volvieron deseo sincero por restablece…</t>
  </si>
  <si>
    <t>­ Austria. En España- se expidieron las pri­ truir los últimos medios que quedaban pa­ meras órdenes de armarse contra el Aus­ ra su conservación. El Emperador Napo­ tria» y el regreso del Emperador á Pa­ león no podía ocultar el verdadero fin de rís fue la señal para esparcir los escritos sus intenciones; y no hubiera tenido…</t>
  </si>
  <si>
    <t>842</t>
  </si>
  <si>
    <t>han permitido que los fran­ Esling, y las ventajas que ha producido á los ceses, que no pasan de 30O, se mantengan sin austríacos, han sido dexar al Emperador Napo­ ser inquietados en aquellas posiciones, y que león en pacífica posesión de la capital del Aus­ los demás cuerpos del exército del Emperador tria; el ocupar sus tr…</t>
  </si>
  <si>
    <t>al son de una música de una multitud preliminares, baxo las quales ha consentido de instrumentos, y al estrépito derepeti­ 'en el armisticio S. M. el Emperador Napo­ das salvas de artillería, la primera piedra dél león, son de la mayor importancia , y que puente Napoleón que se construye aquí tendrán grandes resultados. , sob…</t>
  </si>
  <si>
    <t>ia. , mucho agrado y afabilidad. En Ins interme­ Como mañaaa son los días de la Em­ dios el gran mariscal de palacio hace que peratriz de Austria, el Emperador Napo­ en los palcos se sirva de todo género de he­ león ha enviado á Cotnorn al señor ma­ lados y bebidas. En el teatro hai asientos riscal tiuque de Frío! á cumplimen…</t>
  </si>
  <si>
    <t>s hácia adelante. El que ha grande alegría. e.crito esto se había olvidado sin duda que A consecuencia de un convenio ajustado hablaba de saxones. El Emperador Napo­ entre S. M. el Emperador Napoleón y S. M. león nos ha hecho.mas justicia, quando nos el Reí de Saxonia, se cedieron al Rei los dixo la tarde misma de la batalla …</t>
  </si>
  <si>
    <t>pas turcas han pasado el Morawa por tres lacos de la división de Saint-Gir* Se brindó puntos, y han hecho algunas correrías en á la salud de 5. M. el Emperador Napo­ las aldeas vecinas*, uno de estos destaca­ león, y á la de S. M. el Reí de Saxonia, y mentos había llegado hasta Jakodina, lo á la de las naciones armadas para d…</t>
  </si>
  <si>
    <t>retardos que sufrió la remesa del nu­ tranquilidad y de felicidad. Como he que­ merario.” rido emplear todos los medios conducentes Del 21. S. M. el Emperador Napo­ á fin de lograr condiciones menos contrarias león salió de Schoetnbrunn el 16 al medio í los intereses del reino, ha sido preciso dia, y llegó á Passau el 18, don…</t>
  </si>
  <si>
    <t>también todos los edificios de de la mañana. Alguno* creen quejS. M. ha esta última cindad. mudado de camino, y que irá por Magun­ Hoi 21 SS. MM. el Emperador Napo­ cia á Amberes; lo qual, aunqne no es mas león y el Rei de Baviera han ido á caza á que probable, sin embargo hai ciertos indi­ una media legua de Nimpheubourg. ci…</t>
  </si>
  <si>
    <t>Ñapo, Josef</t>
  </si>
  <si>
    <t>Josef Ñapo</t>
  </si>
  <si>
    <t>los Corregidores* Alcaldes, y demas em­ pleados serán provisionalmente mantenidos en sus em­ pleos, y exercerán sus funciones en. nombre de S. JVL el Rey Josef Ñapo león : todas las actas del estado, civil serán. también hechas, en. nombre: cíe S.. M.. ARTICULO IV. Eos Militares de la guarnición * sea quali fuese sw grado y e…</t>
  </si>
  <si>
    <t>Napo, Josef</t>
  </si>
  <si>
    <t>Josef Napo</t>
  </si>
  <si>
    <t>s á proposito para dar una idea de las ventajosas reformas y favorables mudanzas que hizo en el gobierno del reino de Nápoles nuestro augusto Monarca D. Josef Napo­ león en los dos últimos años que le rigió, se vende en la imprenta real en un volumen en quarto español, á la rústica y á precio de 4 rs. , EN LA IMPRENTA REAL.</t>
  </si>
  <si>
    <t>ei ju­ tamento para socorro de los pobres de Ham­ ramento de obediencia y iidelidad á burgo un legado de 500© marcos de banco. S. M. católica el REI D. Josef Napo­ león I de todas las administraciones ci­ CONFEDERACION DEL RIN. viles y toda especie de empleados á pre­ sencia del Excmo. Sr. mariscal Lannes, Munich 8 de marzo. …</t>
  </si>
  <si>
    <t>Napo, Luis</t>
  </si>
  <si>
    <t>Luis Napo</t>
  </si>
  <si>
    <t>cionado el alojamiento para la guardia de la En defecto de descendencia masculina, batería de la izquierda de los Capuchinos. natural y legítima del príncipe Luis Napo­ ( Se continuará.) león , á los descendientes varones naturales y legítimos del príncipe Gerónimo Napo­ ESPAÑA. león , Rei de Westfalia. J En defecto de estos …</t>
  </si>
  <si>
    <t>Napoíeon</t>
  </si>
  <si>
    <t>le dé»ti¿pas aquella provincia. francesas , de las quales parre van á las fron­ Viena *&lt;T de. ¿gasto. teras del Tlrol, y-parte 3I ybralberg. Cien­ El Emperador Napoíeon pasó ayer re­ to y cincuenta hombres de caballería fran­ vista en Schoembrann á ona división de ca­ cesa, qne estaban aqui de guarnición, han ballería-.. Los …</t>
  </si>
  <si>
    <t>Nápoleoa</t>
  </si>
  <si>
    <t>de Schwarzen­ tria lá'nombrado al principe de Schwat- berg, nombrado embaxador de Austria cer­ zenberg su embaxador en París «n lugar ca de S. M. el Emperador Nápoleoa. del conde de Metternich, nombrado minis­ tro de Negocios extrangeros. El príncipe BAVIERA. de Schwarzenberg era antes de esta última Munich jo de octubre. gue…</t>
  </si>
  <si>
    <t>Napoleoir</t>
  </si>
  <si>
    <t>Ño contento todavía con todorestos ía-, entrar en concurrencia con-la* de las colo­ orificios, S. M. el Emperador Napoleoir. nias y-la c)e los-extrangeros', que estabas insistió poco después en qne cesase toda infinitamente menos sobrecargadas; Es cier­ relación diplomática y comercial con la to que los derechos</t>
  </si>
  <si>
    <t>Napoleón</t>
  </si>
  <si>
    <t>do de brillantes al ge­ tein, ministro de Estado del duque -de OI— neral Scharnhorst» y á los mayores Schoedemhoürg, ha recibido de parle dé S. M. el Emperador Napoleón una caxa magnífica Ier y Borstel *, y á los barones de Schladen adornada del retrato de este Monarca. El y Naguir la decoración de la órden de San­</t>
  </si>
  <si>
    <t>os santos libros nós suministran para con­ -Vamos , hijos mios, á continuar nuestra seguir este inestimable bien. Deum tímete : oración por el grande Emperador Napoleón, Regem honotificate: fraternitatem diiigite. por el católico Rei Josef, y por todas las Temed á Dios , carísimos , apartándoos del personas constituidas en di…</t>
  </si>
  <si>
    <t>el temor de iádíspoderse conla .Francia-des apartaba de tratar con la In­ glaterra: pues veian que se acababa la Turquía si perdía la protección del Emperador Napoleón, y preveían tam­ bién que la menor conexión con la Inglaterra cou.su maria la ruina de SU ; vacilante Imperio. ; En estas circunsta ncias los manejos y oro.- d…</t>
  </si>
  <si>
    <t>e colocó un gran les empleados del reioo, y retirarse á las cuadro, en el qual estaban representados el provincias meridionales para juntar allí tro­ Emperador Napoleón con trage imperial, y pas , y oponerse al exército de poniente y la nación polaca ofreciendo á su libertador al del norte. Estábamos en vísperas de ver el hoi…</t>
  </si>
  <si>
    <t>Gaceta de Madrid n.º 107</t>
  </si>
  <si>
    <t>perecido son Mr. de Zinzendorf , ministro de lo In­ á manos de los españoles, y que los exérterior , y el príncipe de Lichtenstein , los citos que el Emperador Napoleón tiene en quáles, sin poder atüfiJT con la verdadera Alemania y en Italia son poco numerosos, causa de este funesto desvario , se lamentan y compuestos de gent…</t>
  </si>
  <si>
    <t>gdrátatés áiaíS seguros de la victoria, es Fir­ austríaco son libelos. Asi no se ataca .&amp; Ibs; mado—z\ mariscal duque de Auerstabdt.:=; soldados del Emperador Napoleón.. Se nofr’ Por orden de S.--E’¿.«U'géóeVaI de división, amenaza con cubrirnos de oprobio sobre gefe del estadp qiiaypr_general, conde del los campos mismos de …</t>
  </si>
  <si>
    <t>stados, para los de Austria,. ALEMANIA, Altona 30 de marzo, En algunos papeles de Francia, de 2 r del corriente, se1 ve ya manifiesta la voluntad del Emperador Napoleón de sa proyecto de invadir el Austria : promete á sus soldados, que desde el momento, que pongan el pie en territorio austríaco,, recibirán sus pagas en dinero…</t>
  </si>
  <si>
    <t>spera mucho El encargado de Negocios de Francia de vosotros , y debeis exceder á sus espe­ Mr. Dodun , y los embaxadores de Baviera, ranzas. S. M. el Emperador Napoleón, pro­ de Wirtemberg y de VVestfalia, permane­ tector de la confederación del Rin, estará á cen todavía en esta capital. vuestra cabeza ; combatiréis á su vist…</t>
  </si>
  <si>
    <t>con mi corte, y temporales; y nada de esto hai entre noso­ de las intenciones de un todo pacíficas de tros. Y asi como no hemos reputado por S. M. el Emperador Napoleón; garantía providencia ofensiva la introducción de la que no ha podido dexar de ser creída en conscripción militar en el ducado de Var- Viena. Y si alli se hub…</t>
  </si>
  <si>
    <t>las leyes que al presente rigen en ella, á no ser qne S. AL Británica juague necesario hacer en ellas algunas alteraciaaes.__ Artic. IX. Para dar al Emperador Napoleón cuenta de la presente capitulación, saldrá inmediatamente un oficial francés en uno de lo» buques ingleses , que deberá conducirlo á qnalquierá de los puertos …</t>
  </si>
  <si>
    <t>Núm. 133* 6i9i GAZÉTA DE MADRID DEL SABADO 13 DE MAYO DE 1809. CIUDADES ANSEATICAS. nawert, en donde aguarda de un instante í otro á S. M. el Emperador Napoleón. Hamburgo iS de abril. Ayer por la noche se recibió aquí la no­ WURTEMBERG. ticia inesperada de qne los austríacos han declarado y comenzado la guerra el dia 9 Louisb…</t>
  </si>
  <si>
    <t>de la declaración Tajo, y un canal que comunicase con él que S. M. el Emperador de Austria ha re­ desdé Madrid á Atanjuez." Pues si un tro­ mitido al Emperador Napoleón, he recibido zo de canal de 7 leguas escasas, y-la nave­ yo orden de entrar en Baviera con las tro­ gación de un solo rio, que nace y corre en pas de mi mando…</t>
  </si>
  <si>
    <t>rrencia de ¿cómo es que no lo ha hecho saber? V. E. Trieste , y tengo por excusado pediros sa­ no me ha dicho nunca cosa alguna sobre tisfacción ; el Emperador Napoleón cree po­ este punto, y en Viena tampoco se ha di­ der aguardarla del Emperador Francisco, cho nada de ello al general Andreossi,' y tan cumplida , qual gustar…</t>
  </si>
  <si>
    <t>dor mi amo; no puedo menos de de Rocca, de Anfo y de Verona, y se congratularme por el modo con que S. . • habia reunido ya con las tropas bávaras eL Emperador Napoleón ha recibido mis es-</t>
  </si>
  <si>
    <t>y amigos , si no proporcionasen á mi Nota del señor conde de Chainpagni al corte una nueva ocasión para probar á S. M. señor conde de Metternich. el Emperador Napoleón, que nunca se en­ Paris io de marzo de s8q&lt;}. El ¿a-</t>
  </si>
  <si>
    <t>pie de todas las resoluciones conducentes para ex­ guerra. terminar esta canalla, y auxiliar por todos lista resolución ha disgustado y afligi­ do al Emperador Napoleón. Los armamen­ los medios posibles á las tropas francesas que tos del Austria, la conducta poco amisto­ andan en su persecución; las quales en efec­ sa de sus …</t>
  </si>
  <si>
    <t>se ble á cansa de una larga conversación de eirá disponiendo para regresar á su capital. S. M. con el embaxador de Austria , y que Asi pues S. M. el Emperador Napoleón ha quisiera yo poder referiros, por lo menos sobrepujado sus promesas hechas al Rei en, la sustancia de ella. la noche del 17, al pasar por Dillingen, de ti: C…</t>
  </si>
  <si>
    <t>posición que ha escogido preci­ Numero r2." samente para no estar en parte ninguna , ni en su capital para gobernar sus estados, ni Carta de S. M. el Emperador Napoleón en el campo , en donde no hubiera servido d los Reyes de Haviera, de Saxoma, de Wesífalia , de Wurtemberg , al gran mas que de engorro embarazoso. Es difícil …</t>
  </si>
  <si>
    <t>4V9 jl .tal Emperador Napoleón que se espera !a límana próxi­ ma. Sü recibúniert&gt; s.rá ostentoso , al que concurrirán mu­ chos forasteros; con cuyo motivo adornan los aposentes en las hosterías y casas particulares. El rey de Baviera h</t>
  </si>
  <si>
    <t>davía noticia nin­ francesa estaba ayer mañana eu Wogla- guna en Viena. bruck en el territorio austriaco. El ministro. De esa manera debo de S. M. el Emperador Napoleón ha man­ esperar,, señor embaxador , que el correo os dado que se forme un io.° cuerpo de exér- traerá la noticia de haberse reprimido aque­ llos atentados, de…</t>
  </si>
  <si>
    <t>24 de mayo de 1809</t>
  </si>
  <si>
    <t>Gaceta de Madrid n.º 144</t>
  </si>
  <si>
    <t>677</t>
  </si>
  <si>
    <t>ar sin Rei ni go­ nuestro aliado &gt; que está ya en el campo de bierno ; y no dechirámk)se enemigo sino del batalla para rechazar al enemigo, para con­ Emperador Napoleón , cree separar nuestra duciros á la victoria, y para devolveros eu - causa de la de nuestro bienhechor, á quien k.fin una tranquilidad solida y duradera, se­ …</t>
  </si>
  <si>
    <t>DEL JUEYES 25 DE MAYO DE 1809. m AUSTRIA. entrado ya en el ducado ; y el día 18 salió otro correo para Petersburgo. Y. Polten € de mayo. DALMACIA. El Emperador Napoleón ha puesto aquí hoi su quartel general, y ya no dista sino 1 5 Zara i¡ de abril. leguas de Viena. El enemigo , cuya derrota es completa, parece que ha abandona…</t>
  </si>
  <si>
    <t>; todos ellos ma­ se conformen con él en sus operaciones nifiestan el mas profundo reconocimiento parciales. Este en la España, país á quien hacia el Emperador Napoleón por la gene­ la naturaleza ha destinado á ser agricultor, rosidad que mostró en la última guerra con y donde la labranza está todavía mui atra­ la capital y p…</t>
  </si>
  <si>
    <t>rano quatro hermosísimos tropas no está nunca asegurada; fomentar caballos , que le envia de regalo S. M. el por medios legítimos los adelantamientos Emperador Napoleón. útiles á la agricultura, los artefactos y e[ Se cree que el dia 3 del mes próximo comercio interior y exterior; favorecer de Se celebrará el matrimonio de la…</t>
  </si>
  <si>
    <t>ete , portador de nuestros triunfo): veamos en ellos una prue­ una carta del Emperador de Austria para ba de aquella justicia divina , que castiga el Emperador Napoleón, en la qual Fran­ al ingrato y al perjuro. = Firmado — cisco n supiicaba en términos humildísimos ÍOLEON.’* á su vencedor, que se dignase concederle En cumpli…</t>
  </si>
  <si>
    <t>e los franceses. Pero por des­ gracia han sido inútiles todos mis esfuerzos. La Monar­ quía Austríaca se había de someter á la ambición ilimitada del Emperador Napoleón ; y así como se ha empeñado en sojuzgar á la España ; ha insultado á la sagrada Cabeza de la Iglesia ; ha usurpado las provincias de Italia } y ha despedazado…</t>
  </si>
  <si>
    <t>do soldados mis A provechándose Thugut de la confianza aguerridos y valientes; que el amor que que en tiempos pasados habia tenido con e! profesan al Emperador Napoleón triplica Emperador, se tomó también la libertad de y quadruplica sus medios de hacer la guer­ representarle sobre esto repetí las veces. ra ; que la caballerí…</t>
  </si>
  <si>
    <t>sus contrar sus tropas en la parte dei Friul , situa­ -secuencias extendía de un solo golpe el da en la orilla derecha del Isonzo, se apo­ poder del Emperador Napoleón hasta las deró en la realidad de un territorio que, fronteras y á lo interior del Austria; y por ei trztida de Presburgo , pertenecía al aunque por la paz de P…</t>
  </si>
  <si>
    <t>’e Alemania, y el redac­ viera para indemnizarse de las pérdidas que ha­ tor del manifiest - c-'-vicne en ello, puesto que bía sufrido en Italia. El Emperador Napoleón dice que S. Al. J. R. y apottólica había pre­ fue el único que conservó la existencia de este venido toda demanda de renuncia. El Empera­ estado que peleó cont…</t>
  </si>
  <si>
    <t>las relaciones dejeaba todavía poder conseguir el premio de la Europa» estableciendo el poder político tanta condescendencia ; y esperaba haber' del Emperador Napoleón en toda la línea1 convencido á S. M. el Emperador Napo­ de Las fronteras occidentales y septentrio­ león de la lealtad de sus intenciones , de so nales de la m…</t>
  </si>
  <si>
    <t>varios &lt;do­ monarquía austríaca. La gu-errá con esta po­ cumentos que se irán ¿asertando ‘sucesiva­ tencia no ha impedido ni impedirá que el mente. ) Emperador Napoleón envíe á España nuevos ESPAÑA. exércitos si se consideran necesarios; y en efecto varios cuerpos han entrado reciente­ Madrid 6 de mayo. mente en Cataliiña par…</t>
  </si>
  <si>
    <t>Gaceta de Madrid n.º 163</t>
  </si>
  <si>
    <t>stos llamaron 3374 cañones , 61 de fundición, y los de­ en este tiempo gran parte de las fuerzas de mas de hierro , sin comprehender los que S. M. el Emperador Napoleón á la extre­ *e han arrojado al mar con los diferentes midad de la Europa; si el gabinete de las transportes; 17463 fusiles, 12042 prisio­ Tullerías halló en e…</t>
  </si>
  <si>
    <t>es de la corte de Vte­ tingentes; las tropas acantonadas ep Franna. En recompensa de este reconocimiento cia ó en marcha para España se dirigieron el Emperador Napoleón prometía retirar hacía el Rin y á Alemania ; fueron llamados sus tropas de la Silesia prusiana, y acanto­ los conscriptos para completar los arma­ narlas en l…</t>
  </si>
  <si>
    <t>rá com­ voluntad extrangera, tenia el derecho de pleta su satisfacción si tiene el gusto de ver esperar que semejante estado de cosas ser­ á S. M. el Emperador Napoleón resolverse viría para consolidar la tranquilidad del á no usar en adelante de su poder sino en conrinente , lejos de turbar su reposo; pero los límites compat…</t>
  </si>
  <si>
    <t>779</t>
  </si>
  <si>
    <t>os otros para conservar la tranquilidad y la paz que diarios aseguran que el Emperador. Alexan- la divina Providencia nos ha concedido con dro y . el Emperador Napoleón han de te­ preferencia á otras naciones. 1 al es y será ner una nueva conferencia verbal; pero no siempre nuestro destino. convienen sobre el objeto de ella. …</t>
  </si>
  <si>
    <t>Gaceta de Madrid n.º 170</t>
  </si>
  <si>
    <t>retensio­ conducta tan inquietadora ; y lo que en nes; pero no fueron admitidas. ÍLa vplun— tpnces pasó en Alemania dió.á conocer los tad expresa del Emperador Napoleón ; la verdaderos motivos de semejante proceder. indicación de mayores males , si este no se El .tratado de Presborgo había ocasio-' llevaba con resignación; la…</t>
  </si>
  <si>
    <t>e los en un momento tan arriesgado, el reposo derechos mas sagrados del Soberano, ó de de su monarquía, quanto que los sucesos los particulares, y el Emperador Napoleón, anteriores, y el carácter siempre uniforme con el título de Protector, se declaró gefe de un gobierno , debían apartar para siempre supremo de esta liga. de …</t>
  </si>
  <si>
    <t>solución durante el curso trono á que jamas podia haber aspirado. De de esta guerra, encontró aun en el mismo aquilas mercedes henriqueñas, que hasta Emperador Napoleón un panegirista for­ en el lenguage del pueblo significan viciosas zado. (Se continuará.) y nulas, como el múrno Henrique lo de­ claró en su testamento, con la…</t>
  </si>
  <si>
    <t>8oo te mandado por el Emperador Napoleón , se Dios y por ta constitución del estado, REI hubo disminuido ya el comercio del Aus­ de las España* y de las Indias. tria; sin embargo, la providencia que se Hemós decretado y decretamos</t>
  </si>
  <si>
    <t>l 3. 0 4. 0 y 0 cuerpos del exército y i.° de la reserva. El enemigo estaba apostado cerca de Ratisbona, y se­ gún los informes de los prisioneros el Emperador Napoleón habia llegado á su exército el 19. El Generalísimo ha hecho desde el Iser hasta el otro</t>
  </si>
  <si>
    <t>, y Klaster-Rod. El enemigo vino á su? encuentro, 5 se empeñó un combate bastan-te vivo; pero nuestro exército. quedó dueño, del campo de batalla. El Emperador Napoleón hizo, los mayores esfuer­ zos y sacrificó mucha gente para impedir que avanzase el tercer cuerpo de exército, y; para marrtenerse en los desfila­ deros de Aba…</t>
  </si>
  <si>
    <t>r la in­ de pena el servicio de las armas , quedan dependencia de sus estados , fueron consi­ enteramente derogadas y sin observancia. deradas por el Emperador Napoleón como art. 11. No condenarán en lo sucesivo otros tantos preparativos contrarios al plan los jueces y tribunales al servicio miiirar que tenia formado desde mu…</t>
  </si>
  <si>
    <t>ón; su su­ empresa, estando mandado por el general cesor lo tenia en Berlin con la plaza de Kosinski , cuyo denuedo y patriotismo son cronista , y el Emperador Napoleón no de- bien conocidos. El coronel Stuart y el ge­ xó de discernirlo como una de las mas pre­ neral de brigada Miguel Dombrowski lian ciosas conquistas que hab…</t>
  </si>
  <si>
    <t>El Emperador Napoleón» en el tiempo ciones las relaciones mas íntimas con la que permaneció en Erfurt» no dexó de en­ Francia; pero era vana esta esperanza, trever sobre eí verdadero estado de los ne­ puesto que S. M. no llevaba otra intención gocios esperanzas mas lisonjeras. Sus discur­</t>
  </si>
  <si>
    <t>serva, tuvieron ocupada: 4 Ratisbona y las altu­ ras , en que el enemigo estuyo apostado em eb dia^&amp;e la batalla. ’ • ' /'L/i. *4 . T lo ; " •* -ó El Emperador Napoleón había venido Con refuerzos considerables , principalmente j en1’ caballería J"'y- tropas de Badén y Wurtemberg , .y al mohiento tomó el •mando-ge-</t>
  </si>
  <si>
    <t>l otro de K#- sentimiento del gobierno, y este espíritu rugsberg ; y ambos han ¡do al quartel gene­ Lace tantos progresos , que los mismos bosral del Emperador Napoleón. niacos amenazan tomar las armas para te­ ner parte en la victoria y en el botín con Lud'wigsburgo tí de junio. los insurgentes de la Croacia turca.” El Rei h…</t>
  </si>
  <si>
    <t>mparcialidad y buena fe, y esto da honor cia (2). á todo hombre___ Si los pueblos se persua­ Gratis. = En la imprenta real de la ga­ diesen de que el Emperador Napoleón dará zeta. la leí al Austria, y que la Rusia va ínti­ Numero 2.0 mamente unida y mui de acuerdo con la Francia, á no haber perdido el juicio, re- Gazeta extra…</t>
  </si>
  <si>
    <t>s esto cipe de Ponteeori-o, está perfectamente bueno, es cabalmente lo que hubiera necesitado hacer y ha verificado su reunión con el exército del ei Emperador Napoleón para avanzar desdo Emperador con su cuerpo de 40D hombres. Ratisbona hasta Viena, después de haber sido (4) Aunque no se dice qué conducto sea vencido. Pero y…</t>
  </si>
  <si>
    <t>23 de mayo, sobre la bri­ llante victoria ganada por las armas austríacas en los días 21 y 11. En los dias 19 y 20 pasó el brazo mayor dél Danubio el Emperador Napoleón con todo su exército, al qual había reunido todos los refuerzos de sus poderosos aliados; y es­ tableció el grueso de su exército en la isla de Lcbau, des­ de…</t>
  </si>
  <si>
    <t>••• .-v? ~ tmiá tentativa, y han sfcio sacrificados/' . Qla. salida dk£ correo, el Emperador Napoleón se reti­ raba con la mayor precipitación al otro lado del Danubio, cubriendo su retirada con la posesión de la isla grande de ÍLobau^y nuestro exército le seguía los alcances. Luego que se recojan los detalles de esta memorab…</t>
  </si>
  <si>
    <t>876</t>
  </si>
  <si>
    <t>alió de alli S. M. I. y R. apostólica deseaba, y aun estaban enteramente construidos los puentes no duda decir que esperaba encontrar en que S. M. el Emperador Napoleón ha man­ esta comunicación palabras de paz, que pu­ dado echar sobre el Danubio. diesen conciliarse con los movimientos y la El Rei de Westfalia ha entrado ya …</t>
  </si>
  <si>
    <t>13 de julio de 1809</t>
  </si>
  <si>
    <t>Gaceta de Madrid n.º 194</t>
  </si>
  <si>
    <t>lidad de los males que acarrea , debería ir salido de Estockolmo para el quartel gene­ siempre unida á su nombre. ral de S. M. el Emperador Napoleón. WESTFALIA. CONFEDERACION DEL RIN. Cassel 2 a de junio. Nuremberg 13 de junio. El monitor westfaliano contiene hoi el El pequeño cuerpo austríaco que había artículo siguiente: . …</t>
  </si>
  <si>
    <t>r sublevaba el Tirol, y sorprehendia 700 conscriptos franceses que iban Mi amado hermano: á Augsburgo , en donde se Hallaban sus re­ He sabido que el Emperador Napoleón gimientos , y que marchaban con la segu­ ha declarado al marques de Chasteller co­ ridad que da la paz. Precisados á entregar­ mo indigno del derecho de gente…</t>
  </si>
  <si>
    <t>n animaba á la en guerra, y quando la Eui¡opa arde en el asamblea, el de un vivo reconocimiento fuego de la discordia, la confederación está hacia el Emperador Napoleón , á quien de­ ella misma asombrada de la felicidad y be la Suiza su prosperidad presente y el tranquilidad que goza. No podemos dexar mantenimiento de su neut…</t>
  </si>
  <si>
    <t>sula para ir á su socorro, ó quando me­ .mayores calamidades, ni á que tal vez, pro­ nos que se vería en la imposibilidad de re­ vocando el enojo del Emperador Napoleón, forzarlas, haciendo bastante en defenderse nos prive de los beneficios que ha propor­ ale los austríacos. A la verdad que los pue­ cionado á la patria. Si nu…</t>
  </si>
  <si>
    <t>de Znaitn en la Moravia , el Emperador de Austria ha suplicado al Emperador Napoleón que suspendiese el fuegot y que escuchase sus proposiciones. El Emperador Napoleón , siem­ pre grande y generoso , lo ha concedido todo. Se ha ajustado un armisticio. Se asegura que están acordados los preliminares de.la paz. El Emperador Nap…</t>
  </si>
  <si>
    <t>a no lleva tropas úe tierra, sino marinos sola­ á tomar posesión de las dos Gallitzias en mente. Estos son los que han desembarca­ nombre de S. M. el Emperador Napoleón, do en Cuxhawen, y se han llevado los ca­ y poner por todas partes las águilas del im­ ñones que habia allí: saltan en tierra du­ perio francés en lugar de la…</t>
  </si>
  <si>
    <t>rten T4 de julio. Silesia. El Rei de WUrtenífjerg há llegado ayer ,E1¿ príncipe Poniatowski ha recibidpdel aqui. La guardia de á caballo ha seguido á Emperador Napoleón una carta' mui expre­ S. M.; la de á pie ha entrado en Altdorf. siva, en la qual S. M. le manifiesta su satis­ El ségnndo'bátallón del regimiento del prinfacc…</t>
  </si>
  <si>
    <t>Múm. &gt;19. 981 DEL DOMINGO 6 DE AGOSTO DE 1809. RUSIA. que el Emperador Napoleón ha alcanzado eo los dias ji y 6 de este mes han causado Petertburgo jo de junio. aquí tan grande júbilo» que nos han hecho Nuestro gobierno no cesa de dar prue­ olvidar de Cuxhaven y de los ingleses. Eo bas las mas pateotes de la protección que Cu…</t>
  </si>
  <si>
    <t>icial,¿saxesn? con. granjppnipa á la basifica de Santa Ma­ con pliegos para s-u Soberano remitidos por ría la Mayor, y los funerales se celebraron el Emperador Napoleón, que le participa- el dia ó en la capilla perteneciente á esta ba en ellos ia noticia del 'armisticio', se ha ilustre familia. EL general conde Miollis.el emp…</t>
  </si>
  <si>
    <t>: ni el ruido de grandes mariscales del imperio , ni el atractivo de tí­ tulos é intereses obrarán en mi corazón , ni en ei de mis soldados. Podrá el Emperador Napoleón penetrar hasta la Hungría ; reu­ nirse con el exército Franco-italiano , podrá hallar en España al­ gunos xefes indignos que le vendan su patria ; pero la Aus…</t>
  </si>
  <si>
    <t>1 DE AGOSTO DE 1809. RUSIA. de esta potencia. Réuníéndosele las tropas que apronta la Gallitzia asciende á ioo3 . Petersburgo $ de julio. hombres. El Emperador Napoleón les su— El-conde de Kotschnber, ministro qne ministra armas, delasquales la mayor par­ fae del Interior , ha vuelto ya á esta capi­ te se sacan de los arsenal…</t>
  </si>
  <si>
    <t>de este mes, dado en Interesan esencialmente á la religión, y por el campo imperial de Wolkersdorf, S. M. otra parte conciernen al mismo tiempo al el Emperador Napoleón ha fizado del modo estado y á las relaciones civiles de los ciu­ siguiente las contribuciones do guerra, que dadanos, no podrán ser decididos por el deben pag…</t>
  </si>
  <si>
    <t>misticio en el de que el dia 26 de julio han quedado es­ día 16. Los rusos se han apoderado á nom­ tablecidas las basas de la paz. También ha bre del Emperador Napoleón de todo el pa- entregado á 5. M. el Reí de Saxouia una latinado de Leopoldo , habiéndose retirado caru tnn¡' lisonjera de parte de S. M. el de allí precipitad…</t>
  </si>
  <si>
    <t>n dias en el mayor apuro, y no tardará en rendiría. hallado en esta campaña , cómo en la última de (3) La Rusia cada día da mayores pruebas Zna¡m;yci Emperador Napoleón ha confiado i de su firme adhesión á la causa de la Francia. su cuidado la guarnición de la importante plazn Excusado es que insistamos mas sobre este par­ de…</t>
  </si>
  <si>
    <t>aciados países donde penetran sus huestes destructo­ ras y asesinas. Idem ; 18 de julio. S. M. el rey de Westfalia ( Gerónimo ) ha recibido orden del emperador Napoleón , de dirigirse á Praga, capital de la Bohemia, con todo su cuerpo de exército. Esta dis­ posición debe haber sido efecto de algún artículo adicional al tra­ t…</t>
  </si>
  <si>
    <t>do po­ tregado á las tropas francesas en virtud del sesión de la ciudad de Cracovia en nombre armisticio, es el castillo conocido bazo el de S. M. el Emperador Napoleón. Este ge­ nombre de Spielberg, al pie del qual está neral ha publicado el 16 ana orden del dia situada la ciudad de Brunn. En esta forta­ anunciando la cesaci…</t>
  </si>
  <si>
    <t>es­ Viertas* de agosto. pués de esta acción el coronel polaco con­ tinuó su marcha hácia la Moldavia. Acaba de publicarse la siguiente orden S. M. el Emperador Napoleón ha nom­ del dia. brado miembros de la legión de honor á los ,, Quartel general de Schoenbrunn 8 de generales polacos Bronikowki, Fischcr, Kaagosto de 1 §09. E…</t>
  </si>
  <si>
    <t>entre Francia que mas importa para la tranquilidad pú­ ^ Austria, recibida en Londres el 26 de blica. jaliof ha causado en el partido ministerial El Emperador Napoleón pone una aten­ 1» mayor consternación , la qual no puede ción particular en todo lo que puede ser minorarse con la esperanza de un buen éxi­ útil á los vienese…</t>
  </si>
  <si>
    <t>es, hai uno que aca­ pital es Ulma, será cedido con esta ciudad ba de publicarse sobre ios grandes planes al Rei de Wirtemberg, y que en adelante del Emperador Napoleón , el quat anda en será el Brentz la línea de demarcación entre manos de todas las clases de ciudadanos, los reinos de Baviera y de Wirtemberg por que le compr…</t>
  </si>
  <si>
    <t>xi39 Puente nuevo nn obelisco de granito de ESPAÑA. Cherburgo de i8o pies de alto con esta inscripción : El Emperador Napoleón al Madrid 13 de setiembre. pueblo francés. Extracto de las minntas de la secre taría 2. a En los costados del obelisco estarán de Estado. representados todos los hechos que han hon­ En nuestro palacio…</t>
  </si>
  <si>
    <t>n gran AUSTRIA. rodeo y pasar por la Silesia austríaca para llegar á su nuevo destino. Yiena 94 ele agosto. Lo*. habitantes mas distinguidos de VieEl Emperador Napoleón ha regalado al na solicitan á porfía el honor de asistir al’, señor conde de Bubena (1) un caira con su teatro francés de Schoembrunn. S. M. el¡ retr tro valu…</t>
  </si>
  <si>
    <t>II$0 dnce sin duda i lo que contiene ah artículo efectos de la benéfica influencia de la pre­ de la gazeta de Viena de ayer, el qual di­ sencia del Emperador Napoleón. Los víve­ ce asi: res están mas abundantes que nunca; son Cotnorn tGde agosto. s„ S. M. I. y A. mas sanos que antes &gt; y se venden con mas ha nombrado al conde …</t>
  </si>
  <si>
    <t>al ma­ reuth. yor general Makeosie y al brigadier general Escriben de Vierta , con fecha del 21 dd Langwerth. agosto,. las noticias siguientes: n El Emperador Napoleón hace frecued- HOLANDA. tes salidas por las cercanías de Schoem’brunn, y últimamente ha recorrido las Amsterdan jo de agosto. montañas vecinas. Se ha formado un…</t>
  </si>
  <si>
    <t>, en las qudes se han El regreso de! contra-almirante sir Sidnei cantado cancioncitas en elogio de S. M. el Smith del Brasil ha silo motivado por el Emperador Napoleón. mal estado dé su salud. La esqnadra-que ha quedado allí se compone de cinco navios de CONFEDERACION DEL RIN. línea: y algunas fragatas, ai mando del almi­ ‘ K…</t>
  </si>
  <si>
    <t>os cuerpos de guardias na­ aliados, y efecto de grandes pérdidas y ce­ cionales; escogidas: en este mismo momento siones por parte del Austria. V■ el Emperador Napoleón recibe en Viena la Ahora bien: los españoles que tanto agradable nueva de haber sido rechazado hablan exigerado el poder de esta potencia en las costas de Ñap…</t>
  </si>
  <si>
    <t>cartas de Viena y de Praga no no» refieren nada de positivo. Un velo espeso "Vierta 3 de setiembre. cubre las negociaciones de paz, qne contiS. M. el Emperador Napoleón llego aquí utian coa suma actividad. anteayer á las quatro de la tarde de Pres— burgo. Mañana habrá función en el teatro BA VIERA. de Schocinbrunn. El señor B…</t>
  </si>
  <si>
    <t>rador de todas las Rusias, buye con 3® hombres, que dentro de po­ -por sn augusta familia, por su ilustre alia­ co se reunirán en Caen. do y amigo el Emperador Napoleón, por El domingo último 3 del corriente salió la alianza de los dos Emperadores, y por la de Versalles para Ostende un batalhtn de paz general, que ha de ser e…</t>
  </si>
  <si>
    <t>que el señor han mandado á sus súbditos que traten ami­ conde permanecerá cerca de la persona de gablemente á todos los vasallos de S. M. el S. M. el Emperador Napoleón. Emperador de los franceses » Reí de Italia. S. E. el señor dé Champagni perma­ Un correo torco ha esparcido» al pasar nece todavía en Altemburgo, en donde se…</t>
  </si>
  <si>
    <t>nsiones con fuertes amenaaas, las qui­ los parece que han hecho gran sensación en Lint? ¡ de setiembre, el diván. Las consecuencias de este proce­ El Emperador Napoleón acaba de pasar der violento de la corte de Londres no revista á las divisiones qoe forman el exérpueden menos de ser de grande importan­ citB^de Italia «o la …</t>
  </si>
  <si>
    <t>todavía aquí, pasado cierto tiempo se considerará él reo y aun. continuará algunos días cori permi­ como degradado, y se procederá , sin ibis so del Emperador Napoleón. dilación, á la execuciou de la sentencia. Las célebres cantarínas Mildcr y Cam- El gobierno bávafo se ha interesado vipí se han ajustado, según se dice, para …</t>
  </si>
  <si>
    <t>Lintz 12 de sctitmbre. Attgsburgo ir de setiembre. He aqui algunos pormenores relativos Ha llegado aqui de Lintz un transporte al vlage que S- M. el Emperador Napoleón mui considerable de prisioneros de guerra ha hecho á Hungría el día 31 del mes an­ austríacos naturales de la Gallitzia, y van terior. S. M. salid de Schoembra…</t>
  </si>
  <si>
    <t>1237</t>
  </si>
  <si>
    <t>ueden ser nunca ame­ davía si es mercante ó de transporte. nazadas impunemente. AUSTRIA. ESPAÑA. Vietta de setiembre. &lt; Madrid j de octubre. S. M. el Emperador Napoleón salid ayer Continúa el extracto de las gacetas do de aquí para Brunn. Es verosímil que S. M. Sevilla. va á visitar el campo atrincherado que hai en las inmedi…</t>
  </si>
  <si>
    <t>s­ ro Andrés Hofer, caudillo de los montañe­ gracia acaecida á sus exércitos ó á ¡os de ses dej Tirol, prueba que los agentes secre­ sus aliados? ¿El Emperador Napoleón ha­ tes querían dar á esta guerra de los rebel­ brá pulverizado al Austda? Es preciso que des el carácter religio&lt;o que de mucho el gabinete de Saint Jumes ha…</t>
  </si>
  <si>
    <t>ena y dem?s puntas del Austria, y par» ojos de qualquiera que la lea con la mas míni­ contener el exército del archiduque Carlos* ma reflexión. Si el Emperador Napoleón salió compuesto de 90© hombres por lo menos, pe­ tari descalabrado de la batalla de Aspern, que dieron todavía invadir la Hungría, bombardear es la misma que …</t>
  </si>
  <si>
    <t>ue la Emperatriz de Pero con el fin de precaver los peligros á Austria se sentía algo aliviada. que están expuestos los que se atreven á se­ S. M. el Emperador Napoleón, que sa­ mejantes pruebas, el señor Degen añadirá lió de aqui el 15 para Brunn, ha regresado á su máquina un pequeño globo, que en ca­ á Schoembrunn hoi á las…</t>
  </si>
  <si>
    <t>uiente: cula quando se trata de dar pruebas de celo j SÍ no ha habido conferencia ninguna es de amor hacia su patria. La expedición no po­ 'porque el Emperador Napoleón no ha que­ día dar i los ingleses mas que la vergfíenza d» rido tenerla. La primera en que el Emperador haberla emprendido, ni podia tener otro resul­ había d…</t>
  </si>
  <si>
    <t>IA. ticular de Quebec, en el Canadá, con fe­ cha del 3 de julio. Brunn ( en Mor avia ) 19 de setiembre. i, Acabamos de fundar una nueva ciu­ S. M. el Emperador Napoleón llegó aquí dad en la confluencia de los rio* de Chauel día 16, y se apeó en el palacio de los es­ diere y de Sain-Laurear. El magnífico fon­ tados. Al dta sig…</t>
  </si>
  <si>
    <t>las tropas de art. ir. En las aprehensiones de géneros las tres naciones francesa , polaca y saxona. de ¡lícito comercio se extenderá la confisca­ El Emperador Napoleón ha dado al se­ ción á quantos efectos del mismo dueño le* ñor de Czernitschew» edecán del Empera­ acompañaren, siempre que el valor de los dor Alexandro, la c…</t>
  </si>
  <si>
    <t>30 de octubre de 1809</t>
  </si>
  <si>
    <t>Gaceta de Madrid n.º 304</t>
  </si>
  <si>
    <t>del Dase también por seguro que ya están pron­ Tirol. tos los tiros en todo el camino para el re­ Las tropas gallitzianas hacen desde el 30 greso del Emperador Napoleón. Esta noche de setiembre el servicio de la plaza de Augs­ hai función en el teatro de Schoeabrunuj burgo , y diariamente reciben refuerzos con y muchas person…</t>
  </si>
  <si>
    <t>Austria por el espíritu público de que están animados. Mis plenipotenciarios , añade el empera­ dor Francisco, han entablado conferencias con los del emperador Napoleón.... El valor inalterable, el patriotismo de mis tropas, y la promesa que han manifestado de no dexar las armas de sus manos hasta obtener condiciones honrosas…</t>
  </si>
  <si>
    <t>eral francés. UD3 diversión en favor'del Austria? No; r Han llegado ya aquí mas de 30 carros el Austria habla abandonado ya el campo de equipages del Emperador Napoleón que de batalla ! Pero el exército estaba reunido, vuelven á Francia. y se creyó que podia servir para un nuevo arreglo del gabinete proyectado, porque el •GRA…</t>
  </si>
  <si>
    <t>ya en Lintz y en Braunau. DINAMARCA. Del dia _9- Hace qnatro dias que salie­ ron de aquí los tiros para conducir á S. M. Copenhague 3 de octubre. el Emperador Napoleón, y han ido á apos­ Mr. Adams, ministro de los Estados- tarse en el camino de Lintz. La compañía Unidos cerca de la corte de Rusia&gt; ha lle­ de artilleros france…</t>
  </si>
  <si>
    <t>aqui para un magnífico baile. Paris dos correos turcos. Diariamente están En virtud de un decreto de S. M. el llegando de Francia destacamentos mas ó Emperador Napoleón se ha mandado en las menos considerables de soldados austríacos dos Galljtzias suspender hasta la paz, y que vuelven á su patria. hasta el arreglo definitivo …</t>
  </si>
  <si>
    <t>12 de noviembre de 1809</t>
  </si>
  <si>
    <t>Gaceta de Madrid n.º 317</t>
  </si>
  <si>
    <t>o que ha de traer la noticia y estarán aqui la semana próxima. del momento preciso en que ha de llegar Del 18. Anteayer llegó aqui otro des­ S. M. el Emperador Napoleón. tacamento de la gendarmería de la guardia, El Rei de Baviera ha enviado al conde que vuelve de Viena y va á Francia. Xessling, caballerizo mayor, á Passau, p…</t>
  </si>
  <si>
    <t>428</t>
  </si>
  <si>
    <t>cta consideración , etc.—Cristiano, príncipe de SchlesvvigHolstein.” En el diario político de la misma ciudad se ha publicado tam­ bién una carta del emperador Napoleón al duque de Sudermania; hoy dia el rey Cárlos XIII, que es como sigue. “Señor hermano , he recibido la carta de V. A. R. de 17 de marzo. Teneis razón de creer…</t>
  </si>
  <si>
    <t>guerra. Los artículos mas importantes contenidos en estos papeles son los si­ guientes : “Francfort l.° de octubre. Las cartas de Viena dicen que el emperador Napoleón eií la gran parada que tiene diariamente, ha pasado revista á las tropas de los diferentes príncipes de la confederación del Rhin. Los correos entre Schoenbrun…</t>
  </si>
  <si>
    <t>amilia de S. A. R. el gran du­ Dresde 8 de octubre. que se ha reunido aquí con el objeto de es­ En cumplimiento de una orden del Rei perar á S. M. el Emperador Napoleón, y se formará en te-dos los círculos del reir.o ofrecerle sus respetos. Se asegura que el un cuerpo de gendarmería de á caballo, des­ gran duque heredero acom…</t>
  </si>
  <si>
    <t>á solemnemente la pierden el tiempo en sus expediciones, es n paz en esta capital por orden de S. M. el preciso confesar que han hallado el arte de »»Emperador Napoleón." •aprovecharlo con ventaja en las noticias que forjan á cada paso. Por ocho dias consecu­ ESPAÑA. tivos los diarios de la tesorería no han ce­ Madrid 17 de n…</t>
  </si>
  <si>
    <t>, el gobierno se encargará de pagar to­ dos los intereses atrasados del banco y de Viena 16 de octubre. la asociación del comercio marítimo. S. M. el Emperador Napoleón ha salido Desde principios de este mes ha empe­ hoi de Schoembrunn: su comitiva se compo­ zado el pago de las pensiones civiles del ne de los duques de Friul …</t>
  </si>
  <si>
    <t>22 de noviembre de 1809</t>
  </si>
  <si>
    <t>Gaceta de Madrid n.º 327</t>
  </si>
  <si>
    <t>mera , que iba á las órdenes del Príncipe real t ba entrado en Lofer , después Augs burgo 2 r de octubre. de haber destrozado i los rebeldes en un El Emperador Napoleón, que salió de ataque en que les mató» hirió y cogió 700 Schoembrunn el dia 16, pa'ó en el mismo dia hombres , algunas caxas de municiones , y por S. Polten, M…</t>
  </si>
  <si>
    <t>Gaceta de Madrid n.º 328</t>
  </si>
  <si>
    <t>rdia: la guerra encendida en España, y esta mayor consideración y poder. que llamo por un momento la atención del Sin embargo, parecía qoe i j años y Emperador Napoleón , pareció á la Ingla­ mas de experiencias y de derrotas debie­ terra la ocasian mas á propósito para vol­ ran haber hecho mas cautos i algunos gabi­ ver á pon…</t>
  </si>
  <si>
    <t>oseros dan extenderse aun hasta las generaciones y ridículos sobre los sucesos de la guerra de foturas. Los exemplos de ló pasado deben Alemania y el Emperador Napoleón conse­ excitar en ellos la noble ambición de ser guía sobre los austríacos las victorias mas útiles*. las recompensas recibidas imponen rápidas y decisivas. L…</t>
  </si>
  <si>
    <t>ediata á lá do con las fingidas derrotas de sus exércitos crudad de Ñapóles; y como si todo esto en España. fuera aun poco, se contaba también con El Emperador Napoleón, viendo que el auxilio poderoso de la Rusia, la qual, el gabinete austríaco persistía en su siste­ decían , enviaba al príncipe Constantino coa ma hostil, tom…</t>
  </si>
  <si>
    <t>oticias sobre la tivas de una nación libre é independiente, guerra de Austria , es que jamas confesaron y á que trate á la España no como á un que el Emperador Napoleón se bailaba en país aliado y amigo sino como á un pais de Viena con su exército hasta que se dió en conquista, Ta es tiempo de que reconozca­ 33 de mayo la bat…</t>
  </si>
  <si>
    <t>474</t>
  </si>
  <si>
    <t>intruso. Leemos en el Journal de V Empire del 25 de octubre, en ca­ pítulo de Bayona del 19, que el 17 llegaron allí 200 caballos de la comitiva del emperador Napoleón , y que en breve pasarían ha­ cia España varios cuerpos de tropas , algunos de los quaies esta­ ban ya en Angulema. Este artículo prueba que hasta mitad de oc­…</t>
  </si>
  <si>
    <t>osas que la hu­ biese de regenerar. Madrid 2 y de noviembre. Sin cálculo político de los medios mili­ Se ha publicado la sigaiente proclama tares del Emperador Napoleón , y no viendel Excmo. Sr. D. Josef de Mazafredo , mi­ do mas que los que la humanidad le había nistro de Marina. . hecho destinar á España para escusarla todo…</t>
  </si>
  <si>
    <t>cha tan designa!: bienes los de reconciliar­ credulidad de qne en el Austria tendrá ra se con el Emperador Napoleón, y aceptar pago el Emperador de los franceses, quaapor nuestro REI á Josef Napoleón con la li­ do ya dueño de gran parte de sus estados beral constitución con que nos debería go­ y de su mi</t>
  </si>
  <si>
    <t>aos que sois del tercer cuerpo; Mr. Witlam Pole entró anteayer en el que en quatro meses habéis merecido dos consejo de Estado. veces los elogios del Emperador Napoleón,; y que á los ojos de la Europa habéis reci­ IMPERIO FRANCES. bido las recompensas que tan solo se con­ ceden á ios valientes. Parts st de noviembre. ,, Mañan…</t>
  </si>
  <si>
    <t>embargo de que le cipe de Neufchatel y de Wagram » los se­ mataron dos caballos , há sido elevado por ñores mariscales Davoust y Oudioot» el S. M. el Emperador Napoleón á la digni­ señor conde Daru, y elgeoeral Vandarame. dad de barón del imperio , jr le ha cotice* El 20 al medio día se publicó aquí lo si­ dido ademas coa pen…</t>
  </si>
  <si>
    <t>rh conquistada por los Augs burgo 24 de octubre. franceses e1 cuerpo de oficiales de la guar­ nición. y todas las aut ridades húngaras, fue­ S. M. el Emperador Napoleón al pasaf ran al medio día á la iglesia catedral, donde por esta ciudad ha regalado una casi de se cantó un Te Ocum solemne con música oro guarnecida de diaman…</t>
  </si>
  <si>
    <t>. el Emperador de corte. Sir II. John ha desempeñado ccn Rusia, enviado por este Soberano cerca de buen éxito su comisión; p*ro es increíble S. M. el Emperador Napoleón. la actividad y destreza de ¡os franceses.” Para fines del corriente llegará á las Las cartas que hemos recibido esta ma­ cercanías de Augsburgo y de Ulma tod…</t>
  </si>
  <si>
    <t>eceros un tributo au­ corazones, y hace que todos celebren á. torizado unánimemente pof todos.” porfia con sus voces la gloria y la genero­ sidad del Emperador Napoleón, victorioso Discurso del señor BotsSard, presidente y pacificador. del consistorio luterano. „Pero, Señor, bien sabéis ya de ánfe— mano que el mejor intérpret…</t>
  </si>
  <si>
    <t>Madrid , que el. formidable exércít{ÉátÍStriacó¿ sobre el que: se. fundaban las /esperanzas jrha. si^QfjaíStruido. Toda la Alemania está en poder del emperador Napoleón. La B-Usia de cuya fidelidad habíais sospechadoIra manifesta­ do bastantemente por sus declaraciones públicas y los movi­ mientos de sus tropas su invariable …</t>
  </si>
  <si>
    <t>$66 combinación de acontecimientos puede ya detener el esta­ blecimiento del rey José. Conocéis las inmensas fuerzas cié que dispone, el emperador Napoleón. El mismo golpe que ha arruinado la Austria, ha roto entre vosotros todos los re­ sortes de la insurrección, vuestro grande y solo recurso: se­ ria un crimen pensar en la …</t>
  </si>
  <si>
    <t>0 de noviembre. Una carta de Moravia anuncia que el archiduque Carlos ha caido peligrosamente Los periódicos alemanes anuncian qtt* enfermo. S. M. el Emperador Napoleón , para recom­ Un diario aleman, hablando de las pér­ pensar los seña'adcs servicios del stñor redidas que ha sufrido el Austria por el últi­ niente general ba…</t>
  </si>
  <si>
    <t>ación barco ingles procedente de Baltimore ,e~y de las provincias cedidas por el último tra­ destinado para Palermo, el quai traía un tado á S. M. el Emperador Napoleón; y cargamento sumamente interesado. . que las. referidas propiedades, respetadas por las autoridades francesas civiles y mili­ ESPAÑA. tares , quedarán al cui…</t>
  </si>
  <si>
    <t>Nám. 361.' *177 : DEL MIERCOLES 27 DE DICIEMBRE DE 1809. ALEMANIA. y aprovecharse del perdón qne S. M. el Emperador Napoleón les ha asegurado por Hamburgo a G de noviembre. el tratado de paz con el Austria; en vista El día 21 ha pasado por Hannóver también de que las pocas reuniones ¡ymaS. A. S. el principe heredero de Holste…</t>
  </si>
  <si>
    <t>Napoleón'hácia</t>
  </si>
  <si>
    <t>, distraídas Ja aten­ lias del Sava; y han hecho también una in­ ción y una buena parte de las tropas del cursión en el territorio austríaco, robando Emperador Napoleón'hácia la guerra de mucho ganado. Austria , mudarían de aspecto las cosas dé­ ' Del di.a 2J. ' El Regió Dálmata publi­ lo* franceses len España. Aquella guerra…</t>
  </si>
  <si>
    <t>Napoleón, Joaquin Grauman y Don Josef</t>
  </si>
  <si>
    <t>Joaquin Grauman y Don Josef Napoleón</t>
  </si>
  <si>
    <t>osef Yost. Para tenientes á Don En nuestro palacio de Madrid á 27 de Juan Vareche y D. Francisco Kratzer, y •setieiríbre de 1809. para subtenientes á D. Joaquin Grauman y Don Josef Napoleón por la -gracia de D. Francisco Yugani. En el regimiento nú-Dios-y por-la-constitución del estado,, REI -mero t.° de la brigada irlandesa …</t>
  </si>
  <si>
    <t>Napoleón, José</t>
  </si>
  <si>
    <t>José Napoleón</t>
  </si>
  <si>
    <t>os valles de Roncal é inmediatos, reclamáis vues­ tros- derechos., vuestros privilegios., y el respeto, á vuestras perso­ nas y propiedades ; vuestro rey José Napoleón también lo qui ere ? sus generales los de los exércitos franceses contribuyen' á cumplir su intención : ¿ la Navarra ha dexado acaso de disfrutarlos’aun en med…</t>
  </si>
  <si>
    <t>281</t>
  </si>
  <si>
    <t>de impoten­ te rabia contra los patriotas refugiados en las provincias libres. — Primero. “En nuestro palacio de Madrid á 12 de setiembre de 1809. — D. José Napoleón , etc. Hemos decretado y decretamos lo siguiente : — Art. I. Las penas establecidas por las leyes y or­ denanzas de estos reynos contra tos extraccores de moneda…</t>
  </si>
  <si>
    <t>Napoleón, Josef</t>
  </si>
  <si>
    <t>Josef Napoleón</t>
  </si>
  <si>
    <t>los prelados de las religiones, ha venido á la corte á presentar á S. M. el documento original que acredita el juramento de fide-*íidad hecho al Sr. D. Josef Napoleón i por los habitantes. El REI mandó que los diputados se presentaran al señor ministro de lo Interior, el qual les comunicaría las órdenes que fuesen del real ag…</t>
  </si>
  <si>
    <t>que el Dios poderoso, este Dios en quién creemos, es el solo quien quita, da y reparte los imperios: dispuso por sus altos juicios que ■ S. M. el Sr. D. Josef Napoleón fuese nuestro Rei y Monarca, y nos manda por consiguiente le reconozcamos y juremos baxo toda* las conminaciones divinas y humanas. Los libros santos autorizan…</t>
  </si>
  <si>
    <t>lidad resta­ blecida en la nación entera , baxo los auspicios de la constitución liberal que nos rige, y ei-reinado de su ilustrado y piadoso Monarca D. Josef Napoleón i. Las diputaciones eran n;u» numerosas, porque % o solamente eran enviadas por los pueblos, sino también por la nobleza, por el clero, por ioscabildoseclesiás…</t>
  </si>
  <si>
    <t>dministración y rentas, el clero, y en general todos los habitantes, prestarán juramentó de fidelidad y homenage á S. M. el REI de España y de Indias D. Josef Napoleón. 3.* Los encargados de la administración civil de justicia y de rentas, el</t>
  </si>
  <si>
    <t>da, y sus ministros protegidos en el exercicio del culto. 7.0 Los fondos públicos serán administrados como antes á nombre y de cuenta de S. M. el REI D. Josef Napoleón; á este efecto todas las autori­ dades eclesiásticas y civiles, asi como los empleados por el REI y continua­ rán én él exercicio de sus funciones respectivas,…</t>
  </si>
  <si>
    <t>chas, en. nombre: cíe S.. M.. ARTICULO IV. Eos Militares de la guarnición * sea quali fuese sw grado y empleo* podrán entrar al servicio de &lt;S* M. el Rey Josef Napoleón * conservando su mismo gra­ do* con la condición de que ántes hayan de prestar juramento, de fidelidad y obediencia* como queda di­ cho en. el artículo II.. C…</t>
  </si>
  <si>
    <t>l exercicio- dél culto. ARTICULO’ VIL La^ administración de 1 as caxdS Reales sejEroira- s gun su antiguo régimen; en nombre y por cuenta de S. M. el Rey Josef Napoleón^ á este efecto todas las Autoridades eclesiásticas y civiles , así como los em­ pleados por el Rey, continuarán vacando1 sus funcio­ nes ,, y-' serán pagados …</t>
  </si>
  <si>
    <t>iente, ARTICULO XII. El beneficio de armisticio general concedido por S. M. el Emperador de los franceses, tanto en sur nombre como en el de S. M. el Rey Josef Napoleón, será extensivo á la guarnición, y á los habitantes de la Coruña, así como á las personas que kan ocupado un empleo qualquiera. Conseqüente á esto, ningún «in…</t>
  </si>
  <si>
    <t>ta ciudad, as i stieron d espu es á un suntuoso banquete qiíéf tenia dispuestoS.E. el Sr. duque de Mahon, en donde se brindó por la safad de S: M. C. D. Josef Napoleón, por la de su augusto hermano el Emperador y Rei., y,por da prosperidad y unión perpetua de ambas nacioqés. baxo el aoiniúio de la dinastía de Napoleón el Gran…</t>
  </si>
  <si>
    <t>18 de marzo de 1809</t>
  </si>
  <si>
    <t>Gaceta de Madrid n.º 77</t>
  </si>
  <si>
    <t>enemigo ha disparado toda fa mas circunstanciadas de esta acción. noche contra nuestros trabajadores muchos tiros de metralla y piedras; pero ningún D. Josef Napoleón por la gracia de Dios daño nos ha hecho. y por la constitución del estado , REI de Ataque del centro. Se ha abierto una .las Españas y de las Indias. nueva comu…</t>
  </si>
  <si>
    <t>ovechar para su patria los útiles descu­ sigue sin cesar. brimientos , ó evitar los errores que acaso se hayan advertido. Esta reflexión conduxo hace D. Josef Napoleón por la gracia de Dios tiempo al traductor, de profesión letrado, á y la constitución del estado, REI de Es­ hacer esta traducción , í la qual pensaba siguie­ p…</t>
  </si>
  <si>
    <t>Napoleón, Jósef</t>
  </si>
  <si>
    <t>Jósef Napoleón</t>
  </si>
  <si>
    <t>astigados lós principales gefes de la insur­ rección. La guarnición del Cabo consiste en Madrid 6" de mayo. un regimiento de dragones y Otros 3 regi­ D. Jósef Napoleón por la gracia de Dios mientos de" infantería. y por lafconstitución del estado, REI de Lascarías de la Madera del 23 de febre­ las Españas y de las Indias. ro …</t>
  </si>
  <si>
    <t>lla , chantre tos mas duraderos de la gloria de los Reyes. de la colegiata de Logroño, diócesis de Cala­ horra , para el deanato de la misma iglesia: D. Josef Napoleón poc la gracia de Dios para la chantría que resulta vacante á Don y por la constitución del estado, REI de Josef de Laver¡¿, canónigo de la propia co­ las Españ…</t>
  </si>
  <si>
    <t>í Ale­ y el del reino de Italia , y esparciendo en mania , donde Napoleón se ve en el mayor todas partes proclamas incendiarias, á fin aparo: el REI D. Josef Napoleón ha esca­ de sublevar á los habitantes contra sus le­ pado de Madrid , y refugiádose en las pro­ gítimos Soberanos. vincias situadas al otro lado del Ebro con Es…</t>
  </si>
  <si>
    <t>Napoleón, Luis</t>
  </si>
  <si>
    <t>Luis Napoleón</t>
  </si>
  <si>
    <t>á la corona á ios descen­ y de todo él luego que se apagó el fuego. dientes varones , naturales y legítimos dei Ataque de la izquierda. Se ha perfeo- príncipe Luis Napoleón, Rei de Holanda; cionado el alojamiento para la guardia de la En defecto de descendencia masculina, batería de la izquierda de los Capuchinos. natural y l…</t>
  </si>
  <si>
    <t>Napoleón, Napoleón</t>
  </si>
  <si>
    <t>Napoleón Napoleón</t>
  </si>
  <si>
    <t>ios peligros inciertos de un tsfuerzo * V* (I) Véase la carta de S. M. el Emperador C3) Véase la carta de S. M. el Fmper.-.doí de Austria á Ü. M. el Emperador Napoleón Napoleón á los principes de la confederación de iH de setiembre de ifioS biso el n. i i. de 14 de octubre de lüoK bayo el n. 1 (i) Véase la carta de S. M. el E…</t>
  </si>
  <si>
    <t>Napoleond</t>
  </si>
  <si>
    <t>guardia imperial. - cuerpo coatiderable Aá tropas en las froeS.-M. el R«i de VYwfilu ha -recibido teraá de la Sirmi» y dier Baanato ra opo­ árdea del Emperador Napoleond* dirigir­ nerse á-las • étbpréiat que bs austríacos pose á Príg'a, capital di;la'Bohemia ,coo to­ driánbteétarcoatTá laSétéia. Parece que do lotacrpo de cxér…</t>
  </si>
  <si>
    <t>Napoltoo</t>
  </si>
  <si>
    <t>' ■; -j penri'haniléúté e¡ Drtnia. Todos los desraca_ La’ regencia del Austria inferior tiene lá¿ntaUudé tropas servias que se hallaban V órden d'el Emperador Napoltoo parabutéw veduasM</t>
  </si>
  <si>
    <t>Nar</t>
  </si>
  <si>
    <t>y hacer del esforzado y del Escolástico Litran y D. Cayetano Pastera; valiente , pues por la desconfianza ninguno para tenientes á D. Juan Sánchez , D. Nar­ se atreve á decir francamente su sentir al ciso García, D. Juan Casamayor y Don vecino., Jaime Gailt; y para subtenientes á D. Bar­ ,, Los disturbios y desavenencias entr…</t>
  </si>
  <si>
    <t>Narbonne</t>
  </si>
  <si>
    <t>en el exército. Se asegura que S. M. I. 6 con el señor Dará, intendente general del ha concedido ia cruz de la legión de Honor exército. ^ , al señor general Narbonne, gobernador de Hoi se dice que el cuerpo del príncipe Raab. de Pontecorvo se ha repartido entre los de­ El general' Damas desempeña las fun­ más del exército. E…</t>
  </si>
  <si>
    <t>Narron, Ignacio</t>
  </si>
  <si>
    <t>Ignacio Narron</t>
  </si>
  <si>
    <t>s leguas de esta ciudad , y una de los Ar­ cos , el 18 por la mañana. Formada en batalla nuestra tropa , cu­ yo centro lo mandaba el capitau de navio D. Ignacio Narron, pre­</t>
  </si>
  <si>
    <t>Nasarre, Ambrosio</t>
  </si>
  <si>
    <t>Ambrosio Nasarre</t>
  </si>
  <si>
    <t>Marracó. — D. Tomas Castillo Larroy. -- D. Vicente Camacho. -- D. Pablo Pasqual.— D. Juan Ramón Perez. -- D. Xa­ vier Castillo.--Monjas de Sigena. — D. Ambrosio Nasarre.— Mar­ ques de las Amarillas.— Marques de Lezo. — D. Francisco Mondragon. — D. Francisco Vázquez. — D. Manuel Pardo. — D. José Perez Valiente. — D. Gregorio T…</t>
  </si>
  <si>
    <t>Navarrete, Ignacio</t>
  </si>
  <si>
    <t>Ignacio Navarrete</t>
  </si>
  <si>
    <t>saben * .v. V-:.,.0 ■’/. *\ ■ ~ D. Francisco Domínguez pór éf y por su hijór correspon» diente? al mes de marzos próximo; pasado , ico rs¿ de vn.ra ; D. Ignacio Navarrete , por los meses de febrero y marzo,, 60.=» j Los vecinos de la Villa de ■Híófila250. = D. Josef de Mier, por mano de D. Pasqual de Mendoza, A leal Je del Ba…</t>
  </si>
  <si>
    <t>Navarrete, Julián</t>
  </si>
  <si>
    <t>Julián Navarrete</t>
  </si>
  <si>
    <t>Joa­ quín Palacios.— D. Baltasar Val. — D. Mariano Ramírez.-- D. Lo­ renzo Puchol. — D. Vicente Laborda. — D. Antonio Vicente.— D. Vicente Puchol. — D. Julián Navarrete. — D. Pedro Yoldi. — D, José Unceta. — D. Fermín de Lusarreta. ~ D. Eulogio Espi­ no.— D. Francisco Barraneche. — D. Cipriano Iturraldé.— D. To­ mas Yoldi.—D.…</t>
  </si>
  <si>
    <t>Navarro, Antonio</t>
  </si>
  <si>
    <t>Antonio Navarro</t>
  </si>
  <si>
    <t>ua par de medias. D. Salvador Montenegro r 40 rls- para dos mochilas y un par de medias. Defía María Cándida Adorno , 60 rls. para quatro mochila**. D. Antonio Navarro, 40 rís. para dos mochilas y un par de medias.P. Sebastian Vázquez ,10 rís. para un par de medias. Doña María del Rosario , viuda de D. Manuel Rodríguez, ioc&gt;&gt;…</t>
  </si>
  <si>
    <t>s guerrillas -los tenientes Jj). Autopio Galindo , D. Francisco Victori­ no., D. Francisco Villalobos, y al. valiente subteniente agregado al Infante D. Antonio Navarro, los :qualesdiariamente y sin perdonar fatiga se han bad.lo con escarmiento del enemigo, estrivando sobre ese asiduo servicio ia seguridad del exéreho. Lies, &amp;c.</t>
  </si>
  <si>
    <t>ya hasta- unos $3 caballos, nos hiciese perder la ventaja del terreno:.en esa situación supe por el co­ mandante de una de las partidas de guerrilla, D. Antonio Navarro, que, había coloc do en las alturas-de Santo Domingo , marchaban sobre Torrijos varias colanas fuertes de. infantería, lo que no me dexó dudar que el ene­ mig…</t>
  </si>
  <si>
    <t>Navarro, Benito</t>
  </si>
  <si>
    <t>Benito Navarro</t>
  </si>
  <si>
    <t>Carirasco., D. Juan Burand y D. Juan Teran oficiales primeros ; á ©. Mateo Bravo y Lomas, D. Antonio Leiral , D. Carlos Reboul, ©. Francisco Guilmó , D. Benito Navarro, D. Francisco Larregui , D. Andrés Piñuela , D. Víctor Moreno, D. Juan Ribera, D. Francisco González, D. Sevérino Rie-zu y D. Eusébio Heros oficiales segundos …</t>
  </si>
  <si>
    <t>Navarro, Manuel</t>
  </si>
  <si>
    <t>Manuel Navarro</t>
  </si>
  <si>
    <t>uiz , ao rls. para dos pares de medias. Doña Eduarda Ordoñez , 10 rls. para dos pares de medias» Doña María B¿rmudez , 10 rls. para un par de medias» D. Manuel Navarro , 30 rls. para dos mochilas» D. Antonio González , 20 rls. para dos pares de medias» D. Manuel Díaz, to rls. para un par de medias. D. Rafael de Buque , 20 rls…</t>
  </si>
  <si>
    <t>Navarro, Ramón</t>
  </si>
  <si>
    <t>Ramón Navarro</t>
  </si>
  <si>
    <t>resente manifiesto se fizará eo los sitios acostumbrados de esta Ciudad , y se insertará en los periódicos, zz Dido en Sevilla á 15 de abril de i8of.=D. Ramón Navarro. = D. Ramón Caibo. z; D Juan Fernando de , Águirre. zz D. Josef Morales Gallego, zr Por mandado del Tri* bu nal. = D. Manuel Josef de Sousa Ramírez. CON REAL PR…</t>
  </si>
  <si>
    <t>Navas, Mariano</t>
  </si>
  <si>
    <t>Mariano Navas</t>
  </si>
  <si>
    <t>ento del impío Salas; sin embargo murie­ ron de los franceses unos 8 ó 10, y otros fueron heridos.—Entretan­ to una partida de la primera compañía de D. Mariano Navas entró en Barajas, á dos leguas de Madrid, mató á 6 franceses, arrestó un correo y tomó un carro de víveres, y no se determinó á entrar en la Alameda, quinta de …</t>
  </si>
  <si>
    <t>Neale</t>
  </si>
  <si>
    <t>solemne de que el Em­ perador Francisco I. jamas ha reconocido como rey de Es­ paña á Josef Napoleón. GRAN-BRETAÑA. Londres 22 de abrih Ha llegado el capitán Neale con la relación que hace el Almirante Gambier de la victoria que nuestra esquadra consiguió el dia 12 sobre la enemiga anclada en la rada de los Bascos. En sustanc…</t>
  </si>
  <si>
    <t>Nei</t>
  </si>
  <si>
    <t>enerales Lasálle y Milhaud se enea» minan á Portugal por Talavera de la Reina. El duque.de Dan,tzick llega hoi i Madrid con su cuerpo de exército. El mariscal Nei ha llegado pon el suyo á Guadalaxára, después de ha­ ber estado enfrente de Zaragoza. Queriendo SdM. que los vecinos honrados de esta dltima ciudad no sean expuesto…</t>
  </si>
  <si>
    <t>noche, con su esplendor. y según opinan los mismos prisioneros, ape­ nas se libertará otra tropa que parte de la Parir *9 de octubre. caballería. El mariscal Nei, duque de Elchingeu, A pesar de tan glorioso y brillante re­ ha llegado á París de vuelta de España. sultado, el corazón del REI solo podría con­ Los dos regimientos…</t>
  </si>
  <si>
    <t>Nembeber</t>
  </si>
  <si>
    <t>s han caído de sí. Esta maniobra , dexando á Napoleón en manos de los austríacos. Estos han per­ sin comunicación con la orilla derecha y sin dido al general Nembeber, poco mas de 3 O esperanza de socorro alguno, le puso en. hombres entre muertos y heridos, contán­ recision de arriesgar una segunda batalla, dose entre estos ú…</t>
  </si>
  <si>
    <t>NenadoxVitSch, Jacob</t>
  </si>
  <si>
    <t>Jacob NenadoxVitSch</t>
  </si>
  <si>
    <t>as llegó el enemigo á las margené» del Drina, volvió á pasar el rio, fortificó SeniJin 2.9 de agosto. las baterias , y tomó por asalto el lugaréjo Ét general Jacob NenadoxVitSch ha re­ de Kosiak. Nenadowitsch le siguió, con to­ mitido al consejo servio de Belgrado una das sus fuerzas, y, despuet de dos horatf, relación circun…</t>
  </si>
  <si>
    <t>Netyski, Alexandro</t>
  </si>
  <si>
    <t>Alexandro Netyski</t>
  </si>
  <si>
    <t>paternal. Estas tierras que les ha ocasionado una guerra rao impru­ adquiridas por el santo y ortodoxó gran dente. Por de contado los gastas que oca­ duque Alexandro Netyski, conquistadas sionaba el estado de guerra, y que ya no segunda vez por Pedro 1, y asegurada su podían sobrellevar los pueblos, se han dis­ posesión por C…</t>
  </si>
  <si>
    <t>Nev</t>
  </si>
  <si>
    <t>las acciones que en ella tienen todos los patriotas á quienes sfe han secuestrado sus bienes y efectos , para que tengan estas el mis,no destino. —El mariscal Nev salió el 5 precipitadamente ha­ cia Vülacastin f unos suponen que va á Francia, y otros á poner­ se a! frente de su cuerpo de exército de Castilla la vieja. Conserv…</t>
  </si>
  <si>
    <t>Ney</t>
  </si>
  <si>
    <t>los franceses , y cuenta que el exército del Sr. Marqués-de la Romana estaba sobre la Coruña y eh Ferrol^ habiendo ba­ tido al Mariscal Ney que le salió al encuentro; No es po­ sible fiarse en noticias que vienen por conductos tales ;-pero esto es lo que cuenta este patrón ; y la circunstancia que refiere de haber salido al e…</t>
  </si>
  <si>
    <t>681</t>
  </si>
  <si>
    <t>, por dirección del Brigadier D. Martin de &amp; Carrera, pasó el rio , y al mismo tiempo de concluir la Operación toda su tropa , se acercó al puente el Mariscal Ney con unos 3S) hombres, los *00 de caballería , 4 cañones de á 4, uno de á 8 , y otro de á ta , y habiendo colocado esta ar­ tillería por todas aquellas alturas , rom…</t>
  </si>
  <si>
    <t>á ce­ nizas casi toHo un barrio., Un sargento de artillería francés que se ha pasado ha dicho , que efectivamente estuvo en esta acción dei puente el Mariscal Ney coa 8© hombres, de infantería, y 1200 de caballería , 6 cañones de á. 8 , 4 de á 4 , 2 óbuses de á &amp; y un canon de á 3 ; que perdieron 600 hom­ bres , entre ellos d…</t>
  </si>
  <si>
    <t>anei general del exército español de la izquierda , en las alturas de Tamhmes k ]9 de octubre (l). “ Tengo el honor de informaros que el exército del mariscal Ney, &gt; mandado ahora por el general Marchand, se adelantó ayer por la mañana con la fuerza de I0c¡ infantes , 1200 caballos , y 14 piezas de artillería , á atacar el ex…</t>
  </si>
  <si>
    <t>te tiempo en Fontainbleau, pues que á los ministros de las potencias extrangeras se ha intimado que vayan á despa­ char con él en dicho palacio. — El mariscal Ney, á su llegada de España , ha tenido una audiencia larga de Bonaparte ; iba acompañado del marques de Bendaña , gentil-hombre del rey intruso José. — De Petersburgo …</t>
  </si>
  <si>
    <t>iable ambición de Bonaparte agitado otra vez la guerra en 18 J5 , mandó que los tiroleses y voralbergueses fuesen embestidos por todos ios puntos. El mariscal Ney , en las márgenes del Scharnitz , repitió su ataque por tres veces, y fué rechazado con inmensa carnicería : la misma .suerte tuvieron los generales bavaros Deroi y…</t>
  </si>
  <si>
    <t>Nicholls</t>
  </si>
  <si>
    <t>esfuerzos para detener lá huida de sus tropas Los franceses en ningún, punto |geron rechazados, por lo menos en los ataqutes'serios. Cid, ") (gj) El teniente coronel Nicholls sería un verdadero Rolando si sblamenfe con Algunas compartías, del regimiento 14.0 hubiese recobrado una aldea1, cuya ccupa-jcíon, atendida la situacio…</t>
  </si>
  <si>
    <t>o de aquel puesto con pérdida considerable por un bizarro ataque de algunas com­ pañías del segundo batallón del regimiento. 14 al mando del Teniente'coronel Nicholls. De modo que antes de las cinco de la tarde, no solo habíamos rechazado todos los 1 ataques dirigidos contra nuestra posición, sino que además había­ nnos ganad…</t>
  </si>
  <si>
    <t>Nichplls</t>
  </si>
  <si>
    <t>e Madrid , .de la qual fue„,arrojado prontamente, y con gran pérdida,.por algunas compañías del segundo batallón del regimiento 14.0, mandadas por el teniente coronel Nichplls (3^ No eran todavía las 5. de la tarde, y ya no solamente habíamos rechazado todos los ataques , sino que también habíamos, ganado terreno eii pasi tod…</t>
  </si>
  <si>
    <t>Nico</t>
  </si>
  <si>
    <t>e Negocios ecle­ agente de Relaciones exteriores en la misma siásticos á E&gt;! Juan Ce a o Bermúdcz gefe de ciudad. división i'í D.r.Cipriano;Salinero, D. Nico­ ,,Mui señor mío : Informado S» M. d&lt;? lás María Bremond» D. Mariano Garrido mi penosa sitnacion en Argel, y de los pe­ y D. Pedro Alfaro y Remom oficiales se­ ligros á …</t>
  </si>
  <si>
    <t>gue una escritura en que se'esti­ ñores Chappe, Dupplan y Toppi. En la pule pagar con ellos y recibirlos , perderán gendarmería escogida á teniente á D. Nico­ sus empleos , y satisfarán por via de multa lás Magimel; y á subteniente ai señor La600 pesos. brosse. En la artillería á habilitado al se­ akt. iv. Todos los documento…</t>
  </si>
  <si>
    <t>Nico'lasyArgiienéá</t>
  </si>
  <si>
    <t>Iris íñciálesiy sóíd.ádGs-déusu rfegurriSítbf, tjfee piétendíáü á- pmlná sal­ ir hn gúerrrilas' contra' el 'éúéúif^dyy^artreifláriheritb'ál éápitáii D. Nico'lasyArgiienéá, que viéndcRsb’ñnviibltír éntre IbS'íraticeses, Cogiendo un' 'fusil'los acometió con denuedo, y mató un dragón ibránnose a ti la vida, á otro oficial,' sC t…</t>
  </si>
  <si>
    <t>Nicolás</t>
  </si>
  <si>
    <t>Arias ( D. Sanciago), gobernador interino^ to reverberos en los patios y en las calles. Santander. En fin, tanto lo interior como lo exterior Ariza ( D. Nicolás ) , ayudante del baral j | está acomodado para la residencia de la cor­ de infantería ligera núm. 1." te. Se asegura que S M. la E nperatriz lle­ Arribas (D. Fran- i-…</t>
  </si>
  <si>
    <t>del caballería. regimiento núm. 2.°, infantería de línea. V-n- Halen (D. Juan), oficial de orde­ Rei ( D. Jorge), consejero de Estado. nanza. Richer (D. Nicolás), teniente del regi­ Vázquez (D. Juan), capitán del regi­ miento Real Extrangero. miento núm. i'.°, infantería de línea. Rivacobi ( D. Alexandro), capitán direc­ Wein…</t>
  </si>
  <si>
    <t>) id. — Ardanaz (D. Cleto) comandante del batallón de infantería ligera, núm. 1. — Arias (D. Santiago) gobernador interino de San­ tander. — Ariza ( D. Nicolás) ayudante del batallón de in­ fantería ligera , núm. 1. — Arribas ( D. Francisco) arcediano de Burgos. — Astigarraga ( D. José ) capitán de Navio.” “Balestrier ( D. Gu…</t>
  </si>
  <si>
    <t>ae , escudero del rey. — Redondo (D. Antonio) subteniente del regimiento núm¡ 2 infantería de línea. — Rey (D. Jorge) consejero de Estado. — Riclier (D. Nicolás) teniente del re­ gimiento real extrangero. — Rivacoba (D. Alexandro) capitán director de la fábrica de Placencia. — Roa (D. Rafael) cabo pri­ mero del regimiento núm…</t>
  </si>
  <si>
    <t>(D. Francisco de), teniente coro­ González ( D. Manuel), capitán de caba­ nel de artillería. llería. Vieuls (D. Estéban), mariscal de logis de Heros (D. Nicolás de los). caballos ligeros de la guardia real. La Borda Perez (D. Francisco), gefe de Xaramillo ( D. Juan Manuel). división en el ministerio de Hacienda. Xareño ( D. A…</t>
  </si>
  <si>
    <t>Nicole</t>
  </si>
  <si>
    <t>an: El 13 de agosto habia sucedido otro caso semejante: paseába­ se por la muralla con algunos niños un maestro de primeras le­ tras, y observando el general Nicole, que pasaba casualmente por el mismo parage, que ni los niños ni el maestro le quitaban el sombrero, y que ni siquiera se dignaban mirarlo, embistió Nico­ le muy …</t>
  </si>
  <si>
    <t>Nie, Ildefonso</t>
  </si>
  <si>
    <t>Ildefonso Nie</t>
  </si>
  <si>
    <t>ier D. Tomás O Dosoja , el Coronel Marques de Milpica ' el Teniente Coronel IJ. Juan de la Cuesta , el Capítan D. Josef de la Cuesta , -y el Teniente D. Ildefonso Nie­ to , no cesaron de llevar ordenes á quantos puntos fue pre­ ciso con la mayor bizarría, denuedo, y serenidad , siriem­ bargo de que en alguna» ocasiones el ene…</t>
  </si>
  <si>
    <t>Nieto, Vicente</t>
  </si>
  <si>
    <t>Vicente Nieto</t>
  </si>
  <si>
    <t>on general de las tropas del Reyno. de Santa Fe', que. también reúne, al. xefe de esqusdra D. Francisco Montes:: para el de Montevideo al briga­ dier D. Vicente Nieto, coronel del regimiento de infan­ tería de Puebla:: para el de la provincia de Chiquitos al capitán D.. Juan Bautista Altolaguirre , comandante de Ja compañía p…</t>
  </si>
  <si>
    <t>Niño, Vicente Rafael</t>
  </si>
  <si>
    <t>Vicente Rafael Niño</t>
  </si>
  <si>
    <t>nsecuencia de quedar abolido por la constitución y del espíritu de S. M., ha reunido varios pueblos, para los que ha nombra­ do corregidor interino á D. Vicente Rafael Niño, que lo era de la villa de Tiedra, el qual se había comportado con juicio é integridad en su corregi­ miento de señorío. Esta providencia ha llenado, de g…</t>
  </si>
  <si>
    <t>Niqutt</t>
  </si>
  <si>
    <t>príncipe de Pbntecor* segunde presume, á Paxls. ▼o será nombrado gobernador general de 'El corsaria la Juno, mandado por el Jas' provincias ilíricas. capitán Niqutt, qne salió de Murai en 9 de noviembre, ha entrado en Morlaix el 17 IMPERIO FRANCES. del mismo después de haber apresado en este corto crncero seis embarcaciones, …</t>
  </si>
  <si>
    <t>Niza, Manuel Jo</t>
  </si>
  <si>
    <t>Manuel Jo Niza</t>
  </si>
  <si>
    <t>o prometen fe­ tablecido en lugar del de las extinguidas es­ lices resultados. cuelas pías de S. Antonio de esta capital, quedan nombrados : director D. Manuel Jo­ Niza 24 de setiembre. sef Narganes de Posada; regente D. Manuel En virtud de un decreto del prefecto Pascual Hernández; directores de sala Don del departamento de …</t>
  </si>
  <si>
    <t>No'irot</t>
  </si>
  <si>
    <t>ación de las tropas france­ ha apoderado de Brodi, última ciudad de sas y su. pequeño número no permitía al Gallitzia, cerca de la frontera, y que ha general No'irot salir á buscar al enemigo, encontrado en ella almacenes considerables se extendió este por su derecha , y se dexó y provisiones en abundancia. ver el día 7 en nú…</t>
  </si>
  <si>
    <t>No, Juan de Arri</t>
  </si>
  <si>
    <t>Juan de Arri No</t>
  </si>
  <si>
    <t>tinguidas es­ la mas pronta y acertada execucion de sus cuelas pías de Avapies de esta capital, que­ benéficas disposiciones. dan nombrados: director D. Juan de Arri­ No basta decir a los labradores que en bas ; regente de estudios D. Antonio P a- la guerra como en la paz es preciso sem­ lazuelos; directores de Sala D. Fernan…</t>
  </si>
  <si>
    <t>No, Juliano</t>
  </si>
  <si>
    <t>Juliano No</t>
  </si>
  <si>
    <t>546</t>
  </si>
  <si>
    <t>fundó nuevas iglesias, erigió monas­ herencias se grangearon el vergonzoso títu­ terios , y á todos los dotó ‘con liberalidad. lo de herediyetas. El Emperador Juliano No era menor La que exercian los demas revocó, para contener estos desórdenes, fieles: la costumbre de las donaciones á fa­ muchos de los privilegios concedidos…</t>
  </si>
  <si>
    <t>Noche, Joaquín</t>
  </si>
  <si>
    <t>Joaquín Noche</t>
  </si>
  <si>
    <t>ientes en el juzga­ ch'ado las trincheras y dado mas elevación * do de la capitanía general de Castilla la á los reductos. nueva el auditor de Guerra D. Joaquín • Noche del n al 12. r Juan de Flores decidirá por sí todas las' Ataque de la derecha. Se han empeza­ causas y negocios de esta especie que se' do dos caponeras en la…</t>
  </si>
  <si>
    <t>Noirot</t>
  </si>
  <si>
    <t>,789 &lt;Jac¡a de atacar al general Noirot, de San­ estas provincias D. Francisco Atr.orós, al tander, una multitud de insurgentes ba­ mismo tiempo que obraba como miiitar, jeados de las montañas de Asturias, que se auxiliando al ge</t>
  </si>
  <si>
    <t>Noriega, Josef</t>
  </si>
  <si>
    <t>Josef Noriega</t>
  </si>
  <si>
    <t>a gefe dé ville , cónsul general y encargado de Nego­ división; á^D.. Mariano Blancas oficia Ipricios de Francia en Argel, caballero de la mero , y á D. Josef Noriega archivero. • legión deiHonor, ha escrito, con fecha en Por decreto.de 30 de/agosto S. M. ha Marsella á 8 de agosto de 1809, al seño* nombrado en el ministerio d…</t>
  </si>
  <si>
    <t>Noriega, Juan</t>
  </si>
  <si>
    <t>Juan Noriega</t>
  </si>
  <si>
    <t>está.— Conde de Puebla del Maestre.— Marquesa de Pontejos.—D. Bernardo Mozo Rosales.—D. Juan Antonio Quin­ tana.--D. Juan Orni.—Í); Jacinto Velandia.—D. Juan Noriega.—D. Manuel de Echaverria.—D. Ramón Sierra.—D.Antonio Guillelmi.— Duque de Rivas.— Conde de Sástago.—D. José Obispo.—D. Ig­ nacio Lopez.-=-'D. Vicente Lisa.—D. Na…</t>
  </si>
  <si>
    <t>Noriega, Juan Josef Robledo</t>
  </si>
  <si>
    <t>Juan Josef Robledo Noriega</t>
  </si>
  <si>
    <t>ministrador principal de la Renta de Correos. xo.ooo El Sr. coronel D. Manuel Josef Rincón Gallar co. 5.000 El Sr. brigadier Conde de Alcaráz. 30.000 D. Juan Josef Robledo Noriega. 3.000 El Capitán D. Manuel de Urquiaga. C. 2.000 D. Miguel Rafael d: Medina. C. 2C.OOO B. Domingo ligarte. C. 4-000 D. Vicente Eguia. C. 50.000. D…</t>
  </si>
  <si>
    <t>Noriega, Nicolás</t>
  </si>
  <si>
    <t>Nicolás Noriega</t>
  </si>
  <si>
    <t>D. Ignacio García Saenz. 5.000 D. Antonio Olarte, sin estar matriculado. 2.000 D. José Llain. 10.000 D. José Martínez Barenque. 40.000 El subteniente D Nicolás Noriega. 1.000 D. Miguel Ardines. 10.000 D. Gerónimo Mateo de la Parra. 2.000 El capitán D. Manuel Horcasitas. 10.000</t>
  </si>
  <si>
    <t>Normann</t>
  </si>
  <si>
    <t>tad de bellas letras. Los alumnos que ac­ nientes de feld-mariscal de Hiller-,-Vincent, tualmente hai en d chos seminarios podrán Kienmayer, el mayor general Normann y continuar sus estudios, aunque no tengan otros. este grado. Ninguna, otra escuela, baxo de Wttrtzburgo 2 de abril. qualquiera denominación que sea, podrá El se…</t>
  </si>
  <si>
    <t>Novella, Roque</t>
  </si>
  <si>
    <t>Roque Novella</t>
  </si>
  <si>
    <t>lazas de alcaldes del crimen que aquellos en qualquier caso el que tomará S. M. I. R. obtenían á D. Josef Vinuesa, corregidor apostólica. de Segovia, D. Roque Novella, corregi­ Por lo que hace á las quejas suscitadas dor de Alcalá de Henares , D. Cayetano en el ducado de Vartovia por las dificulta­ de Torres , alcalde mayor d…</t>
  </si>
  <si>
    <t>Noy</t>
  </si>
  <si>
    <t>familia , como el que las violencias de Bayona hicieran firmar á los príncipes de la ¿casa-de España. No ha traído su h^a á París como se dixo. — El-mariscal Noy debía salir de aquella capital el 1Q.Ú 11 para él exército de España. gran bretaSa. En los puertos de Inglaterra parece que es tan próximos á embarcarse para Portuga…</t>
  </si>
  <si>
    <t>Nqv</t>
  </si>
  <si>
    <t>3r6 púlt'útasin aparato y f in ceremonia ninguna. á Viena para incorporarse con el exércíto de S. M. el Emperador Nqv»!=on. DINAMARCA. Todavía no se han sosegado enteramen­ te las tu/buléncias del Tiro!. Las rcliqui-.s Copenhague de mayo. del cue+po de Chastcller hallaron cortaba Los ingleses han intentado</t>
  </si>
  <si>
    <t>Nro</t>
  </si>
  <si>
    <t>de Carlos III y sus intereses, por hallarse en Madrid la mayor parte de los Ministros y vocales ¿e la Suprema Asamblea de di­ cha Orden; ha venido el Rey Nro. Sr. D. Fernando VII y en su Real nombre la Suprema Junta Central y Gubernativa de los Rey nos de España é Indias, en nombrar Ministro Vocal en la clase de Grandes-Cruce…</t>
  </si>
  <si>
    <t>Eterno. Sr. r He recibido el oficio de V. É. de ayer ed que nie comunica estar nombrado por la junta Central Gu­ bernativa de! .Reyno , en nombre del Rey Nro. Sr. Fernando Vil , para el Vireynato de Buenos-Ayree; y cita nueva sarisFicción con que honra la Suprema Junta mi amor al So­ berano , y mi patriotismo no solo me oblig…</t>
  </si>
  <si>
    <t>Gazeta del Gobierno n.º 11 (suplemento)</t>
  </si>
  <si>
    <t>de entusias­ mo público han movido á la Junta Suprema Gubernativa del Reyao á expedir el Decreto siguiente. Real Decreto de S. M. &gt;‘ Considerando el Rey Nro. Sr* D. Fernando VII , y a su Real nombre lá Junta Suprema Gubernativa dé! Reyno que los servicios hechos á la patria deben regularse’ mas por el valor y por los sacrific…</t>
  </si>
  <si>
    <t>La jnafa Suprema Je Gobierno del Rejtné ei nombre je! Rey Nro. Sr. D. Fernando Vil. ha mandado contestar á D. Francisca Venegas, que al paso que S. M. celebra la bi* zarria de estos oficiales y tropa, aprueba el arresto impues­ to á Acosía; qín&gt;re que</t>
  </si>
  <si>
    <t>Bí Rey Nro. Sr. D. Fernando VII.,. y. en- su R-»al •romo-re la Supr\ ma Junta de Galerno del R?yno, ss ha servido nombrar para la Dignidad de tesorero de ia Cuedraf. de Mdaga, vacaete por fallecimient</t>
  </si>
  <si>
    <t>en /a villa de Avilé* (do había- ico fran­ cés *s, que al parecer se dirigían por tierra á buscar los que estaban ea O vi sdo. SEVILLA. Queriendo el Rey Nro. Sr. D. Fernando Vil , y en su Real nombre la Suprema Junta Central Gubernativa del Reyno , dar una pru;bi del aprecio, que le merecen los que se dedican á la profesión d…</t>
  </si>
  <si>
    <t>ero, dan cuenta á la Su­ prema Junta Central , que habiendo llegado á aquella Ciu­ dad ej Real ^Decreto de abdicación y renuncia de la coro­ na en el Rey Nro. Sr. P. Fernando VH , se llenó de un gozo inexplicable, tanto por ver libre de la opresión á la monarquía , como por las sabias medidas que tomó en su exaltación al tron…</t>
  </si>
  <si>
    <t>Ntro</t>
  </si>
  <si>
    <t>A Por el Ministerio de la Guerra se comunicó al exército la Real órden siguiente:'» Considerando la Junta Suprema de Gobierno del Reyno en nombre del Rey Ntro. Sr. D. Fernando VII, qua ri­ to interesa al mejor servicio, particularmente en las actuales circunstancias, que los cuerpos del exército dependan en lo gubernativo y e…</t>
  </si>
  <si>
    <t>cido y jurado el Gobierno intruso, si no que han tomado partido en su servicio; ha resuelto la Junta Supre­ ma Gubernativa del Rey no , en nombre del Rey Ntro. Sr. D. Fernando VII: que se suspendan los ascensos que hayan correspondido en sus respectivos cuerpos ¿ los expresados</t>
  </si>
  <si>
    <t>exemplo á su invicta guarnición y vecindario , é inspirándoles la constancia y valor que le animan ; ha venido la misma supre­ ma Junta en nombre del rey Ntro. Su D. Fernando VII, en coscederle la Gran Cruz de la reai v distinguida orden de Carlos III. Tendréislo entendido , y dispondréis lo conveniente á su cumpli­ miento.— …</t>
  </si>
  <si>
    <t>Nues</t>
  </si>
  <si>
    <t>as mismas y por Reales determinaciones estaban radicados en los Consejos del Reyno, ha acordado la Junta Suprema Gubernativa del mismo, en nombre del Rey Nues­ tro Sr. D. Fernando VII, que se restablezca el Real y Su­ premo de Castilla, y que en él se reasuman por ahora todas las funciones que tanto por lo respectivo á España…</t>
  </si>
  <si>
    <t>Nuestro</t>
  </si>
  <si>
    <t>Juma Central y Gubernativa del Reyno de que esta contribución es * incomoda, gravosa y de cono rendimiento; si­ guiendo las benéScas intenciones del Rey Nuestro Señor D. Fer­ nando Vil, ha resuelto en su Real nombre, que se extinga dichoimpuesto, quedando sin efecto la citada Real Cédula de 26 de junio de 1805, y las demas ór…</t>
  </si>
  <si>
    <t>Nuñe, Francisca</t>
  </si>
  <si>
    <t>Francisca Nuñe</t>
  </si>
  <si>
    <t>ledad y Fr. Antonio Jesús María, tri­ nitarios descalzos; Fr. Diego Viliaser«or y Fr. Pedro Apeíiani, trinitarios calzados. Diputación de Sahagun. M. D. Francisca Nuñe» i-Josef García; ÍX Bernardo González; Fr.</t>
  </si>
  <si>
    <t>Nunéz, Francisco Xavier</t>
  </si>
  <si>
    <t>Francisco Xavier Nunéz</t>
  </si>
  <si>
    <t>l beneficio de la parmquia nes de las órdenes regulares, es y será de S. Pedro de la ciudad de Avila ; y á constantemente uno de nuestros principales D. Francisco Xavier Nunéz , clérigo de cuidados conciliar con este objeto el de pro­ prima, para el préstamo de la parroquia de veer á la cómoda y decente habitación de Fuenteli…</t>
  </si>
  <si>
    <t>Nuñez, Juan Josef</t>
  </si>
  <si>
    <t>Juan Josef Nuñez</t>
  </si>
  <si>
    <t>de i$ts. vn. de D. Juan Francisco Céspedes.n Otra de id rs. de D. Josef Manuel Carazo , del comercio de Cartagena. Una de id pesos en vales reales de D. Juan Josef Nuñez del mismo co­ mercio.— Y otra de 30^ rs. vn. de D. Juan Francisco Martin del propio comercio. El Consulado de Guadalaxara de Indias entregó en la» reales cax…</t>
  </si>
  <si>
    <t>Nuñez, Manuel</t>
  </si>
  <si>
    <t>Manuel Nuñez</t>
  </si>
  <si>
    <t>í» laj|i:iea juchas veces, así de dia cómo dé noche por su infatigable Alvffc V otras-éonmigo; y á mis ayudantes D.Pedro Martin, te1 de Velez-Malaga, D. Manuel Nuñez, teniente del de ^iafáfterw de Trapillo, al teniente B; Feliz Macháughlin , subteniente del *3»rear$ggppo d^jíigeaieros', destinádo á está división, y D. José de…</t>
  </si>
  <si>
    <t>O, Miguel</t>
  </si>
  <si>
    <t>Miguel O</t>
  </si>
  <si>
    <t>nz &gt; d-J Iruegas, gracia común y la oprobiosa dependencia á D. Dámaso Hermo&amp;o, á D Francisco de los extraños en las cosas mas necesarias Iturmcndi, á D. Miguel O juendo , á L&gt;on á la vida, y debe por consiguiente diri­ Juan Manuel de Gavina, á D. Antonio girse por una sola autoridad, que junte con Castillo Lsrin y 1 í) Josef …</t>
  </si>
  <si>
    <t>O-colgan, Juan</t>
  </si>
  <si>
    <t>Juan O-colgan</t>
  </si>
  <si>
    <t>D. Salvador Valencia , el primero , capitán del regimiento del General, y el segundo , ayudante de voluntarios de la Corona : á su ayudante de campo D. Juan O-colgan-, teniente del re­ gimiento del General : á D. Antonio Roselló, coronel del real cuer­ po de .miilerla; al ayudante del quartel-tnaestre D. Antonio Fernan­ dez ,…</t>
  </si>
  <si>
    <t>O-Doncjú, Tomás</t>
  </si>
  <si>
    <t>Tomás O-Doncjú</t>
  </si>
  <si>
    <t>lós , mayor general de infantería; D. Manuel Zapino, comandante general de in­ genieros ; D. Gregorio Rodríguez , comandante general de artillería, y D. Tomás O-Doncjú, asistieron á mi inmediación durante toda la acción para executar las providencias que yo tomabas : los brigadieres marques de Ariza, D. Josef Navarro Falcon ,…</t>
  </si>
  <si>
    <t>O-Donell</t>
  </si>
  <si>
    <t>. muchos años. Quartel general de Olot 13 de setiembre de 1809. — Excmo. Sr. = Joaquín Blake. — Excmo. Sr. D. Antonio Cornel.” Extracto del parte del coronel O-Donell. "Con mi división compuesta del primero y segundo batallón del segundo regimiento de Saboya á las órdenes de su teniente coronel D. José Alvarez -, del regimien…</t>
  </si>
  <si>
    <t>O-Donell, Enrique</t>
  </si>
  <si>
    <t>Enrique O-Donell</t>
  </si>
  <si>
    <t>acampa, y se han agregada i ©tra porción que se remitió aquí anteriormente. Tarragona 20 de setiembre. Acaba de recibirse la agradable noticia de que D. Enrique O-Donell, informado de que había lle­ gado á Bascara un convoy francés escoltado por 360 infantes y 40 caballos, con socorros para los sitiadores de Gerona, se resol­…</t>
  </si>
  <si>
    <t>O-Farrill, Gonzalo</t>
  </si>
  <si>
    <t>Gonzalo O-Farrill</t>
  </si>
  <si>
    <t>e de Frias, marques de Soberano. Valdecarz-ma , principe Maserano , marques REINO DE ÑAPOLES. de Branciforte, D. Miguel Azanza, mar­ ques de Bajamar, D. Gonzalo O-Farrill, Ñápales 24 de agosto. duque de Cotadilla, general D. Cristóbal Nuestra patria y las letras acaban de Merlín, D. Mariano Luis de Urqnijo, Don perder al abat…</t>
  </si>
  <si>
    <t>O-rely, Diego</t>
  </si>
  <si>
    <t>Diego O-rely</t>
  </si>
  <si>
    <t>as montañosos. El valero­ so Pizarro entró en Chaves con ánimo de defenderla , aunque está dominada por varios montes. ESPAÑA. Mantesa 23 de febrero. D. Diego O-rely, Comandante del campamento del Brucft y Casa-Masana, dice á esta Junta loque sigue. =„He reci­ bido con el debido aprecio la de V. S. Enterado de su conte­ nido …</t>
  </si>
  <si>
    <t>Oallitzin</t>
  </si>
  <si>
    <t>dia del •exército formidable, y las primeras opera­ exército ruso han entrado en Lubliri el 7 ciones de los rusos; todo esto tiene cons­ de junio. El príncipe Oallitzin debia tenér ternados á los qüe hablan querido pferseve* ai dia siguiente una conferencia con el prín­ rar en sus locas esperanzas. cipe Poriiatowski para conc…</t>
  </si>
  <si>
    <t>Oarreño, Juan Oalo</t>
  </si>
  <si>
    <t>Juan Oalo Oarreño</t>
  </si>
  <si>
    <t>590</t>
  </si>
  <si>
    <t>o manifestar libremente y sin restricción lo que le ocurriese en su apoyo.” -------------—-----------LIBROS. Defensa de Zaragoza. Poema heroico ; por D. Juan Oalo Oarreño, en octavo. Esta composición que se recomienda por él sublime objeto á que está consagrada * se vende en el des­ pacho de la imprenta real, á 8 reales. SEVI…</t>
  </si>
  <si>
    <t>Obispo, José</t>
  </si>
  <si>
    <t>José Obispo</t>
  </si>
  <si>
    <t>ue se mandan sequestrar todos los bienes y pertenencias de algunos patriotas aragoneses ; entre ellos el Sr. D. Martin de Garay, D. Valentín Solanot, D. José Obispo, conde de Sastago, D. Ignacio López, D. Vicente Lisa, D. Narciso Meneses, D. Fe­ lipe Perena y D. Ramón Gayan.</t>
  </si>
  <si>
    <t>Juan Orni.—Í); Jacinto Velandia.—D. Juan Noriega.—D. Manuel de Echaverria.—D. Ramón Sierra.—D.Antonio Guillelmi.— Duque de Rivas.— Conde de Sástago.—D. José Obispo.—D. Ig­ nacio Lopez.-=-'D. Vicente Lisa.—D. Narciso Meneses.— D. Fe­ lipe Perena.— D. Martin Garay.— D. Valentín Solanot.— D. Ra­ món Gayan. — D. Gerónimo Castillo…</t>
  </si>
  <si>
    <t>Obregon</t>
  </si>
  <si>
    <t>Ferrol han sido enviados á sus ho­ gares , y han sido presos los que durante la insurrección han manchado sus manos de sangre. Se ha dado libertad al general Obregon, á quien el pueblo había puesto preso durante el alboroto, y se le ha nombrado gefe del arsenal. Hemos encontrado en el puerto 3 navios, de 112 cañones cada uno;…</t>
  </si>
  <si>
    <t>Ocampo, Manuel</t>
  </si>
  <si>
    <t>Manuel Ocampo</t>
  </si>
  <si>
    <t>la constitución del estado,REI infantería de Saboy*«etá ’ nombrado te­ de las Españas y de las Indias. niente. r Hemos decretado y decretamos io que D. Manuel Ocampo, teniente que fue signe: del regimiento de infantería de Extrema­ „D. Santiago Raíz de Santayana, co­ dura , está nombrado teniente. misario de Guerra de nuestro…</t>
  </si>
  <si>
    <t>Ocana</t>
  </si>
  <si>
    <t>la gazeta de ayer las primeras peno, mayor general = Firmado, duque noticias que nos llegaron sobre la batalla de de Dalmacia. = Por ampliación , el general Ocana y el viage de S. M.; pero el ver­ 'de división, ayudante mayor genera!, Dauldadero resaltado de esta memorable jorna­ tanne.” da és qual se manifiesta en la orden d…</t>
  </si>
  <si>
    <t>Ocarol, Andrés</t>
  </si>
  <si>
    <t>Andrés Ocarol</t>
  </si>
  <si>
    <t>, á D. José Pereyra , canónigo de la colegial de Baeza : pa­ ra una canongía de la iglesia colegial de S. Hipólito de Córdoba, vacante por muerte de D. Andrés Ocarol , á D. José González Guerrero , capellán de los reales exércitos : para la canongía va­ cante en la colegiata de Lorca por fallecimiento de D. Juan An­ tonio Gar…</t>
  </si>
  <si>
    <t>Ochoa, Francisco Xavier</t>
  </si>
  <si>
    <t>Francisco Xavier Ochoa</t>
  </si>
  <si>
    <t>588 ~ nuel Albuerrte. — D. José Palafox. — Condesa viuda de Llerena.— D. José Amarillas.— D. Francisco Xavier Ochoa.—-D. Joaquin Tamayo. — D. José Compani. — Marques de la Romana.— Conde de Cimera. —; D. Eusebio Bardaxi y Azara. — D. Evaris­ to Perez de Castro.— D. Tadeo Francisco Calomarde.— D. Cris­ tó</t>
  </si>
  <si>
    <t>Octavio, Alfonso</t>
  </si>
  <si>
    <t>Alfonso Octavio</t>
  </si>
  <si>
    <t>as : esto sin haber podida contar con la tropa de: D. Josef.Felipe Mangudo.” “¿ En la misma hora , y; desde. Belinchon , recibo parte del te­ niente. D. Alfonso Octavio , que habiendo atacado con 80 hom­ bres a la barca de Villamanrique,, había hecho prisioneros k los 6.1 que la custodiaban.” “Entre muertos , heridos y prisio…</t>
  </si>
  <si>
    <t>603</t>
  </si>
  <si>
    <t>infantería con la pretensión de llevarse 600 cabezas,de ganado lanar para sus tropas de Ocana ; mas por la noche apareció la partida de 4 caballo de D. Alfonso Octavio (alias Alcantarilla) compuesta de 60 entre soldados y contraban­ distas hicieron fuego á la casa donde estaban los franceses, y ma­ taron 2 ; salieron aquellos…</t>
  </si>
  <si>
    <t>Odofífclo, Cecilio</t>
  </si>
  <si>
    <t>Cecilio Odofífclo</t>
  </si>
  <si>
    <t>525 D. Cecilio Odofífclo, decano de In de Goadatnxara; para la re-, guita á D. José Elincheta, asesor del gobierno (!e ia Habana: pa­ ra esta asesoría á D. Leonardo dei Monte, que lo es del de Maracaybo, concediénd</t>
  </si>
  <si>
    <t>Oessac</t>
  </si>
  <si>
    <t>os motivos del proyecto del senado con­ sulto , relativo al alistamiento de 360 conscriptos de las clases de 1803, 1807 , 1808 , 1809t/ 1810 ; por el conde Oessac , orador del conse­ jo de Estado. — Esta* exposición , después de los acostumbrados elogios de lealtad al emperador , y esfuerzos de la nación france­ sa , trata de…</t>
  </si>
  <si>
    <t>Ofarrill, Rafael</t>
  </si>
  <si>
    <t>Rafael Ofarrill</t>
  </si>
  <si>
    <t>978 arrobas.=rDe D. Juan Bautista Galaylena:rzveinte caxas de azúcar blanco con 312 arrobas, y diez caxas de quebrado con 173 arrobas y 7 ]ibras.=:De D. Rafael Ofarrill:= sesenta ca­ xas de azúcar blanco con 894 arrobas y 9 libras, y qua­ renta caxas de quebrado con 63 1 arrobas y 9 libras.n:Del Con­ de Casa Bayona : = sesent…</t>
  </si>
  <si>
    <t>Ofarriü, Josef Ricardo</t>
  </si>
  <si>
    <t>Josef Ricardo Ofarriü</t>
  </si>
  <si>
    <t>8o veinte caxas de azúcar blanco con. 1950 arrobas y 20 libra?, y ochenta caxas de quebrado con 1350 arrobas y 14 Iibras.zz: De D. Josef Ricardo Ofarriü: = ciento ochenta caxas de azúcar blanco con 2890 arrobas ; y ciento veinte caxas de azúcar blanco con 2890 arrobas.zzDe D. Josef Armenteros:=treinta ca­ xas de azúcar blanco…</t>
  </si>
  <si>
    <t>Ogayar, Pedro Jacinto</t>
  </si>
  <si>
    <t>Pedro Jacinto Ogayar</t>
  </si>
  <si>
    <t>r de Orihuela : para la dignidad de arcipreste de la colegial de Sta. María de la ciudad de Baeza , vacante por fallecimiento de D. Manuel Guzman , á D. Pedro Jacinto Ogayar, prior en S. Gil de la misma ciudad : para una ración de la colegial de Ba­ za , vacante por muerte de D. Juan Antonio Gqillen , á D. Mar­ tin Yanguas, r…</t>
  </si>
  <si>
    <t>Oibers</t>
  </si>
  <si>
    <t>a comparada; :r’fok,paí&amp;ge£!dé su hermano An­ tonio Albers ■, aficionado á; la pintura ¿ son la admiración de los artistas dé Francia y de Italia: el doctor Oibers cbhtirúa Con un ardor infatigable en sus observaciones' físicas y astronómicas: el doctor Tilesing ha inventado Ana máquina para hilar mui .ingeniosa y fácil de co…</t>
  </si>
  <si>
    <t>Oitiz, Juan Francisco</t>
  </si>
  <si>
    <t>Juan Francisco Oitiz</t>
  </si>
  <si>
    <t>*tio ' debíénJo oí vídanaerjptsiffpóhcf' aé la '’cCTBJ,iílíía:jiáe essa^rorés" dé Cuenca + que hizo * sus debe re si D. ^Juao J’o'St f de Oazcbal , y D. Juan Francisco Oitiz , tecoronel y «argentó mayor dé Burgos cóctraxeron ua particular mérito. El primero , mandando el cuerpo por pa­ sar yo Á la cabeza de la caballería , tu…</t>
  </si>
  <si>
    <t>Ol, Bonifacio</t>
  </si>
  <si>
    <t>Bonifacio Ol</t>
  </si>
  <si>
    <t>D. Josef Ramón Fernandez y D. Ma­ su correspondiente Colocación. nuel Abbad: ge fes de trozo D. Pablo Unda Y eri rales circunstancias ; qué debe ha­ D. Bonifacio Ol ivencia: seminaristas Don cer uní.gobierno justó y prudente para evi­ atías Ollvencia, D. Félix Gilman, cade­ tar tan graves males ? Es bien claro qne no te de re…</t>
  </si>
  <si>
    <t>Olarte, Antonio</t>
  </si>
  <si>
    <t>Antonio Olarte</t>
  </si>
  <si>
    <t>2.ooo# D. José Gregorio Urbizu. 10.000 D. Baltasar Casanueva. 10.000 D. Teodoro Salazar del Puerto. 30.000 El capitán D. Ignacio García Saenz. 5.000 D. Antonio Olarte, sin estar matriculado. 2.000 D. José Llain. 10.000 D. José Martínez Barenque. 40.000 El subteniente D Nicolás Noriega. 1.000 D. Miguel Ardines. 10.000 D. Gerón…</t>
  </si>
  <si>
    <t>Olaso, Mariano</t>
  </si>
  <si>
    <t>Mariano Olaso</t>
  </si>
  <si>
    <t>a.— D. Ma­ nuel Ulzurrun de Asan za, Sr. de Conduero. — D. Ventura Elorduy. — D. Felipe Porte. — D. Felipe Arias. — D. Juan Casaus. — D. José Ponte.— D. Mariano Olaso.—D. Juan Mallada. — D. Mi­ guel Porte. — D. Jacinto Garisa. — D. Bruno Huici. — D. Manuel Larruga.— D. Ventura Ateza. — D. José Soler.— D. Miguel Echinique. — D…</t>
  </si>
  <si>
    <t>Olivélla, Josef</t>
  </si>
  <si>
    <t>Josef Olivélla</t>
  </si>
  <si>
    <t>ción; y des­ pués ha continuado haciendo de gobernador en el reconocimien­ to de municiones y almacenes con el Comisario D. Antonio Moreno. El físico D. Josef Olivélla curó i los heridos coa , su acostumbrado zelo é inteligencia. Dios guarde á V. E. mu­ chos años. ViUafranca tdel Vierzo 18 de mano de 1809; = Exemo. Sr. == Gab…</t>
  </si>
  <si>
    <t>Olivera, Diego</t>
  </si>
  <si>
    <t>Diego Olivera</t>
  </si>
  <si>
    <t>atos* D. Pedro Ruiz , 153 ris. para diez mochilas. D. Antonio Quesada, 60 rls. para quatro mochilas. D. Juan de Mora , 10 rls. para un par de medias. D. Diego Olivera, 12 rs. para un sombrero. D. Josef Quadrado , 10 rls. para un par de medias. D. Juan Rrenes, 30 rls. para dos mochilas. D. Josef Espejo , 10 rls- para un par de…</t>
  </si>
  <si>
    <t>Oliveros, Antonio</t>
  </si>
  <si>
    <t>Antonio Oliveros</t>
  </si>
  <si>
    <t>Marquesa de Villanueva. — D. Juan del Castillo. — D. Jo­ sé del Casal. — D. José Bea. — D. Cárlos Bancide. — Doña Ra­ mona Cabillas. — D. José Bes. — D. Antonio Oliveros. — Doña Jo­ sefa Luna. -- El conde de Cíavijo.— La muger de D. Andrés Elasti. — Francisco Talayera — D. Juan Pedro Delgado y sus dos hi­ jos. — D. Rafael Del…</t>
  </si>
  <si>
    <t>Olmedo, Manuela</t>
  </si>
  <si>
    <t>Manuela Olmedo</t>
  </si>
  <si>
    <t>co, ¿ iaz , una csm’ba.^z— &gt;. Josef Vazqu z , un par da medias.rrDoña Josefa Fernandez, un par de madias.r= L. Maruri Alvarez , un par «Mi laeaias. ^ Doña Manuela Olmedo , un par de medías.— Doña Josefa Rosas , un par de medias.^Sevilla y enero a# úe icFp = Manuel Rosendo de Paz. . ».»m ———w—&gt; CON REAL P^IVÍL.GÍO.</t>
  </si>
  <si>
    <t>Olona, Josef</t>
  </si>
  <si>
    <t>Josef Olona</t>
  </si>
  <si>
    <t>mando, compuesta de 200 gra­ naderos provinciales de Castilla la nueva, 104 del segundo de infantería de Saboya á las órdenes de su s? r;. nto mayor D. Josef Olona , l6o de ili-' hería á las del coronel D. Franci. co de Córdoba, hácia el puntó de S. Pe­ dro de Cercada y Clarails,, donde encontré los tercios de miqueletes al m…</t>
  </si>
  <si>
    <t>Oodinot</t>
  </si>
  <si>
    <t>s relación con los. nuestros« es bien cierto de Rívoli y de Montebelio y el cuerpo que no se obstinarían en una resistencia im­ de ios'granaderos-del general Oodinot es- potente é inútil. Pero los que tienen allí ct tan en ‘Viena« como Cambien la -guardia manejo y dirección de los negocios cuidan imperial. '-Entre Viena y S..…</t>
  </si>
  <si>
    <t>Ordoñez, Eduarda</t>
  </si>
  <si>
    <t>Eduarda Ordoñez</t>
  </si>
  <si>
    <t>io Amigo , 10 rls. para un par de medias. D. Matías de Soto Sánchez , 60 rls. para quatro mochilas» D- Josef Ruiz , ao rls. para dos pares de medias. Doña Eduarda Ordoñez , 10 rls. para dos pares de medias» Doña María B¿rmudez , 10 rls. para un par de medias» D. Manuel Navarro , 30 rls. para dos mochilas» D. Antonio González …</t>
  </si>
  <si>
    <t>Oreiro, Antonio</t>
  </si>
  <si>
    <t>Antonio Oreiro</t>
  </si>
  <si>
    <t>os los empleados. fundidor á D. Euaenio Luzon ; por ayu­ dante agregados D. Manuel Hernández; y Jamas es el hombre mas tenaz y fiero por acuñadores á D. Antonio Oreiro y que quando no puede presentar razones de D. M tnucl V-dlcjo. sus hechos , y solo es el alma de estos el art. v. Nuestra ministro de Hacienda capricho ó la pa…</t>
  </si>
  <si>
    <t>Oriol, Francisco</t>
  </si>
  <si>
    <t>Francisco Oriol</t>
  </si>
  <si>
    <t>ero de húsares , á los capi­ tanes de mí cuerpo D. Julián- Simón y I). Francisco Bonal, al teniente D. Lorenzo Martin que salió herido, y al teniente D. Francisco Oriol, que sin experimentar lesión alguna, penetró per entre la caballería ene­ miga, abriéndose paso á sablazos. He presenciado con la mas completa satisfacción es…</t>
  </si>
  <si>
    <t>Ornat, Melchor</t>
  </si>
  <si>
    <t>Melchor Ornat</t>
  </si>
  <si>
    <t>580</t>
  </si>
  <si>
    <t>atiga de dos dias de fuego consecuti­ vos , y creyendo temeridad el resistir por mas tiempo, determinó salvar el pais, disponiendo que para el efecto D. Melchor Ornat, vecino de Roncal, parlamentase con los enemigos, y capitulase por los habitantes , arreglado á las instrucciones que para el efecto le dio, en términos que que…</t>
  </si>
  <si>
    <t>Orni, Juan</t>
  </si>
  <si>
    <t>Juan Orni</t>
  </si>
  <si>
    <t>. Torquato Collado.— Marques de Bellestá.— Conde de Puebla del Maestre.— Marquesa de Pontejos.—D. Bernardo Mozo Rosales.—D. Juan Antonio Quin­ tana.--D. Juan Orni.—Í); Jacinto Velandia.—D. Juan Noriega.—D. Manuel de Echaverria.—D. Ramón Sierra.—D.Antonio Guillelmi.— Duque de Rivas.— Conde de Sástago.—D. José Obispo.—D. Ig­ na…</t>
  </si>
  <si>
    <t>Orozco, Francisco</t>
  </si>
  <si>
    <t>Francisco Orozco</t>
  </si>
  <si>
    <t>áuregui oficiales ¿primeros ; á D. Juan Pereyra , D. Ildefonso Figneroa y Lope? , D. Tomás Rodríguez Buron y D..Agustín Duro oficiales segundes ; y k D. Francisco Orozco archivero y bibliotecario. Por decreto del expresada dia 6 del corriente ka nombra-</t>
  </si>
  <si>
    <t>Orsich</t>
  </si>
  <si>
    <t>Sauveur , al mayor Serrier , y otros 11 oficiales. El general conde 1’Espine , destacado á conservar la comuni­ cación con Laibach , participa que el conde Orsich había em­ prendido una correría hasta Adelsberg y Pravvald , y que habiahecho huir á los que trabajaban en demoler las obras de forti­ ficación de este último puebl…</t>
  </si>
  <si>
    <t>Ortega, Francisco</t>
  </si>
  <si>
    <t>Francisco Ortega</t>
  </si>
  <si>
    <t>. -- El conde de Canillas.— El marques de Villamejqr. -- D. Vicente Suero. — D. Bartolomé Vincenti. — D. Juan Pedro Vincenti. *- D. Pedro Iglesias. — D. Francisco Ortega. — D. Manuel de la Quintana. — D. Juan Antonio López. — D&lt; Manuel González del Campo. -D. Juan Rayara. — D. Segismundo Malats. — D. José Antonio Ruiz. — D. J…</t>
  </si>
  <si>
    <t>Ortega, Josef</t>
  </si>
  <si>
    <t>Josef Ortega</t>
  </si>
  <si>
    <t>as de primeras le— álgebra, geometría y principios de geogra­ trtis del mismo colegio D. Aquilino Palo­ fía; el mismo D. Ignacio Romaza de geo­ mino, D. Josef Ortega, D. Jorge Anto­ metría descriptiva, y D. Alexandro Blan­ nio Madero, D. Francisco de Guevara, co de dibuxo. D. Mariano Vera y D. Nicolás Vieites; art. iii. Queda…</t>
  </si>
  <si>
    <t>Osorió, Dr Vicente</t>
  </si>
  <si>
    <t>Dr Vicente Osorió</t>
  </si>
  <si>
    <t>siguiente parte dado por el teniente coronel D. Miguel Rosales, comandante dé las partidas de guerriila de ia derecha del ejér­ cito de la Mancha, al coronel Dr Vicente Osorió , encargado del mando de los cuerpos avanzados del mismo.— “Aunque estaba asegurado de hallarse los enemigos en Dos-barrios , sa­ lí- está mañana con m…</t>
  </si>
  <si>
    <t>Osorio, Josef Navia</t>
  </si>
  <si>
    <t>Josef Navia Osorio</t>
  </si>
  <si>
    <t>atnijatiés. Eí brigadier Don: Remigio Oliara con los regimien-tos de Candas y CastrópóL mandados por sus respectivos coroneles D. Juan Cienfuegos , y D. Josef Navia Osorio, la segunda compañía de granaderos del Infante D. Car­ los, y una de tiradores formada de fusileros dei mismo cuerpo, debía forzar el puente de Cainijanes,…</t>
  </si>
  <si>
    <t>Osorio, Vicente</t>
  </si>
  <si>
    <t>Vicente Osorio</t>
  </si>
  <si>
    <t>224</t>
  </si>
  <si>
    <t>frente , pero los ene­ migos emprendieron su retirada &amp; mucha distancia, y nos hu­ bimos de contentar con perseguirlos. Los regimientos que lle­ vaba D. Vicente Osorio , tomaron entonces la vanguardia , y le siguieron las. líneas según se les previno hasta llegar á la in­ mediación de Ocaaa, en donde se detuvieron los enemigo…</t>
  </si>
  <si>
    <t>yo debía ocupar ai dia siguiente en la marcha que me estaba preñxada, de­ terminé atacarlos y lo verifiqué el dia G ; á. este fin reuní el cuerpo de D. Vicente Osorio que marchaba por el camino real, el de D. Ma­ nuel Cisternes que se hallaba en Villarrubia, y previne á las divisiones primera y tercera que estaban en Herencia…</t>
  </si>
  <si>
    <t>on la mayor intrepi­ dez , persiguieron á los enemigos hasta Dos-Barrios , y dexaron us buen trecho cubierto de sus cadáveres. Reunido en aquel sitio D. Vicente Osorio continuamos hasta las inmediaciones de Ocaüa, en donde sufrimos bastante fuego de artillería sin que pudie­ se conmover á la tropa hasta que faltando ya la luz…</t>
  </si>
  <si>
    <t>Otíjcjinot</t>
  </si>
  <si>
    <t>i c.apapo las tropas mandadas por los Generales Nan»souty.vy S. Qermain. Aun quedaban á la derecha del Da­ nubio Ja famosa división de granaderos del General Otíjcjinot,.. la. división St. Hilaire , dos brigadas de caballería ..ligera , y un tren de artillería. Todq atravesó el rio dújr^nte.Ja . noche, y se reunió con él exér…</t>
  </si>
  <si>
    <t>Otra</t>
  </si>
  <si>
    <t>Gaceta de Madrid n.º 314 (suplemento)</t>
  </si>
  <si>
    <t>onsejero de Estado, director OtTa en la calléMe S. Juan, núm. 2, manz. 239. 3778 , 4$33&lt;S general de bienes” nacionales, Juan Llórente. = V.° B° = el conde Otra en la plazuela de Herradores, núm. 8, de Cabarrus.— Aprobado.¡se Firmado = YO EL REY. = Por S. M. manz. 414................................................... . 2396 …</t>
  </si>
  <si>
    <t>Ottér, Carlos</t>
  </si>
  <si>
    <t>Carlos Ottér</t>
  </si>
  <si>
    <t>tajosa. municación de la izquierda ; la de la iz­ I-a fragata enemiga es la Proserpina» de quierda sobre la derecha » y la del centro, 4a cañones, su capitán Carlos Ottér , con con los minadores y zapadores, sobre el 290 hombres de tripulación. Hace menos frente, en que nuestras baterías habían de un año que salló del astille…</t>
  </si>
  <si>
    <t>Oudhskot</t>
  </si>
  <si>
    <t>y Ausburgo t de¿ -forma qu,e;en .el Tyrol se formará un cuerpo de 250 «hombres:, qué se acamparán: luego que la estación lo per­ mita. El cuerpo del General Oudhskot permanece en Ia JBhi■ viera, y su quartel general se. establecerá en Ausburgó» Se: asegura que iq® bávaros deben marchar al Danubio; que .20&amp; de VVuitfimh^rg y j…</t>
  </si>
  <si>
    <t>Oudi</t>
  </si>
  <si>
    <t>residencia d.l sucesor de Abdul We- res á caballo, que hacen parte del cuerpo hab. Esta última plaza está situada al pare­ de exército mandado por el general Oudi— cer en el centro de la Arabia, yendo des­ not, han pasado por esta ciudad con direc­ de el golfo Pérsico, de donde dista sola­ ción á Augsbnrgp. La guarnición de H…</t>
  </si>
  <si>
    <t>Oudiftot</t>
  </si>
  <si>
    <t>ido del 'Ge«eral Molitor. Otro cuerpo de igual fuerza mandado por Davóust ocupará el Hanóver, Magdeburgo, Brémert &amp;c.; y el resto á las órdener dfel' General Oudiftot se establecerá ‘ enBareüth. . i Desde el &gt; de Noviembre en que principiaél áño 'miiitáf en el Austria, se aumentarán los sueldos y pehMohe^ de todos ios cití: p…</t>
  </si>
  <si>
    <t>Oudino</t>
  </si>
  <si>
    <t>as. Es mucho mas 110 se desengañan; y en esta campana como en probable que se apoderen de ellas. Jas anteriores solo ellos darán oídos á Jas insi­ El general Oudino? se mantiene bueno, y nuaciones de nuestros enemigos.</t>
  </si>
  <si>
    <t>Oudinot</t>
  </si>
  <si>
    <t>es, ha salido también para Maguncia; El resto del deposito de artillería francesa que está aun aquí se ha embarcado ya. Francfort 79 de diciembre. El general Oudinot llegó ayer aquí .con parre de su estado mayor. Co­ mió en casa del conde deBeust, corno también el general Saint-Cir, el gefé del estado mayor dé su división , e…</t>
  </si>
  <si>
    <t>Suabia. el Emperador y el archiduque generalísimo El quartel general del cuerpo de exér­ han visitado y recorrido todos los parages cito que manda el general Oudinot llegará qne han padecido por este accidente, y los hoi á Brucbsal. Muchos regimientos del re- . que están amenazados de algún peligro. El ferido cuerpo atraviesa…</t>
  </si>
  <si>
    <t>a­ do en las instrucciones dadas por S. M. al rón de Wrede. Se cree que el cuerpo de consejo de guerra. En consecuencia, el re­ exército que manda el general Oudinot se ferido consejo recibió órden de juntarse de acantonará provisionalmente en las dos ori­ nuevo para dar su parecer sobre las cues­ llas del Lech, entre Augsbur…</t>
  </si>
  <si>
    <t>de guerra que se ha los franceses. Concluidas las conferencias de celebrado allí. Seltz, se restituyó á Petersburgo. En 9 de Ayer pasaron revista el general Oudinot febrero de 1801 ajustó la paz de Luneville, y el general Wreden á todas las tropas y ocupó en diciembre del mismo año los francesas y bávaras que se hallan en est…</t>
  </si>
  <si>
    <t>bávaros han ido á alis­ rís. (Afor n ing - ch ron icle.) tarse baxo las banderas del archiduque Car­ En la mañana del 28 de marzo último los ; que el general Oudinot ha sido com­ se presentó en la secretaria de Negocios pletamente derrotado; y aun añaden que extrangeros un correo ruso con pliegos: ha-* ha perdido la vida. Se …</t>
  </si>
  <si>
    <t>tiibona. dados se habían dexadb ya ver en el terri­ E! cuerpo del duque de Rívoli en Ulma. torio italiano: nosotros permanecíamos quie­ El cuerpo del general Oudinot en Augstos , porque no podíamos pensar que llega­ burgo. ría el caso de cometer semejante perjurio. El quartel general en Strasburgo. Los exércitos francés é ita…</t>
  </si>
  <si>
    <t>ruido por la caballería ligera báva­ ra, y sil corotierqucJó. muerto. -• ^ Combate de Pfaffenhoffen el jp. A la caida del dkrse unió el cuerpo del El general Oudinot, que había salido duque de -Dantsick con el-del duque de de Augsburgo, llegó al rayar el dia 19 i Auerstaedt. • -....... . - * •**</t>
  </si>
  <si>
    <t>iado quedan restablecidas, y que han co­ menzado las hostilidades contra el enemigo DIARIO QUARTO. común. Quartel general de Braunau 1 .* de mayo. El general Oudinot ha cogido prisione­ ro un batallón de i0 hombres entre Ahham Al pasar el puente de Lard hut el ge­ y Ried. Dicho batallón no tenia ni caba­ neral de brig.di Laco…</t>
  </si>
  <si>
    <t>de batalla. hizo echar un puente sobre el último bra- Durante la noche pasaron los tres puen­ 20 entre Gross-Á&lt;pem y Esling; y como tes el cnerpo del general Oudinot, la divi­ este brazo es de 70 toesas, hubo suficiente sión Saint-Hilaire, dos brigadas de caba­ con 1 s pontones, y quedó echado el puen­ llería ligera y el tren…</t>
  </si>
  <si>
    <t>Germain ; aunque una orden , es arrebatado de una bala. Veir» quedaba á la derecha la famosa división del te y tres mil hombres de las mejores tropas general Oudinot, la división St. Ililaire, francesas, entre la alternativa de morir ó dos brigadas de caballería y un tren de ar­ rendirse , arrojan sus armas y se entregan till…</t>
  </si>
  <si>
    <t>no á ocu­ cuerpo del duque de Rivo.i fbru tí la iz­ par el pueblo de RutzendorfT. Ei Empera­ quierda ; et del condc.Oudinut el centro, y dor mandó al general Oudinot que se apo­ el del duque de Auerstaedt la derecha. La derase de este pueblo, á cuya derecha hi­ segunda línea y las reservas se componían zo que pasase también e…</t>
  </si>
  <si>
    <t>staba concluida , y que del mayor mérito, y uno de nuestros me­ era nuestra la victoria. jores generales de caballería ligera. Al medio dia marchó el conde Oudinot El general bávaro Wrede, y los gene­ hácia Wagram para ayudar al duque de rales Seras , Grenier, Vignolle, Sahuc, FreAuerstaedt en el ataque, el qual logró apo­ re…</t>
  </si>
  <si>
    <t>del mariscal duque de Rugo­ Emperador de su campo de Zuaim, y lle­ sa ea el circulo de Korn-Neufeourg; el gó á las tres de la tarde al palacio de del mariscal Oudinot delante de Viena, Schoenbrunn. en Spirz; el dd virei sobre Presburgo y S. M. ha visitado las inmediaciones del Gxatz. La guardia imperial se vuelve á los pueblo…</t>
  </si>
  <si>
    <t>artillería dé la guardia ; el xefe de esquaclron Grenner ha perdido un brazo. En esta batalla se lian hallado la guardia imperial , y los cuerpos del conde Oudinot, duques de llivoli, Ragusa y Averstaedt, príncipe de Pontecorvo, y vi rey de Italia. Lo fuerte de la batalla duró hasta las 10 de Ja mañana del 6 . al anochecer no…</t>
  </si>
  <si>
    <t>drá;«en;ade­ tencia el sistema .de los estadtoi grandes del lante él ñómbre de ioií/fcóua ouefpo. El Continente, habrá de quedar- el Báltico cer­ del mariscal Oudinot conserva la, denomi­ rado para los Ingleses. Añádese i esta con­ nación de segundo cuerpo que tenia.qyan­ jetura el ver que de algún itiesnpo i esta do- estaba …</t>
  </si>
  <si>
    <t>lla de Wagram el pueblo de este al general Rosca. nombre fue tomado el dia 6 entre 10 y 11 - El duque de Dantzick ha entrado en el de la mañana, y al mariscal Oudinot y al Tirol coa. 2 5 © hombres. El 28. ha ocupado cuerpo que manda es debida toda la gloria á Lovers, y en todas partes va desarmando de aquella jornada. á los h…</t>
  </si>
  <si>
    <t>erpo del duque de Rivoli está acampado en el círculo de Znaim; el del duque de Auerstaedt en el de Brunn; el de Ragusa en el de Korn-Néuburgo; el del mariscal Oudinot delante de Viena en Spitz ; el del vi rey en Presburgo y Gratz. La guardia imperial vuelve á las inmediaciones de Schoenbrunn. — Observan algunas gazetas extran…</t>
  </si>
  <si>
    <t>ndres 1* de agosto. ne su quartel general en Brunn; el duque de Rívoli en Znaim; el duque de Ragusa El capitán Douglas, comandante de la en Krems; el mariscal Oudinot en Spitz; el corbeta llamada Peruviana , encontró mui príncipe virei de Italia en Presburgo, y el cerca de Boloña en la mañana del 2 5 de ju­ mariscal Macdonald…</t>
  </si>
  <si>
    <t>faceros se distinguían «entre todos por su bella disposición. IMPERIO FRANCES. S. M. ha pasado esta mañana revista al '* : . c cuerpo de exércíto del mariscal Oudinot, Parts S de setiembre. y casi todos los dias llegan á Schoembrann El diario de 1‘Oise contiene un artículo varias divisiones del exércíto con el mismo sobre las…</t>
  </si>
  <si>
    <t>con el cuerpo saxon en Presburgo y sus in­ mediaciones. Se sabe que se han enriado allí de refuerzo algu­ nos regimientos franceses. — El cuerpo del mariscal Oudinot es­ tá actualmente reconcentrado, y distante algunas leguas del Da­ nubio. Es todavía numeroso el campo de Spitz , destinado k cu­ brir el puente del Tabor. — El…</t>
  </si>
  <si>
    <t>de Westfalia iba acompañando al juicios que se originan al estado de que se Emperador. dilaten los matrimonios proyectados; lo Ha llegado á París el mariscal Oudinot, mucho que la religión y la moral interesan duque de Róvigo, y el día j presidirá el en evitar estas dilaciones» y lo practicado concejo electoral del departamen…</t>
  </si>
  <si>
    <t>Oudinpt</t>
  </si>
  <si>
    <t>de Rívoli. El virci .tes por la superioridad de nuestros fuegos, se juntó con el centro , donde el cuerpo del y dexó esta inmensa llanura cubierta de conde Oudinpt, el del duque de Ragusa, despojos y reliquias suyas. los de la guardia imperial, y las diviiiones de coraceros formaban siete ú ocho líneas. Hatalia di Wagram. El …</t>
  </si>
  <si>
    <t>Oudivolatería</t>
  </si>
  <si>
    <t>682</t>
  </si>
  <si>
    <t>ue sé ha levantado contra todos ellos sin Después de haber cogido 1100 prisio­ excepción, y que sin duda ahuyentará esta neros el día í.° de mayo, el general Oudivolatería diplomática. Mr. Frere debe ser not siguió el alcance hasta mas allá de Ried, llamado. A él es á quien debemos el que se en donde cogió 400; por manera que…</t>
  </si>
  <si>
    <t>Oudlnot</t>
  </si>
  <si>
    <t>en el brazo deró é hizo prisioneros á quanros se halla­ de la isla Alexa.idro un puente de 8o toe- ban alli. xas de una foja pieza, y cinco barcas £1 conde Oudlnot cercó el castillo de grandes. Sachsengang, que el enemigo habia forEl coronel Sainte Croix, edecán del tilicado; hizo capitular á yoo hombres que duque de RívoÜ, p…</t>
  </si>
  <si>
    <t>Oununca</t>
  </si>
  <si>
    <t>o coronel de caballería y con suel­ comandante de la caballería., y el duque de do entero, en una legión que no existió Montebello, con el cuerpo del general Oununca «n aquella isla. El sabio ministro dinotr, entraron en \Céls; Encontraron en imitó en esto la conducta del Reí Guiller­ esta ciudad otra porción de hornos, de um…</t>
  </si>
  <si>
    <t>Ovaaáo, Agustín de Villanueva Cácerés</t>
  </si>
  <si>
    <t>Agustín de Villanueva Cácerés Ovaaáo</t>
  </si>
  <si>
    <t>ual obediencia y su­ misión. Los Capitulares qua firman son = D. Antonio Mendea: Prieto, rrr D. Francisco Josef de Urruda- zr El Marques de Uluapa. = D. Agustín de Villanueva Cácerés Ovaaáo.*==: Manuel Díaz de los Cobos Mdxica. zz. D. fuaa de Taaroa'?a.zr D. Juan Manuel Velas de la * Cadena, zr. D. Juan de Ightiaa Pablo, = D.…</t>
  </si>
  <si>
    <t>Ovalle, Félix</t>
  </si>
  <si>
    <t>Félix Ovalle</t>
  </si>
  <si>
    <t>r Marques de la Puebla. a-.............. -\Exc. Señor D. Juan de Dios Kábé. Estremadura............ S *xc&gt; |e"ot £• ^Ia,rtin „de .?*'**• ^ Exc, Señor D. Félix Ovalle. Galicia y Exc. Señor Conde de Gimonde. ’**”**.............. ] Exc. Señor D. Manuel Maria Avalle. /f*Exc. Señor I&gt;. Rodrigo Rsqueltne. .......... \ Exc. Siñor D.…</t>
  </si>
  <si>
    <t>e Gimonde. Exc. Señor Marques de la Puebla. Exc. Señor D. Lorenzo Bonifaz y Quintan®. Exc. Señor D. Carlos .Atnatria. SECCION DE HACIENDA* Exc. Señor D. Félix Ovalle. Exc. Señor D. Lorenzo Calvo. Exc. Señor D. Sebastian de Jócano. Exc. Señor D. Luis Funes y Salido* Exc. Señor D. Miguel Balanza Exc. Señor D. Francisco de I *!a…</t>
  </si>
  <si>
    <t>Ovalle, Joaquín</t>
  </si>
  <si>
    <t>Joaquín Ovalle</t>
  </si>
  <si>
    <t>nte* de las partidas de guerrilla. El comandante general de Artillería : al coronel D. Matías de Ferrar, y al de igual clase agregado al estado mayor D. Joaquín Ovalle : á los capitanes D. Francisco Masia, D. José Saravia , D. Antonio Loriga y D. Joaquín Domínguez, y al subteniente D. José de Ponte. Finalmente recomiendo muy …</t>
  </si>
  <si>
    <t>Ovejero, Antonio</t>
  </si>
  <si>
    <t>Antonio Ovejero</t>
  </si>
  <si>
    <t>corregidor D. Manuel Saenz de Buruaga; los individuos del ayunta­ miento D. Antonio Luengo Vázquez, regidor decano ; D. Juan de Dios Dáviia, regidor; D. Antonio Ovejero, regidor habilitado; D. Alonso Mar­ tin, id. , y D. Juan de la Cruz García Carpizo, procurador del comuh. De agregados á junta de municipalidad concurrieron D…</t>
  </si>
  <si>
    <t>P, Antonio</t>
  </si>
  <si>
    <t>Antonio P</t>
  </si>
  <si>
    <t>esta capital, que­ benéficas disposiciones. dan nombrados: director D. Juan de Arri­ No basta decir a los labradores que en bas ; regente de estudios D. Antonio P a- la guerra como en la paz es preciso sem­ lazuelos; directores de Sala D. Fernando brar para no perecer, sino que se requiere Carrasco, ex-religioso de S. Cayetan…</t>
  </si>
  <si>
    <t>Pa, Mauricio</t>
  </si>
  <si>
    <t>Mauricio Pa</t>
  </si>
  <si>
    <t>e Góngora. — D. Jacobo Parga. — D. Mateo de Mora y Lomas. — Conde de Vaide Paraiso. — Marques de Orieco. — Duque de Abrantes. — Conde de Cervellon. — D. Mauricio Pa­ rada. — D. Ambrosio Chocano. — Conde de Castroterreño. — Marques de Palacio.— D. Manuel López Araujo.— D. José Gar­ cía de León y Pizarro. — Marquesa viuda de Fo…</t>
  </si>
  <si>
    <t>Pabarie, Salvador Rodríguez</t>
  </si>
  <si>
    <t>Salvador Rodríguez Pabarie</t>
  </si>
  <si>
    <t>xpresada deuda. yores, los primeros entre los modernos, AR.T. 11. Nombramos por adjuntos de proclamaron después de los siglos de bar­ está comisión á D. Salvador Rodríguez Pabarie. No estoi menos satisfecho por el va­ lomeque , contador de la tesorería de con­ lor y el denuedo que han desplegado mis solidación , y ministro ho…</t>
  </si>
  <si>
    <t>Pablo</t>
  </si>
  <si>
    <t>añana ha de Rusia cerca de la corte de Viena , re­ llegado aqui S. M. el Emperador : el prín­ mitió el 5 de abril al gobierno austríaco cipe real, el príncipe Pablo , y todos los una nota i en la qual declara que la Rusia demas príncipes de la casa real han ido á permanece invariablemente unida con la recibirle; pero el Rei n…</t>
  </si>
  <si>
    <t>. que mas "se han distinguido en las acciones S. M. ha promovido ál grado de te­ de Lintz EnzersdorF, Wagram y Stampfen. niente general á S. A. R. el príncipe Pablo, Todas las clases del pueblo sienten hM y al mayor general Koseritz. (1) Es de notar que en Virtud del armisticio Lintz de 18700, Gratz de 30$, Klagenfurth todas …</t>
  </si>
  <si>
    <t>Pablo, Juan de Ightiaa</t>
  </si>
  <si>
    <t>Juan de Ightiaa Pablo</t>
  </si>
  <si>
    <t>= D. Agustín de Villanueva Cácerés Ovaaáo.*==: Manuel Díaz de los Cobos Mdxica. zz. D. fuaa de Taaroa'?a.zr D. Juan Manuel Velas de la * Cadena, zr. D. Juan de Ightiaa Pablo, = D. León Ignacio Rico.. == D. Josef Calapis Mat-ís, Secretario. La Representación , firmada por lo&amp; miamos - -Capifolares^ jr con la sobredicha fecha i…</t>
  </si>
  <si>
    <t>Pablo-Morilla</t>
  </si>
  <si>
    <t>rd , Capitán dé navio ,. Comandante de la fragata inglesa la Venus , comi­ sionado por Jorge Mac-Kinley , Comandante del crucero in­ glés de Vigo ; y D. Pablo-Morilla', Coronel , Comandante de las tropas españolas delante de la misma plaza ; hemos contratado la capitulación de la guarnición francesa- que se. halla en la plaza…</t>
  </si>
  <si>
    <t>Pacca</t>
  </si>
  <si>
    <t>a. «Escriben de Roma con fecha de 7 de enero que el Sto. Padre ha nom­ brado prefecto de la congregación de las inmunidades eclesiásticas á S. Em. el cardenal Pacca. Los cardenales Despuig * Consalvi y Erskine han sido nombrados individuos de la congregación particular de las Indias orientales y de la China. ; En uno de nuest…</t>
  </si>
  <si>
    <t>Pache, Juan</t>
  </si>
  <si>
    <t>Juan Pache</t>
  </si>
  <si>
    <t>parte del mundo, y que todo tes­ tiguo consejo de Castilla; al teniente gene­ tifica nuestro celo en mantener y. hacer res­ ral D. Tomas de Moría ; á D. Juan Pache­ petar vuestra religión. co ; al marques de Branciforre , capiran ge­ Quanto á lo que se llama independen­ neral de Los reales exércitos y ex-virei de cia , sabed …</t>
  </si>
  <si>
    <t>Pacheco, Juan Diego</t>
  </si>
  <si>
    <t>Juan Diego Pacheco</t>
  </si>
  <si>
    <t>a de tiradores de Extremadura , escopeteros de Cruzada , y cuerpo de lanzeros , encargando el mando de la derecha al Vocal de la Junta de Extremadura D. Juan Diego Pacheco , con dirección al camino que dirige á la Morera y Fuente de la Corte ; la izquierda al del teniente coronel D. Santiago Porta , dirigiéndose por la orilla…</t>
  </si>
  <si>
    <t>Pací</t>
  </si>
  <si>
    <t>177 del general Frasscr, mandado por el teniente coronel Pací:, Iíh» tomó una batería á bayoneta calada.” “En la tarde anterior fué tomado con la misma intrepidez un atrincheramiento que tenia el enemigo delante de la división del mayor general Graham</t>
  </si>
  <si>
    <t>Packenham</t>
  </si>
  <si>
    <t>en Trento han sido mui bien reci­ 30 del mismo mes. El capitán Tailor y bidas." otros oficiales han sido muertos; y heridos Tr evito 20 de abril. el teniente coronel Packenham y muchos El quartel general de nuestras tropas oficiales. Ei general Villaret- Joyeuse se ha permanece aqui, y el enemigo se mantiene distinguido sobre…</t>
  </si>
  <si>
    <t>Paez, Lorenzo</t>
  </si>
  <si>
    <t>Lorenzo Paez</t>
  </si>
  <si>
    <t>rls. pira 4 mochilas y 2 pares de medias* Do ña Librada Solano , 12 rls. para una gorra de quartel* Doña Josefa Alvarado , 30 rls. para dos mochila?. D. Lorenzo Paez, 20 rls. para dos pares de medias. D. Aidres Gutiérrez, 10 rls. para un par de medias. Doña María Manuela Escobar, 1 o rls. para un par de medias* D. Benito Alva…</t>
  </si>
  <si>
    <t>Pagar, Juan</t>
  </si>
  <si>
    <t>Juan Pagar</t>
  </si>
  <si>
    <t>tan,reñida como largame valí dé los cadetes , el alférez D. Ezequieí Gómez de Tejada y D. Rafael Castañeda , del primero de húsares de Extremadura , D. Juan Pagar, el alférez D. Manuel Gil y Landa, D. Manuel Moreno de Tejada , y- I). M miaño López, del segundo de húsares de Extremadura : todos estos in­ dividuos comunicaban m…</t>
  </si>
  <si>
    <t>Pakenham</t>
  </si>
  <si>
    <t>'mas de 300 hombres , y nosotros tupimos algunos muertos y heridos * entre los primeros se cuenta el Teniente Coronel Taylor, y entre los segundos el Teniente Coronel Pakenham , y el Mayor Maxwell.—-El referido día 3 á las 8 de la noche rompió el fuego la batería. En pocas horas arrojamos mas de 200 bombas , que al cabo hicie…</t>
  </si>
  <si>
    <t>Palacios, Félix</t>
  </si>
  <si>
    <t>Félix Palacios</t>
  </si>
  <si>
    <t>D. Andrés Gorvea, En el discurso del año próximo pasado D. Félix Gilmau , cadete de reales guardias han nacido en Ñapóles 14719 individuos: Walonas, D. Félix Palacios, D. Pedro han fallecido 11727; y se han celebrado Cendeja, É&gt;. Joaquín de Osés , D. Matías 3337 matrimonios. de la Torre, D. Francisco Xavier Vidarte Se ha hech…</t>
  </si>
  <si>
    <t>Palacios, Mateo</t>
  </si>
  <si>
    <t>Mateo Palacios</t>
  </si>
  <si>
    <t>. C. 50.000. D. Esteban Velez de Escalante. C. 50.000 D. Pedro Muguerza. C. 10.000 D. Joaquín Aldana. C. 10.000 D. Domingo Ignacio Lardizabal. 50.000 D. Mateo Palacios. C. — 50.000 D. Antonio Ugaldéa. C. 2.000 D. Gregorio Saenz de Sicilia. C. 15.000 D. Fernando Hermosa. C. 12.000 D. Josef Marrugat y Boldú. C. 6.00a El P. Fr. …</t>
  </si>
  <si>
    <t>Palafox</t>
  </si>
  <si>
    <t>tribuyó mas que nadie á di­ rigir los movimientos del vecindario al noble fin que se proponía, reconoció con el mayo» ^respeto la nueva autoridad del general Palafox , y fué uno dé los primeros vocales dé la junta de Gobier­ no. En esta Junta trabajó infatigable durante los últimos 10 meses de su residencia en -Aragón ; y tod…</t>
  </si>
  <si>
    <t>Palafox, José</t>
  </si>
  <si>
    <t>José Palafox</t>
  </si>
  <si>
    <t>588 ~ nuel Albuerrte. — D. José Palafox. — Condesa viuda de Llerena.— D. José Amarillas.— D. Francisco Xavier Ochoa.—-D. Joaquin Tamayo. — D. José Compani. — Marques de la Romana.— Conde de Cimera. —; D. Eusebio Bardaxi y Azara.</t>
  </si>
  <si>
    <t>Palatino</t>
  </si>
  <si>
    <t>dos en el Consejo áulico de guerra han partido para el exército.—El Emperador se pre­ para á salir para Hungría el io de marzo , acompañado del Archi-Duque Palatino , donde pasará revista al levantamiento Húngaro , que los diarios de Bonaparte confiesan que es numerosísimo. Estos mismos diarios dicen, á la verdad, que los exé…</t>
  </si>
  <si>
    <t>Palma, Antonio</t>
  </si>
  <si>
    <t>Antonio Palma</t>
  </si>
  <si>
    <t>sargento mayor del real cuerpo de Ingenieros, y ai teniente coronel D. Antonio Cano, capitán pri­ mero del batallón ligero voluntarios de Navarra : á D. Antonio Palma, D. Martin Muñoz, D. Pedro Valero y D. Francisco Martin , sargento mayor, capitán 1.° , teniente y subteniente del batallón de tiradores de Ciudad-Rodrigo: á D.…</t>
  </si>
  <si>
    <t>Palo, Aquilino</t>
  </si>
  <si>
    <t>Aquilino Palo</t>
  </si>
  <si>
    <t>go y D. Ignacio Romaza de aritmética, res de las escuelas públicas de primeras le— álgebra, geometría y principios de geogra­ trtis del mismo colegio D. Aquilino Palo­ fía; el mismo D. Ignacio Romaza de geo­ mino, D. Josef Ortega, D. Jorge Anto­ metría descriptiva, y D. Alexandro Blan­ nio Madero, D. Francisco de Guevara, co …</t>
  </si>
  <si>
    <t>Palomino, Josef</t>
  </si>
  <si>
    <t>Josef Palomino</t>
  </si>
  <si>
    <t>ciso García, D. Juan Casamayor y Don vecino., Jaime Gailt; y para subtenientes á D. Bar­ ,, Los disturbios y desavenencias entre los tolomé Deañino, D. Josef Palomino, Don vocales de la junta son todavía mas escan­ Manuel Litran , D. Beltran Galdes y Don dalosos. El espíritu de facción hace que se Manuel Linzuain. En caballer…</t>
  </si>
  <si>
    <t>Parchnow</t>
  </si>
  <si>
    <t>s. Dícese que hai gran desunión entre lo* ,, II.ibien.10 llegado nuestra esquadrilla príncipes de la familia Imperial de Austria., cerca vio Anap, el capitán Parchnow, que Algunas cartas de Toeplitz aseguran que el L, mandaba, hizo desembarcar inmediata- mando en gefe del exército austríaco lia si­ iu.mte las tropas, y atacó …</t>
  </si>
  <si>
    <t>Pardi, Ruperto</t>
  </si>
  <si>
    <t>Ruperto Pardi</t>
  </si>
  <si>
    <t>condición que sean, y se hallen ausentes, gía; y para una capellanía del número y se restituyan dentro del término de 30 días coro de la de Toledo á D. Ruperto Pardi­ después de la publicación de este edicto llo . capellán que ha sido de las Huelgas de á sus casas, ofreciéndoles protección y se­ Burgos , vacante por renuncia …</t>
  </si>
  <si>
    <t>Pardo, Manuel</t>
  </si>
  <si>
    <t>Manuel Pardo</t>
  </si>
  <si>
    <t>astillo.--Monjas de Sigena. — D. Ambrosio Nasarre.— Mar­ ques de las Amarillas.— Marques de Lezo. — D. Francisco Mondragon. — D. Francisco Vázquez. — D. Manuel Pardo. — D. José Perez Valiente. — D. Gregorio Tocanecorro. — Baronesa de Togia. — Marquesa de Villanueva. — D. Juan del Castillo. — D. Jo­ sé del Casal. — D. José Bea…</t>
  </si>
  <si>
    <t>Pardo, Mauuel García</t>
  </si>
  <si>
    <t>Mauuel García Pardo</t>
  </si>
  <si>
    <t>: D. José Garriga, director que ha sido de . policía , y su rouger: -el licenciado D. Manuel de la Piedra , llamado^ magistrado de la -tal policía -. D. Mauuel García Pardo , redactor que fué de la ga­ ceta v Manuel - Laudeyra, pasamanero : Antonio .Gómez</t>
  </si>
  <si>
    <t>Parga, Jacobo</t>
  </si>
  <si>
    <t>Jacobo Parga</t>
  </si>
  <si>
    <t>omana.— Conde de Cimera. —; D. Eusebio Bardaxi y Azara. — D. Evaris­ to Perez de Castro.— D. Tadeo Francisco Calomarde.— D. Cris­ tóbal de Góngora. — D. Jacobo Parga. — D. Mateo de Mora y Lomas. — Conde de Vaide Paraiso. — Marques de Orieco. — Duque de Abrantes. — Conde de Cervellon. — D. Mauricio Pa­ rada. — D. Ambrosio Choc…</t>
  </si>
  <si>
    <t>Pariier'hra, Juan Díaz</t>
  </si>
  <si>
    <t>Juan Díaz Pariier'hra</t>
  </si>
  <si>
    <t>unal; y1 para las dos plazas de alcaldes del crimen que re- „E1 brigadier y comandante de la com­ sultán vacantes á D. Cayetano Martínez pañía fianca D. Juan Díaz Pariier'hra&lt; re—T Cosío, alcalde mayor del valle de Toran- cibido de un íntimo amigo suyo-, do ve­ zo, y á D. Antonio Martin Rivas, corre-r racidad acreditada (1), …</t>
  </si>
  <si>
    <t>Paris</t>
  </si>
  <si>
    <t>destrozadas en varios encuentros que han te­ nido con los austríacos, con pérdida de muchos muertos y pri­ sioneros : entre los últimos se cuenta el conde Paris, uno de los xefes de los revoltosos , el qual ha sido conducido á Cra­ covia. No cabe duda en que con la entrada del exército ruso en Gallitzia , y con las sabias med…</t>
  </si>
  <si>
    <t>París</t>
  </si>
  <si>
    <t>ndose con otros 40 hombres ,. al-mando del teniente; del primero de Húsares B. Bernardo Marques-en un reconocimiento cerca de Ontígola, cayó sobre el general París , comandante de-la. caballería- ligera enemiga , le mató , y se traxo por. trofeo-y testimonio de su valor el sombrero, casaca y papeles del muerto. S. M., lleno d…</t>
  </si>
  <si>
    <t>Parra, Josef</t>
  </si>
  <si>
    <t>Josef Parra</t>
  </si>
  <si>
    <t>Pedro dad para los habitantes de esta capital , y de la villa de Gumiei del Mercado, dió­ sus alrededores se hermosearán considera­ cesis de Osma : á D. Josef Parra para otro blemente. _ 1 ' beneficio de la iglesia parroquial de la vi­ lla de Vinnesa, en la misma diócesis de Don Josef Napoleón por la gracia de Osma ; y á D. F…</t>
  </si>
  <si>
    <t>Parra, Juan</t>
  </si>
  <si>
    <t>Juan Parra</t>
  </si>
  <si>
    <t>Quínt ro, 373 rls. para un vestuario completo. Doña Feliciana González, 75 rls. para una casaca. D. Francisco Fernandez , 17 rls. para unos zapatos. D. Juan Parra . 48 rls. para unos pantalones. D. Antonio Diaz , 75 r-’s*- pira una casaca. D. Francisco Muñí z , 48 rls. para unos pantalones. D. Antonio de los Santos , 70 rls. …</t>
  </si>
  <si>
    <t>Parsen</t>
  </si>
  <si>
    <t>D. Hilario Ximenez.— Angel Blanque.— Juan Domec.- D. Fran­ cisco Gantolaria — D. Francisco de Paula Perpiñan, muger é hi­ jo. — Doña Bárbara Garay. — Conde Parsen, marques de Bárboles. — D. Joaquin Heredia. — D. Ildefonso Quartero.--Doña Ven­ tura Lisa. — D. Pedro Silves— José Fornies. -- D. José Latasa. — D. José Marracó. — …</t>
  </si>
  <si>
    <t>Pasqual, Cayetano</t>
  </si>
  <si>
    <t>Cayetano Pasqual</t>
  </si>
  <si>
    <t>iderable. Toda su división se ha portado con valor , y re­ comienda á los que han sobresalido en la acción que son los capitanes Alborná, Guinovart y D. Cayetano Pasqual, el teniente D. José Roself, el sargento Antonio Mateu , el tambor Ignacio Bonis que se es­ capó de las manos de los coraceros , y D.. Pablo Basons. Seviila …</t>
  </si>
  <si>
    <t>Pasqual, Pablo</t>
  </si>
  <si>
    <t>Pablo Pasqual</t>
  </si>
  <si>
    <t>o.--Doña Ven­ tura Lisa. — D. Pedro Silves— José Fornies. -- D. José Latasa. — D. José Marracó. — D. Tomas Castillo Larroy. -- D. Vicente Camacho. -- D. Pablo Pasqual.— D. Juan Ramón Perez. -- D. Xa­ vier Castillo.--Monjas de Sigena. — D. Ambrosio Nasarre.— Mar­ ques de las Amarillas.— Marques de Lezo. — D. Francisco Mondrago…</t>
  </si>
  <si>
    <t>Pastoret, Antonio</t>
  </si>
  <si>
    <t>Antonio Pastoret</t>
  </si>
  <si>
    <t>a­ do D. Joaquin Rey, á D. Josef Soler , vicario general de aquella diócesi : para la de Lérida , vacante por fallecimiento de D. Joaquin Lacambra, á D. Antonio Pastoret, canónigo de Vich : pa­ ra la de Tortosa , vacante por muerte de D. Lozano Colomer, á D. Juan Bautista Cortiella , racionero de la misma: para la.de la metro…</t>
  </si>
  <si>
    <t>Patricio</t>
  </si>
  <si>
    <t>talento y de su mocho mérito, le Encarnación de Madrid: para otra ración confió la primera división política del mi­ de Mensa de la propia iglesia á D. Patricio nisterio. Josef González y Tricio, capellaa que ha IMPERIO FRANCES. sido de la real fábrica de armas de Toledo: á D. Vicente Román Gómez, cura de la París &lt;T de setie…</t>
  </si>
  <si>
    <t>Patriota</t>
  </si>
  <si>
    <t>el Valor y fidelidad de sus aliados la Indemnizado a de la crueldad y perfidia de sus enemigos. 6. ° A la liber­ tad de Fernando Vil f y á que sea un Rey Patriota de una ■ación noble* 7, 0 A las Juntas y Generales de España &amp;\ BOHEMIA. Praga 26 de abril• t 1 v El 23 de! corriente á la* nueve de la noche llegó al quaítel gener…</t>
  </si>
  <si>
    <t>Pavía, Félix</t>
  </si>
  <si>
    <t>Félix Pavía</t>
  </si>
  <si>
    <t>1481</t>
  </si>
  <si>
    <t>radores de su general del exército» sé concede permiso 4 real guardia; al teniente del regimiento todos los habitantes pc-bíés para que pue­ Oúm. i.° D. Félix Pavía teniente de la dan cortar la leña qué necesiten este invier­ misma compañía española , y al subtenien­ no eu los bosques imperiales. te del citado núm. t.° D. Ant…</t>
  </si>
  <si>
    <t>Pavoust</t>
  </si>
  <si>
    <t>toa tivo se publicó la carta de! Mariscal Pavoust , en que dices ,, no haber solicitado Jas tropas francesas alterar el amor de los pueblos hácia su Soberano , sino, al contrario , haber refrenado los enemigos del árdea público , protegiend</t>
  </si>
  <si>
    <t>Payan, Baltasar</t>
  </si>
  <si>
    <t>Baltasar Payan</t>
  </si>
  <si>
    <t>te sobre una colina una batería de dos cánones de á r8 que dominaba el puente y la mayor parte del cansino real, la que puse al cargó del subteniente D. Baltasar Payan ; y mas abaxo sobre la cabeza dél puente coloqué dos cañones de á 4 al mando del capitán D. Manuel-í Domínguez: A ía izquierda del puente sobre otra colina' pu…</t>
  </si>
  <si>
    <t>Payne</t>
  </si>
  <si>
    <t>derecha fue envuelta por el regimien­ to l.o de húsares , y el 23 de dragones ligeros , mandados por el general Anson , baxo las órdenes del teniente general Payne , y por la división de infantería del mayor general Mackerrzie ; y faé rota por la vanguardia española , mandada por el general Zayas y el duque de Alburquerque. H…</t>
  </si>
  <si>
    <t>Pazos, José</t>
  </si>
  <si>
    <t>José Pazos</t>
  </si>
  <si>
    <t>rgento mayor de caballería de línea;'de D. Bernando Casamayor y •D. José Muntaner, para comisarios de guerra de primera cla«e; y de D. Gerónimo Miro, D. José Pazos, D. Antonio Bodoy, D. José Barrera y D. Joaquín Frías, para comisarios de guerra de segunda clase. En la del iy se concede á D. Juan Basil una plaza de capitán de …</t>
  </si>
  <si>
    <t>Pcreira, Fernando</t>
  </si>
  <si>
    <t>Fernando Pcreira</t>
  </si>
  <si>
    <t>ni, cabo , Mauzoda queda encargado de la exeeucion del pre- ne, cabo, Ambrisi y Forser, sargentos, y aeute:decreto, s: Firmado=YO EL REI, = al vélite D. Fernando Pcreira. Por $. M. so ministro secretario de Estado Mariano luis de Urquijo. ” Por decreto de 17 del corriente S. M. ha venido en nombrar á D. Claudio Bou• Por real …</t>
  </si>
  <si>
    <t>Pcrez, Julián</t>
  </si>
  <si>
    <t>Julián Pcrez</t>
  </si>
  <si>
    <t>= Las Justicias de la Villa de Fuente-heridos la Real, por los vecinos de ella, i’Mq8. z: Ei P. Fr. Francisco del Puerto , Carmelita calzado, 15?. = D. Julián Pcrez , por sí y su hijo , por un mes, 60. = D. Josef Garibaldo , por lo que han puesto en su poder los vecinos de las Parroquias que aquí se expresan , por medio de su…</t>
  </si>
  <si>
    <t>Pé, Pedro</t>
  </si>
  <si>
    <t>Pedro Pé</t>
  </si>
  <si>
    <t>en el AL N. y L. señorío de Viz­ fiscal del crimen de ia real chancillería de caya , al mismo tiempo que tiene la honra, Valladolid: para la quarta á D. Pedro Pé­ de entregar á V. M. la acta del juramento rez de la Castellana , abogado del colegio de fidelidad y obediencia que ha prestado de esta corte: para juez de la junta …</t>
  </si>
  <si>
    <t>Pe, Vicente</t>
  </si>
  <si>
    <t>Vicente Pe</t>
  </si>
  <si>
    <t>o concerniente á la organización ’y X). Serapio Saviñac, D. Juan Santa María, gobierno de los regimientos que se van for­ D. Josef Antonio Ibarrola , D. Vicente Pe­ mando de infantería y-caballería, su ves­ rez de Hervás, D. Manuel Celestino'Car­ tuario , armamento y montnra. rasco , D. Juan Durand y D. Juan Teran oficiales p…</t>
  </si>
  <si>
    <t>Pé, Vicente Hernández</t>
  </si>
  <si>
    <t>Vicente Hernández Pé</t>
  </si>
  <si>
    <t>de Peñalosa, ciudad. D. Cosme de Trespalacios y D. Francisco Alonso y Moral, comercio. D. Antonio Roldan; D. Lorenzo Piñuela; D. Juan Ignacio Perez,y D. Vicente Hernández Pé­ rez, cabildo. D. Josef Mintegui; D. Juan Justo García; D. Josef Espailiar y í). Tomas González , universidad. Diputación de Benavente. D. Josef Fernande…</t>
  </si>
  <si>
    <t>Pechi</t>
  </si>
  <si>
    <t>ido aprobada por el se­ abrimiento de nuestra correspondencia di­ ñor general de división Lauriston y por el plomática con el gabinete francés. señor coronel Pechi, comandante de la plaza. » Estos comentarios, ó por mejor decir Fecho por duplicado entre nos : en Raab estas proposiciones vagas de una garantía á 22 de junio de …</t>
  </si>
  <si>
    <t>Pedo</t>
  </si>
  <si>
    <t>rte (D. Per. ardo), consejero de Estado, de la guardia real. Iru.gns ( D. Lorenzo) , regidor de Madrid, Mora y Lomas ( D. Pedro) , consejero dt lsia (D. Pedo) , oficial primero en el mi­ Estado. nisterio de lo Interior. Moral ( D. Jos . f Joaquín). J ¡cquot ( D. Juan), ea£ ira i del Real Ex- Moradil.o (D. Francisco Ignacio), …</t>
  </si>
  <si>
    <t>Pedro</t>
  </si>
  <si>
    <t>*43 D. Antonio Xfntenes, ia rl*. ptrf nn sombrero. P. Jaoa Perez, 10 rls. para unas inedias. D. Pedro 0,úz , 30 rls. para dos mochilas. D. Antonio Cáncer, 20 rls. para dos pares de medias* T&gt;* Josef García , 30 rls. para dos mochilasD. Felipe Fernandez, 40 rls. para dos mochilas , y un par de</t>
  </si>
  <si>
    <t>En el discurso del año próximo pasado D. Félix Gilmau , cadete de reales guardias han nacido en Ñapóles 14719 individuos: Walonas, D. Félix Palacios, D. Pedro han fallecido 11727; y se han celebrado Cendeja, É&gt;. Joaquín de Osés , D. Matías 3337 matrimonios. de la Torre, D. Francisco Xavier Vidarte Se ha hecho en todo el reino…</t>
  </si>
  <si>
    <t>n cumplimiento del real decreto de 18 de agosto de Alesa, al cargo del coflyg»&amp; jle icarios.falcad.»;. Jle;i8&amp;§, y £4 ylrtudidejp.&lt;ttíidencia del Sr. D. Pedro de esta villa, comprehende Ó37 y medio pies de su­ de Mora y Lomas, del consejo de S. M., coregidor de perficie, tasado últimamente en 181 §4 rs. y medio. Y esta villa …</t>
  </si>
  <si>
    <t>hermana Doña Isabel, casada con D. Fer­ Guzman , y lo que contribuyó á ellos. Su nando de Aragón, que se apellidaron des­ único lujo legítimo el Rei D. Pedro r , Ma­ pués Reyes católicos, aumentó la deuda in: do vulgarmente y con injusticia el del estado, haciendo ambos quantiosas en— cruel, quito refotmar estos y otros busos…</t>
  </si>
  <si>
    <t>la epi­ tros Soberanos. demia , sino aun las anteriores. Esto mis­ En el año 1351 juntó ¿ortes en Valla- mo lo habian pedido y propuesto ya las dolid D. Pedro llamado el Cruel, y en ellas procuradores de los pueblos al padre del los procuradores de los pueblos hicieron va­ Rei D. Pedro quando se hallaba en el cer­ rias instan…</t>
  </si>
  <si>
    <t>de los 70 millones de fanegas pueden juez de la junta criminal extraordinaria, vivir cómodamente 10 millones de almas, que también obtenía aquel , á D. Pedro con el valor de los 140 millones viviriaa Perez de la Castellana j y para la vara de 20, cuyo aumento provendría de solo alcalde mayor de la villa de la Bañeza á el ramo…</t>
  </si>
  <si>
    <t>trado ya con ios escritos de varios histo­ al ver que, á pesar de que los Reyes D. Alon­ riadores , asi en pro como en contra de es­ so xt y su hijo D. Pedro en los años 133* te privilegio, vio el recurso de los cinco y 13 fi confirmaron este privilegio, perma­ obispos en el año de 1628 , y por su sen­ neció no obstante sin u…</t>
  </si>
  <si>
    <t>ito, núm. 1, manz. 529................... 4140 49680 núm. 1, manz. 517................ 2160 25910 Otra en la calle de Amamel á la Otra en la calle de D. Pedro y t de la Manzana, número 17, S. Isidro, núm 8, manz. 121. 3^3® 4356® Otra en la calle de la Comadre, Otra en la misma calle , núm. 4, núm. 28, manz. 56...... 7120 8664…</t>
  </si>
  <si>
    <t>ban (D. Juan), gefe de batallón del re­ Casa-Calvo (marques), teniente general. gimiento núm. 2.° Casa-Mayor ( D. Juan), teniente del regi­ Dalesme ( D. Pedro), capitán del núm. i miento núm. t.°, brigada irlandesa. brigada irlandesa,' Cassano, caballereo. Delais (D. David), fnsilero del Real ExCasa«Palacio ( marques ) , gene…</t>
  </si>
  <si>
    <t>esquadron de la artillería lijarte (D. Per. ardo), consejero de Estado, de la guardia real. Iru.gns ( D. Lorenzo) , regidor de Madrid, Mora y Lomas ( D. Pedro) , consejero dt lsia (D. Pedo) , oficial primero en el mi­ Estado. nisterio de lo Interior. Moral ( D. Jos . f Joaquín). J ¡cquot ( D. Juan), ea£ ira i del Real Ex- Mor…</t>
  </si>
  <si>
    <t>1320 - ... . Osorno (D. Francisco) , comandante dé ba­ Santa María ( D. Pedro), asistente al con­ tallen del regimiento núm. x infante­ sejo, de Estado.. .. . ría de línea. Sergéan (‘D. Bernardo ), teniente del bata­ Pages, gefe de esquadron de los caballos li­ llón</t>
  </si>
  <si>
    <t>ido, y lo comunica­ reis á quien corresponda. Er- arzobispo de L-iodicea, presidente. —■ ■En ei real alcázar de Sevilla á 2 de Noviembre de 1809. —-A D. Pedro de. Rivera. “ Habiendo recibido el gobierno un papel de observaciones, anónimo y señalado eon el número l.° ha hecho de él el apre­ cio correspondiente, dándole la dire…</t>
  </si>
  <si>
    <t>12 he­ ridos , 4 caballos muertos y 10 heridos. Toda la tropa se ha por­ tado con bizarría ; pero recomiendo particularmente al teniente dé Calatrava D. Pedro lañez, al ayudante de las guerrillas Don. Juan Ramos , que es ayudante del regimiento de cazadores de Sevilla, al alférez del mismo cuerpo D. Francisco Algarra ; al alf…</t>
  </si>
  <si>
    <t>del regimiento núm. i , brigada irlandesa. — Ciaran (D. Manuel) intendente de León. — Cibat , inspector de sanidad de la guardia real. — Cifúentes ( D. Pedro) tesorero general. — Cladera (D. Cristóbal) xefe de división en el minis­ terio del interior. — Clari (D. Mario) coronel y edecán. — Clari (D. Bienvenido) teniente coron…</t>
  </si>
  <si>
    <t>ío (D. Diego) id. — Cout (D. Andrés) fusilero del núm. i , brigada irlandesa.ÍC “Daban (D. Juan) xefe de batallón del regimiento núm. ' i. — Dalesme (D. Pedro) capitán del núm. i , brigada irlan­ desa. — Delais ( D. David ) fusilero del real extrangero. — De­ les , capitán del núm. i , brigada irlandesa. — Deslandes, se­ cret…</t>
  </si>
  <si>
    <t>l extrangero.—YoIdi (conde) ministro en Dinamar­ ca. — Iriarte (D. Bernardo) consejero de Estado; — Iruegas (Don Lorenzo ) regidor de Madrid. — Isla (D. Pedro) oficial primero en el ministerio efe lo interior. —Jacquot (D. Juan) capitán del real extrangero. — Joven de Salas (D. José Ignacio) consejero de Estado. — Kindglan (D…</t>
  </si>
  <si>
    <t>uardia real. — Montehermoso (marques) primer gentilhombre de cámara. — Monval, xefe de esquadron de la artillería de la guardia real. — Mora y Lomas (D. Pedro) consejero de Estado. —Moral (D. José Joaquin). — Mcradillo (D. Francisco Ignacio) regente de la chancillería de Valladadolid. — Muzquiz (Marques D. Ignacio) consejero …</t>
  </si>
  <si>
    <t>es­ tro de ceremonias. — S. Anastasio ( conde) secretario de gabi­ nete. — Santibanez (D. Angel) secretario de la embaxada en Pa­ rís. — Santa-María (D. Pedro) asistente al consejo de Estado. — Sergean (D. Bernardo) teniente del batallón núm. 1 infantería ligera. — Servert (D. Lorenzo) capitán del real extrangero. — Silvestre…</t>
  </si>
  <si>
    <t>ería de la guar­ Fita (D. Josef), gefe de división en el mi­ dia real. nisterio secretaría de Estado. Schmidt (D.Jnan María), caballo ligero Fornier (D. Pedro) , capitán de infantería. de la guardia real. Foronda ( D. Fausto) , oficial del ministe­ Sirbiot ( D. Juan), brigadier de caballos rio de lo Interior. ligeros de la gn…</t>
  </si>
  <si>
    <t>itan del regimien­ giosa , que se repetirá perpetuamente todos to núm. 1.* brigada Irlandesa. los años, la memoria de vuestros beneficios Dombideaux (D. Pedro), teniente de ca­ y de su gratitud hasta la mas remota pos­ ballería. teridad. Domínguez (D. Mariano), corregidor de „ Señor, con la gloriosa paz deViena, Zaragoza. de …</t>
  </si>
  <si>
    <t>Martí ( D. Juan), teniente coronel de in­ Ximena (D. Rafael), teniente de arti­ fantería. llería. Medrano (D. Rodrigo), gefe de batallón Yrribarren (D. Pedro). del regimiento Josef Napoleón. art. ii. Nuestros gran canciller y gran Menche (D. Carlos), coronel de infan­ tesorero de la Orden quedan encargados de tería. la execuc…</t>
  </si>
  <si>
    <t>a de elevación y tres q Hartos de legua Por reales decretos de 19 del corriente de extensión, y defendida por un bosque se ha servido S. M. nombrar á D. Pedro y varios barrancos , era el asilo de toda una Bazan intendente de la provincia de Soria; población fanática , que creia no peder ser á D. Roque García subintendente de …</t>
  </si>
  <si>
    <t>c»aipoty bbesttó éáécin.1 r-fV dé lát Españas y de las Indias. Cifneatés (D. Pedro) , tesorero general. Hemos decretado-y decretamos lo si­ Domínguez (D. 'Mariano), corregidor dé guiente : :2arago-••v.-i- ■ • - -auticulo i. „ Quedan nombrados ca­ Dontta i mariscal -dé cam</t>
  </si>
  <si>
    <t>Pedro, Armando</t>
  </si>
  <si>
    <t>Armando Pedro</t>
  </si>
  <si>
    <t>ilnstre Dnbreuil (D. Pedro), teniente de infan­ nombre ¡lírico , habéis conquistado neme- tería. rosas poblaciones que profesan el rito grie­ Duhart (D. Armando Pedro), gefe de ba­ go oriental. Estos nuevos súbditos serán tallón. también, Señor, fieles y adictos á vuestra Favechemps (D. Francisco) , capitán de ca= sagrada per…</t>
  </si>
  <si>
    <t>Pedro, Joan</t>
  </si>
  <si>
    <t>Joan Pedro</t>
  </si>
  <si>
    <t>os horrores que sufren los infelices niente del regimiento de infantería núm. 1 .* pueblos, ciertamente mudarían de lenguade la brigada Irlandesa ; 1 D. Joan Pedro ge; pero no es asi. . Caucanás subteniente de la tercera com­ El redactor de la gazeta de Valencia pañía del primer batallón del regimiento de reputa por „incompat…</t>
  </si>
  <si>
    <t>Pedro, Juan Esponceda y Bd</t>
  </si>
  <si>
    <t>Juan Esponceda y Bd Pedro</t>
  </si>
  <si>
    <t>echo, siempre al frente del enemigo , y no&gt; é; ménos* de recomendar al Comandan­ te dé; lasv guerrillas* ef Teniente Coroné! D. Josef* de Sam Juan: á D. Juan Esponceda y Bd Pedro,Ramirez:, Teniente:Coronel, ySar-gento* mayor dél Regimiento; de. caballería, dé Bbrhon.5; á D) Juan Batres* Ayudante deCampo» dell Vizconde de Zbli…</t>
  </si>
  <si>
    <t>PedroiDomi</t>
  </si>
  <si>
    <t>a-i.f de . , , ^Ambires\3Q desígante. ^ cazada^ 3 á D. FraocHcp Eournier capíSegún todas Jas apariencias Jos -ingleses tan de caballería de línea ; á D. PedroiDomi* van :í retirarse;- EL uúmerQvde sus buque* - bideaox.; teniente de&gt; cabjl'ería de línea ; á ha disminuido mucho, y todo nos hace D, Josef Raimundo Racdes PHer, ay…</t>
  </si>
  <si>
    <t>Pedroso, Pedro Regalado</t>
  </si>
  <si>
    <t>Pedro Regalado Pedroso</t>
  </si>
  <si>
    <t>*54 D. Pedro Regalado Pedroso, 6o caxas blanco con 918 arro­ bas y 4 libras ; y 40 dichas quebrado con 641 arrobas y 24 libras, m SI Marqués de Montehermoso , 15 caxas blanco con 251 arrobas:; y 20 dichas de quebrado co</t>
  </si>
  <si>
    <t>Peiri</t>
  </si>
  <si>
    <t>urieron 375 soldados y f siguiente ? oficial tí, y quedaban en los hospitales 8600 „ Los derechos de la guerra podían au&lt;enfermos. torizar á S. E. el general Peiri, comandan­ El capitán Shearman y otro* mucho* te del Ti rol italiano , á tratar con el mayor empleados en los quarteles de Harwich van rigor á esta ciudad tomada p…</t>
  </si>
  <si>
    <t>inentemente en el gabinete como Verana y de octubre. consejero. La pureza de sus intenciones en unas circunstancias en qne se han echado Proclama del general Peiri d los tiroleses. de ver tantos desórdenes é intrigas, junto con su actividad , dan lugar á esperar me­ •* Tiroleses ! Vosotros no me conocéis; jor orden de cosas. …</t>
  </si>
  <si>
    <t>Pekín</t>
  </si>
  <si>
    <t>nisterio de Relaciones exteriores, y corresponsal de la primera y tercera cía-* se del Instituto* ha tenido el honor de presentar á S. M. I. su viage d Pekín. ¿ ■■ ucl . ' v./ El domingo 29 de enero el señor Gatl tn vo; también el. honor de ' pre­ sentar; §. S.jM. Ivy R. su- Tucídides greco- latino- francés. El señor Ladouepp…</t>
  </si>
  <si>
    <t>Pelegrin, Francisco López</t>
  </si>
  <si>
    <t>Francisco López Pelegrin</t>
  </si>
  <si>
    <t>ques de Mo­ nasterio y de Paredes. — D. Rafael Costa. — D. José Angel Foncillas. -- D. Andrés Nuñez de Haro.-~ D. Mateo Cortés.— D. Cos­ me Laredo. — D. Francisco López Pelegrin. — D. Salvador Cam­ pillo. — D. Eusebio Ximenez. — D. Pedro Calzan Se ha publicado en Lóndres un quaderno con el título de Suggestions on the cortes …</t>
  </si>
  <si>
    <t>Pelletier</t>
  </si>
  <si>
    <t>do­ Czentochow, y el general de bridada Mi­ res del 6.°, con seis piezas de artillería , á guel Dorr.brcwski , oponiérdose con valen­ las órdenes del general Pelletier, atacasen tía á su retirada hacia Leczica , y precisán­ á Zamosc. dolo á abandonar este punto , y á replegar­ ,, Este ataque ha tenido el resultado mas se prec…</t>
  </si>
  <si>
    <t>ego que lleguen los misa una multitud de múricos escogidos rusos á Cracovia se dirigirán á la Bohemia. cantó el famoso réquiem de Mozart. La El señor general Pelletier ha sido enviado execucion fue perfecta, y correspondió á á su exército para combinar las operaciones esta grande y hermosa producción del in­ de modo que aquel…</t>
  </si>
  <si>
    <t>Pen</t>
  </si>
  <si>
    <t>dependencia contra la usur­ pación del Emperador de los Franceses; y teniendo preséntelas distinguidas ^-caracterizadas circunstancias del fíxcmo Sr. D. Pen­ dro Cevallos, Caballero Gran-Cruz de la Real y distinguida Or­ den de Carlos IU, GentifiMombre de Camara-con exércicio, Con­ sejero y primer Secretario de Estado y del d…</t>
  </si>
  <si>
    <t>Peña</t>
  </si>
  <si>
    <t>jornada del dia 2 reconoció el gefe de escuadrón Lubienski cerca de'Guadaíaxara los restos del exército de Castaños , que iban baxo las ór­ denes del general Peña , por haber quitado la Junta el mando á Castaños, según se dice. El duque del Infantado ha sido una de Jas primeras causas de las des­ gracias que ha, experimentado…</t>
  </si>
  <si>
    <t>Penal, Josefa</t>
  </si>
  <si>
    <t>Josefa Penal</t>
  </si>
  <si>
    <t>obas.zzDe D. Josef Armenteros:=treinta ca­ xas de azúcar blanco con 490 arrobas y 5 libras; y 20 ca­ xas de quebrado con 328 arrobas y 3 libras.r= De D. Josefa Penal ver: —sesenta caxas de azúcar blanco con 987 arrobas y 2 libras , y quarenta caxas de quebrado con arro­ bas y 31 Jibr3r-.= Del Marques de Víllalta : m ciento ve…</t>
  </si>
  <si>
    <t>Peñalosa, Juan</t>
  </si>
  <si>
    <t>Juan Peñalosa</t>
  </si>
  <si>
    <t>s particulares, »tue son D. José González Icedo , D. Diego de Alva, D. Juan Bello , D. José Barcena , D. Florentin Carranza , el vizconde de Rascón , D. Juan Peñalosa ,y D. N. Arteaga , todos conocidos con el nombre de ganaderos, es decir , poseedores de rebaños, que por sus riquezas y relaciones interiores tienen infiuxo en …</t>
  </si>
  <si>
    <t>Peñalver, Juan Crisóstomo</t>
  </si>
  <si>
    <t>Juan Crisóstomo Peñalver</t>
  </si>
  <si>
    <t>guarde la vida de V. E. muchos años. Sevilla 12 de marzo de 1809. = Excnio. Señor, rz Rafael L0B0.” Donaires de Aftiériea.\—Los caballeros Regidores D. Juan Crisóstomo Peñalver, el Conde Sta. PAaría de Loreto , y LL Tomas de la Cruz Muñoz, Procurador general de la Ciudad de la Havana , registraron en 16 de diciembre último, c…</t>
  </si>
  <si>
    <t>Peñaranda, Fernando</t>
  </si>
  <si>
    <t>Fernando Peñaranda</t>
  </si>
  <si>
    <t>eligioso escolapio, de geometría y principios de geografía ; D. Jo­ sintaxis y propiedad de la misma lengua; sef Vazqnez de geometría descriptiva, y. D. Fernando Peñaranda , ex-religioso esco- D. Alexandro Blanco de dlbaxo. lapio, de retórica y poética; D. Jacinto art; iti. Quedan nombrados profeso­ Lago y D. Ignacio Romaza d…</t>
  </si>
  <si>
    <t>Peñaranda, Lope</t>
  </si>
  <si>
    <t>Lope Peñaranda</t>
  </si>
  <si>
    <t>sus dos hi­ jos. — D. Rafael Delgado. — D. Vicente Delgado. D. Manuel González Montaos. — D. Vicente Perez Cañizares. — El conde de Torre Muzqui^. -- D. Lope Peñaranda. — D. Tadeo Galisteo. — La condesa de S.Román, viuda, con sus hijos. — El marques de Melgarejo. El marques de Camarera y su padre. -- El conde de Canillas.— El…</t>
  </si>
  <si>
    <t>Peñas</t>
  </si>
  <si>
    <t>ino de Sancho á desplegar la batalla sobre la mdrgen dere­ cha del Ebro, acompañado de los insinuados oficiales de plana mayor , exceptuando el Mayor General Peñas , á quien, por haberle herido ei caballo una bala de fusil, y hallarse á pie, como para que me reforzase y sostuviese, ca­ so de una forzosa retirada, dispuse se q…</t>
  </si>
  <si>
    <t>Pencock</t>
  </si>
  <si>
    <t>ue hai en todo el exército. (The Sunclay de celebrar la batalla enteramente decisiva Advertisser.) de Talavera, ó el glorioso cumplimiento Del 14. El coronel Pencock, que man­ de los proyectos ulteriores de nuestra ex- da en Lisboa, ha mandado publicar en una pedición grandeLas noticias mas recien­ órden del dia que ,, los of…</t>
  </si>
  <si>
    <t>Pepe</t>
  </si>
  <si>
    <t>caiga fn nuestro poder por capitulación ó á viva fuerza. Por for­ tuna el apóstol Mazarredo, que tanto ha predicado en Autor * f8 el evangelio de *u Rey Pepe, está encerrado ea Lugo en compañía de Lor. Hay solo la desgracia de que Ney ha­ ya escapado coa 2¿) hombres; pero tenemos el consuelo de que con tan pocas fuerzas no po…</t>
  </si>
  <si>
    <t>Pepe-Botellas</t>
  </si>
  <si>
    <t>ere , todos agentes de los franceses, sean sacados por mi tropa al campo de Errigorria ; y allí quadrados de frente á Madrid eri acción de mirar á su rey Pepe-Botellas, se les intime la senten­ cia capital : en seguida cambiada su frente hacia Pamplsna sean degollados : sus cadáveres arrastrados se colocarán en los caminos qu…</t>
  </si>
  <si>
    <t>Per</t>
  </si>
  <si>
    <t>gentil­ dci regs ¿t oto Real Exirangero. hombre de camera. Yoidi (co.d.), ministro en Dinamarca, Mouvai, gefe de esquadron de la artillería lijarte (D. Per. ardo), consejero de Estado, de la guardia real. Iru.gns ( D. Lorenzo) , regidor de Madrid, Mora y Lomas ( D. Pedro) , consejero dt lsia (D. Pedo) , oficial primero en el …</t>
  </si>
  <si>
    <t>Perdone</t>
  </si>
  <si>
    <t>666</t>
  </si>
  <si>
    <t>tentes á los sugetos disponerse á todo evento___ Memorias á á quienes corresponda. todos. =J. Braünstiegel. S. M. hace saber esta su determinación P. D. Perdone vmd. la confusión que al señor consejero de corte, recomendán­ hai en esta carta , porque es la misma que dole al mismo tiempo el mas profundo se­ reina en nuestras c…</t>
  </si>
  <si>
    <t>Pereira, Luis Marcelino</t>
  </si>
  <si>
    <t>Luis Marcelino Pereira</t>
  </si>
  <si>
    <t>y Sr. marques del Norte. Consejo del Almirantazgo. Excmo* S. D. Josef Justo Salcedo y Sr. D. Josef de Espinosa Tello. Sala de Alcaldes de Corte. Sr. D. Luis Marcelino Pereira, Sr. D. Manuel María de Junco y Sr. Don Angel Alfonso Noreña. Consejo de Ordenes. Sr. D. Cristóbal de Ilarraza y Sr. D. Carlos Simón Pontero. Estos caba…</t>
  </si>
  <si>
    <t>jo de Hacienda; D. Gaspar Lerin de Bracamonte y D. Carlos Simón Pontero, del consejo de las Ordenes; D. Andrés Romero Valdés, D. Diego Gil Fernandez, D. Luis Marcelino Pereira, D. Tomas de Casanova y D. Martin Leonés, alcaldes de Casa y Corte; y á D. Josef Ignacio Joven de Salas, abogado del colegio de ella; y por fiscal de d…</t>
  </si>
  <si>
    <t>tribuir baxo leyes tan sabias á la libertad de los mares , y á estrechar los antiguos y legítimos víricülós qüe iñáeri lós dos mundos.” ' Discurso de D. Luis Marcelino Pereira, á nombre de la sala de alcal­ des de Casa y Corte dé Madrid, ,,Señor: Los alcaldes de la real Casa y Corte tienen la honra de pre-’ sentar á V. M. I. …</t>
  </si>
  <si>
    <t>e han sido nombrados conse’eros de estado D. Joaquín María Sotelo, marques de Casa calvo, D. Juan Melendez Valdés, D. Benito de la Mata Lina­ res , y D. Luis Marcelino Pereira. La del 7 trae el nombramien­ to de D. Joaquín de Aldamar para intendente de la provincia de Santander; y la del 8 el de D. Diego Cosío y D. Laurea­ no…</t>
  </si>
  <si>
    <t>Perena</t>
  </si>
  <si>
    <t>se ha­ bían apoderado. Renovaron con mayor fuerza su ataque con­ tra Moczon al dia siguiente, y lograron penetrar en sus ca­ lles ; pero reforzado el coronel Perena por D. Juan Baget , que con las tropas de su mando voló en su socorro desde Fonz, fueron gloriosamente rechazados, y precisados á reti­ rarse, con pérdida conside…</t>
  </si>
  <si>
    <t>Perena, D Felipe</t>
  </si>
  <si>
    <t>D Felipe Perena</t>
  </si>
  <si>
    <t>ro se portó con mu­ cha bizarría , con lo que , y el valor de los Walones, é igualmente el cuerpo de Voluntarios de Huesca, que hizo mucho honor á su Coronel D* Felipe Perena, fueron re­ chazados ios. Granaderos Imperiales. Los Suizos, que ocrpiban ia Casa ó Torre del Arzobispo » padecieron mucho en la gloriosa defensa que hi…</t>
  </si>
  <si>
    <t>Perena, Felipe</t>
  </si>
  <si>
    <t>Felipe Perena</t>
  </si>
  <si>
    <t>117</t>
  </si>
  <si>
    <t>entado pasar por diferentes puntos á la orilla iz­ quierda del Cinca, pero siempre han sido rechazados : y aun se nos avisa del quartel de Fonz , que D. Felipe Perena, coman­ dante de los voluntarios de Huesca, se ha apostado en algunos puntos importantes á la derecha de dicho rio. Idem : 11 de agosto. El teniente general D. …</t>
  </si>
  <si>
    <t>Pereyra, José</t>
  </si>
  <si>
    <t>José Pereyra</t>
  </si>
  <si>
    <t>234 dexa á D. Manuel Martínez Vellido : para otra ración vacante en dicha iglesia de Jaén por fallecimiento de D. Bartolomé Montoro , á D. José Pereyra , canónigo de la colegial de Baeza : pa­ ra una canongía de la iglesia colegial de S. Hipólito de Córdoba, vacante por muerte de D. Andrés Ocarol , á D. José González Guerrero…</t>
  </si>
  <si>
    <t>Pereyra, Juan</t>
  </si>
  <si>
    <t>Juan Pereyra</t>
  </si>
  <si>
    <t>justicia á D. Alonso Tovar y Ximenez y D. Antonio Benito xefes de división ; á D. José Ramón de Huertas y D.. Manuel Jáuregui oficiales ¿primeros ; á D. Juan Pereyra , D. Ildefonso Figneroa y Lope? , D. Tomás Rodríguez Buron y D..Agustín Duro oficiales segundes ; y k D. Francisco Orozco archivero y bibliotecario. Por decreto …</t>
  </si>
  <si>
    <t>Perez, Andrés Martin</t>
  </si>
  <si>
    <t>Andrés Martin Perez</t>
  </si>
  <si>
    <t>to de Andraca , presbítero El senado exercerá estas facultades del y beneficiado de la ciudad de Vitoria : á modo que se prescribirá en los artículos D. Andrés Martin Perez , racionero de la siguientes. art. xi. Una junta de 5 senadores catedral de Patencia , para una canongía de nombrados por el mismo senado conocerá, la .sa…</t>
  </si>
  <si>
    <t>Perez, Custodio</t>
  </si>
  <si>
    <t>Custodio Perez</t>
  </si>
  <si>
    <t>illa : á D. Francisco Ano, te­ niente coronel del regimiento de Lobera : á D. Antonio Margado , te­ niente del regimiento de infantería de Toledo : á D. Custodio Perez , ca­ pitán del regimiento de dragones de la Reyna i y al capitán de Artillería D. JuanRamirez Pizarro. El general de la caballería : á sus ayudantes conde de …</t>
  </si>
  <si>
    <t>Perez, Francisco Xavier</t>
  </si>
  <si>
    <t>Francisco Xavier Perez</t>
  </si>
  <si>
    <t>versidad de Valladolid, para una canongía directamente á Indias. de la santa iglesia metropolitana de Sanríaart xi. Ademas de que el intendente go: á D. Francisco Xavier Perez, racionero qne hemos destinado á Zaragoza deberá de la catedral de Burgos , para una tanon— cuidar del cumplimiento de todas estas re­ gía de esta mism…</t>
  </si>
  <si>
    <t>Perez, Josef</t>
  </si>
  <si>
    <t>Josef Perez</t>
  </si>
  <si>
    <t>de Vera , 20 rls. para dos pares de medias. D. Francisco Vera , 20 rls. para, dos pares de medias. D. Manuel Martin , 10 rls. para un par de medias. D. Josef Perez , 20 rls. para dos pares de medias. D. Martin Serrano, 10 rls. para un par de medias. D. Juan Tomates , 10 rls. para un par de media?. D. Bernardo García , lo rls.…</t>
  </si>
  <si>
    <t>Perez, Juan Ignacio</t>
  </si>
  <si>
    <t>Juan Ignacio Perez</t>
  </si>
  <si>
    <t>. Josef Pando y D, Juan de Peñalosa, ciudad. D. Cosme de Trespalacios y D. Francisco Alonso y Moral, comercio. D. Antonio Roldan; D. Lorenzo Piñuela; D. Juan Ignacio Perez,y D. Vicente Hernández Pé­ rez, cabildo. D. Josef Mintegui; D. Juan Justo García; D. Josef Espailiar y í). Tomas González , universidad. Diputación de Bena…</t>
  </si>
  <si>
    <t>Perez, Juan Ramón</t>
  </si>
  <si>
    <t>Juan Ramón Perez</t>
  </si>
  <si>
    <t>Lisa. — D. Pedro Silves— José Fornies. -- D. José Latasa. — D. José Marracó. — D. Tomas Castillo Larroy. -- D. Vicente Camacho. -- D. Pablo Pasqual.— D. Juan Ramón Perez. -- D. Xa­ vier Castillo.--Monjas de Sigena. — D. Ambrosio Nasarre.— Mar­ ques de las Amarillas.— Marques de Lezo. — D. Francisco Mondragon. — D. Francisco V…</t>
  </si>
  <si>
    <t>Perez, Leandro</t>
  </si>
  <si>
    <t>Leandro Perez</t>
  </si>
  <si>
    <t>z, 40 rls. para dos mochilas y un par de medias» D. Jo$ef Romero, 20 rls. para dos pares de medias. D. Manuel Morales , 48 rls. para unos pantalones» D. Leandro Perez , y D. Miguel Rodríguez , .20 rls. pan dos pares de medias. D. A stonio González , 20 rls. p^ra dos pares de medias. D, Francisco Ximenez Berdtjo , 10 r s. para…</t>
  </si>
  <si>
    <t>Perez, Manuel</t>
  </si>
  <si>
    <t>Manuel Perez</t>
  </si>
  <si>
    <t>os pares de medias. D. Juan Lebora , ij rls. para una mochila. Doña Mariana Gallardo, 40 rl ‘. para dos mochilas y unas medías. D. Francisco Ruiz , y D. Manuel Perez, 20 rls. para dos pares de medias. D. Josef Martioejz , 10 rís. para un par de medias. D. Romualdo Ruiz, 20 rls. para dos pares de medias. D. Antonio Espinosa, 1…</t>
  </si>
  <si>
    <t>e la iglesia metropolitana de Toledo á D Bérnardino Martinez: para un beneficio de la iglesia parroquial de la villa de Oropesa, diócesis de Avila, á D. Manuel Perez: para otro beneficio de la parroquia de Sobradi­ llo, diócesis de Ciudad-Rodrigo á D. Rafael Llanos: para un beneficio de prebisa residencia de la parroquia de S…</t>
  </si>
  <si>
    <t>PerezPeñueJac, Luis</t>
  </si>
  <si>
    <t>Luis PerezPeñueJac</t>
  </si>
  <si>
    <t>nda tener derechosus níero 7, manz.;i.94, en'-ar48.2 5 rs..li tare. :r-.K Jbienes como pariente mas cercano ó acreedor.,á ellos, Por.la escribania.de D. Luis PerezPeñueJac se Vén-' acuda en e,l término de 30 días ante dicho señor tenien­ den ¡vdrias casas sitas erí esta corte y ¡lugar de Vallecas, te y citada escribanía, con …</t>
  </si>
  <si>
    <t>Pergen</t>
  </si>
  <si>
    <t>. el conde Dietrichstein, mariscal interino de los estados; ESPAÑA. el prelado de Klosternenbourg; el prelado Madrid 2_9 de mayo. de los escoceses él conde Pergen; el con­ de Veterani ; el barón de Bartenstein; el . Veinte dias hace no mas que el estruen­ Sr. de Mayenberg; el barón de Halen , re­ do del cañón anunció á esta c…</t>
  </si>
  <si>
    <t>Pergues, Guillermo</t>
  </si>
  <si>
    <t>Guillermo Pergues</t>
  </si>
  <si>
    <t>imiento de infantería de Nápo- nombrado comandante de esquadron en la les, está nombrado teniente. propia arma. D. Josef María Barreiros, subteniente D. Guillermo Pergues» alférez que fue ue fue del regimiento de infantería de del regimiento de caballería del Infante , es­ S lavarra, está nombrado subteniente. D. Nicolás Mart…</t>
  </si>
  <si>
    <t>Perier, Luis Pedro</t>
  </si>
  <si>
    <t>Luis Pedro Perier</t>
  </si>
  <si>
    <t>Otra ídem , 20 rs. == D. Teodoro Gcfíinet vecino de esta ciudad, 1600 re. = D. Joaquín Fernandez' Rodríguez , 60 rs. = D. Sautisgo Martin , 120 rs. = D. Luis Pedro Perier, 200 rs.rr O. Manuel Aguilar y Gueto , 200 rs. = D. Cayetano Cortinas y Viiíccb , 300 rs. = El Hermano mayor del hospital del Buen Suceso , 6o rs. = El P. F…</t>
  </si>
  <si>
    <t>Pernia, Francisco</t>
  </si>
  <si>
    <t>Francisco Pernia</t>
  </si>
  <si>
    <t>zquez, 10 rls. para un par de medias* IX■ Josef Fernandez, 10 rls. para un par de medias. IX Juan Diego de ia Peda, 20 rls. para dos pares dp medias. D. Francisco Pernia, 20 rls. para dos pares de medias. D. Juan Teílo , 17 rls. para unos zapatos* D. Josef González , 10 rís. para un par de medias. XX .Antonio de la Cruz,40 rí…</t>
  </si>
  <si>
    <t>Pero, Francisco</t>
  </si>
  <si>
    <t>Francisco Pero</t>
  </si>
  <si>
    <t>as demos­ traciones -de- alegría que les hachan todos * sin. distinción de sesó. ni edad ^ y con los griros no interrumpidos ; de , vina muestro buen Emperador Francisco• Pero quando nos conmo­ vimos hasta el extremo, fué al contemplar un gran número de defensores del páis que , pertrechados de quaatas especies de armas pudie…</t>
  </si>
  <si>
    <t>Peróí, Josef</t>
  </si>
  <si>
    <t>Josef Peróí</t>
  </si>
  <si>
    <t>con su regimiento de Cangas de Tinéo al mando dei Sargen­ to mayor D. Josef Peróí, y lo propio el de Castropolman­ dado por el de igual clase D. Gregorio Piquero; y diri­ giéndose por delante de Casamira, se colocaron al amane­ cer á la retaguardia de Molleda. El brigadi</t>
  </si>
  <si>
    <t>Perracino, Francisco</t>
  </si>
  <si>
    <t>Francisco Perracino</t>
  </si>
  <si>
    <t>octubre último, Romano; y á los vélites D. Amadeo Juy contribuir al mismo tiempo al adorno de galdo, D. Josef Manzone, D. Cayetano la capital; Fiore, D. Francisco Perracino, D. Alfon­ Hc-mos decretado y decretamos lo si­ so det Rincón, D, Meiiton Rico, D. Cir­ guiente : ios Ermeler, D. Cirios D'aiguebelles , Doa articulo 1. C…</t>
  </si>
  <si>
    <t>Perrino, Valentín</t>
  </si>
  <si>
    <t>Valentín Perrino</t>
  </si>
  <si>
    <t>­ pia, conde de Valdeláguila; D. Juan Sanz; D. Severo Bernal Moran; Don Segundo Revilla; D. Pedro Revilla* D. Narciso Holgado; D. Juan Solís Martin ; D. Valentín Perrino ; D. Ignacio Burguillo; D. Sebastian Sánchez; D. Juan Manuel Bazan; D. Marcelo Meló. Del estado eclesiástico secular y regular asistieron D. Angel Josef de H…</t>
  </si>
  <si>
    <t>Petersburgo, Milorado</t>
  </si>
  <si>
    <t>Milorado Petersburgo</t>
  </si>
  <si>
    <t>Ndm. 343. &gt;499 GAZETA DE MADRID DEL VIERNES 8 DE DICIEMBRE DE 1809. /, RUSIA. allá del Danubio en tres cuerpos; el ala derecha ai mando del general Milorado— Petersburgo 74 de octubre. wistch; el centro á las órdenes del tenieo-r „ La gazeta ministerial contiene ana rela­ te general Platow, y el ala izquierda man­ ción de la …</t>
  </si>
  <si>
    <t>Petrowusch, Nicolás</t>
  </si>
  <si>
    <t>Nicolás Petrowusch</t>
  </si>
  <si>
    <t>Estado ha querido desistir, á pesar de los esfuerzos Schtschutepow, enviado aqui desde Frede— que han hecho mis embaxadores y pleni­ richsham por el conde Nicolás Petrowusch potenciarios. Per los sentimientos de honor Romantzow, ministro plenipotenciario, pre­ y de independencia de la patria, de que sentó á S. M. el Emperadur…</t>
  </si>
  <si>
    <t>Peyrolon, Francisco</t>
  </si>
  <si>
    <t>Francisco Peyrolon</t>
  </si>
  <si>
    <t>é hijo.. StajCriiz de Tenerife. D. Antonio García Campero.. Tarragona.................. D. Ramón de Llordella é hijo. falencia...................... D. Francisco Peyrolon y compañía.</t>
  </si>
  <si>
    <t>Pflwíowflt, Catalina</t>
  </si>
  <si>
    <t>Catalina Pflwíowflt</t>
  </si>
  <si>
    <t>G AZETA DEL GOBIERNO DEL LUNES 3 DE ABRIL DE l 8og. RUSIA. Petersburgo 21 de enero. El 13 de! corriente se celebró el matrimonio de la Gran-Duquesa Catalina Pflwíowflt f hermana de nuestro em­ perador , con el Príncipe de Oldeoburgo. La corte se vistió de gala ^ hubo repetidas salvas de artillería y se brindó muchas veces en …</t>
  </si>
  <si>
    <t>Pi'guatelii, Juan</t>
  </si>
  <si>
    <t>Juan Pi'guatelii</t>
  </si>
  <si>
    <t>*~i r* &lt;• '.*: ''' v/ .; •■. f * io.i ■ del: Gobierno. k •% Sevilla i i de Enero dei 8 o 9. 1 Exento.* Señor; D. Juan * Pi'guatelii, Capítan General de Castilla la¡ Vieja : dirige por extraordinario á la Junta Suprema Central Gu­ bernativa ' dél Iléyno el Oficio • siguiente.: -Exorno. Sr.: Son Jas 1 o de las noche, y *</t>
  </si>
  <si>
    <t>Piatovv</t>
  </si>
  <si>
    <t>ha hecho en las principales ciudades de Europa, de tal modo se ha quemado, repitiéndolas en nuestra corte , que su vida da pocas esperanzas (I). — EL general Piatovv ha batida completamente un cuerpo turco cerca de Silistria, y aun se ase­ gura que á consecuencia de la victoria, la plaza misma ha caí­ do en poder de los rusos…</t>
  </si>
  <si>
    <t>Piatow</t>
  </si>
  <si>
    <t>os, de modo que perderá la el pretexto de querer proteger la ciudad con­ vida. tra una invasión de fuerzas francesas , y esto Acaba de saberse que el general Piatow en calidad de aliado, y á nombre de S. M. ha derrotado completamente un cuerpo tur-» el Rei de Portugal. Como el gobernador co, que intentaba impedir el bloqueo d…</t>
  </si>
  <si>
    <t>Picado, IX Dionisio</t>
  </si>
  <si>
    <t>IX Dionisio Picado</t>
  </si>
  <si>
    <t>urcia. En carta de 27 de Enero último avisa el Marqués del Palacio la acción que sostuvieron el dia 2 5 las guerrillas de .su vanguardia al mando del Teniente Coronel IX Dionisio Picado con un cuerpo muy superior de tropas enemigas, es­ carmentándolas en términos que abandonaron á Madrideños, en cuyo pueblo habían logrado ent…</t>
  </si>
  <si>
    <t>Picard</t>
  </si>
  <si>
    <t>1089</t>
  </si>
  <si>
    <t>por el Oberinthal y el parte de la intención que tenia la dieta de Arlberg hacia Pludeux y Felickirch. El Suecia de conferirle todos los derechos de general Picard reúne también sus tropa» pa­ sooesion al trono de aquel reino. El princi­ ra avanzar desde la Suabia superior hácia pe Cristiano ha declarado que siendo ge­ Bregen…</t>
  </si>
  <si>
    <t>Picatostc, Agustín</t>
  </si>
  <si>
    <t>Agustín Picatostc</t>
  </si>
  <si>
    <t>n ximo por' el referido ayuntamiento , á íin de que diriján á él sus memoriales, ó al secretario fasto y cortejo semejantes al del Monarca. del mismo D. Agustín Picatostc. EN LA IMPRENTA “REAL.</t>
  </si>
  <si>
    <t>Pichardo, Pedro</t>
  </si>
  <si>
    <t>Pedro Pichardo</t>
  </si>
  <si>
    <t>ofi­ ciales primeros del mismo ministerio ; á D. Francisco Xavier Cornago archivero del propio ministerio; y por oficiales segundos ¿ I&gt;. Tomós Uson, D. Pedro Pichardo, D. Santiago Curet, D. Pe­ dro Dubrenil y D, Manuel Vico. (1 y En la gazeta de Madrid de 11 de setiembre se inserta el si­ guiente artículo: ílAmsterdam 22 de …</t>
  </si>
  <si>
    <t>Pico, Juan Antonio</t>
  </si>
  <si>
    <t>Juan Antonio Pico</t>
  </si>
  <si>
    <t>Ta- brevienen por el pacto social entre los So­ deo Bravo de Rivero, á L). Nicolás- Gar­ beranos y sus pueblos:debe ser la mas ade­ cía.Caballero , á D. Juan Antonio Pico, á lantad i , porque con el &gt;aber crecen las vir­ DF rancisco Xavier del Moral , á D. B.r- tudes y el bien estar de los humanos, quanttarddGonzjlvz Atvirtz,…</t>
  </si>
  <si>
    <t>Pictoñ</t>
  </si>
  <si>
    <t>inga , ha muer­ En la extracción de la real lotería ce­ to pocos días después de su vuelta á ln- lebrada en Madrid en la tarde del 16 de glaterra. El general Pictoñ y otros muchos este mes han salido sorteados los números oficiales generales acaban de llegar atjui pe» siguientes: 78, 45 47 , 80 y 16; y coa ligrosamente enferm…</t>
  </si>
  <si>
    <t>Pieciudades</t>
  </si>
  <si>
    <t>1213</t>
  </si>
  <si>
    <t>. Las tropas confederadas van á cés, si Bonaparte piensa seriamente en vol­ ocupar también á Lunebargo , Celia y otras ver áconquistar á Flesinga. El general Pieciudades hannoverianas. ton manda en aquella plaza.” Se necesitan de 9 á 10 millones para GRAN BRETAÑA.' fortificar la isla de Walcheren , y ponernos i en estado de r…</t>
  </si>
  <si>
    <t>Pierrepont</t>
  </si>
  <si>
    <t>cuido de unos seres despreciables. Mu­ cito; el comisario general Rugland; el asis­ chos de dios han venido varias veces á pe­ tente quartel maestre general Pierrepont, y dir perdón, promeriendo hacerse dignos de otros oficiales del estado mayor. Muchos él, y sacrificar algunos cómplices en sus de ellos estaban en tan mal est…</t>
  </si>
  <si>
    <t>Piiisalis, José</t>
  </si>
  <si>
    <t>José Piiisalis</t>
  </si>
  <si>
    <t>a 5 hombres granaderos y cazadores , lo, mas florido de aquella guarnición (por haber sido entresacados en for­ mación) al mando del xefe de batallón D. José Piiisalis, y del capitán Barvier, primer ayudante de campo del general Bagouít , dirigiéndose á los valles de Roncal y Ansó en seis colunas por seis distintos puntos , y…</t>
  </si>
  <si>
    <t>Piloá, Antonio</t>
  </si>
  <si>
    <t>Antonio Piloá</t>
  </si>
  <si>
    <t>partidas de guerrilla- ocupan- varios puntos de la pro­ vincia de Guadalaxara, inquietando-de continuo al enemigo. Lar que está en Azañon al mando de D. Antonio Piloá , y consta de.-</t>
  </si>
  <si>
    <t>Pineda, José</t>
  </si>
  <si>
    <t>José Pineda</t>
  </si>
  <si>
    <t>ro. El general de la caballería : á sus ayudantes conde de Sta. Coloma y D. Ramón Duran , capitán y teniente del regimiento de Pavía : al briga­ dier D. José Pineda , coronel de la Granada de Llerena : á D. Juan Cas­ quero y i). Juan Ruiz, coronel y alférez de Borbon : al brigadier D. Cir­ ios Tasier, comandante de esquadron …</t>
  </si>
  <si>
    <t>Pinedo, Josef</t>
  </si>
  <si>
    <t>Josef Pinedo</t>
  </si>
  <si>
    <t>D. Manuel Pascual Luizoain, canónigo* Por el estado noble. -a. D. Lorenzo Sanz de Sedaño y D¿ Josef Medina. i :d : Pot el estado general.' * w ' r &lt;* D. Josef Pinedo, D. Gregorio Ponceiis¡y:D. Vicente deíBiava.; \ El canónigo D. Manuel Pascual Luizoain dirigió á S. M. el discurso si­ guiente : „ SeSor : La diputación de Palen…</t>
  </si>
  <si>
    <t>Piñeira, Xavier</t>
  </si>
  <si>
    <t>Xavier Piñeira</t>
  </si>
  <si>
    <t>e It una de la madrugada. (Sí concluirá.) ESP A Ñ A. Cádiz 13 de marzo. Habiendo entrado ayer en este puerto el bergantín Nra. Sra. de la Soledad, sa capitán Xavier Piñeira, procedente del Ferrol de donde salió el dia 3 del corriente , se tomó juramento al mencionado capitán y al piloto, y declararon lo siguiente relativo al …</t>
  </si>
  <si>
    <t>Piñeiro, Joaquín María</t>
  </si>
  <si>
    <t>Joaquín María Piñeiro</t>
  </si>
  <si>
    <t>á D. Fermín de Beunza y Aldea, cura dé la parroquia de S. Martin de la ciudad de Segovia: para el arcedianato de Huete, dignidad de la de Cuenca , á D. Joaquín María Piñeiro,</t>
  </si>
  <si>
    <t>Pino</t>
  </si>
  <si>
    <t>la derecha del enemigo, y lo executó con la mayor intrepidez. La división del general Souham, que seguía inmediatamente en colima á la di­ visión del general Pino, recibió también orden de cargar á tos enemigos por la derecha, la qual hacia un fuego terrible de artillería y fusilería. En me­ nos de una hora fueron arrojados l…</t>
  </si>
  <si>
    <t>s Napoleón mos puertos servirán de refugio á los bar­ se han distinguido en esta acción. cos franceses , y aseguran la comunicación El día 4 el mismo general Pino recibid de Barcelona con Francia por toda la costa. EN LA IMPRENTA REAL.</t>
  </si>
  <si>
    <t>lio, gen , han sufrido un fuego terrible de las el gefe de batallón Casella , del 6.° de línea baterías francesas de Cadsandt. italiano, dio parte al general Pino , que con Las trepas holandesas en West han su batallón tenia á raya al enemigo. opuesto á la inmensa superioridad del ene­ «El general Pino fue en persona con las …</t>
  </si>
  <si>
    <t>órdendel general Pino al qaartcl general de En nuestro palacio de Madrid á a,i do ene, en donde los oficiales han sido muí julio de 1809. bien obsequiados por los de su división. El Don Josef Napoleón por la gracia do toldado, ü excmplo de sus gefes, hizo á. Dios y</t>
  </si>
  <si>
    <t>pudiese apre­ Ocasión por su celo y su amor hacia S. M. I. sar aquellas embarcaciones. En consecuen­ El arzobispo de esta ciudad, el goberna­ cia el general Pino hizo amenazar ¿ Josa dor, los magistrados civiles y militares, y por un fuerte reconocimiento executado cna multitud inmensa del pueblo asistieron por el primer regi…</t>
  </si>
  <si>
    <t>Pinto, Francisco Ruiz</t>
  </si>
  <si>
    <t>Francisco Ruiz Pinto</t>
  </si>
  <si>
    <t>e este, á D. Luis Rodríguez. También se ha servido S. M. nombrar para el De anato de la Catedral de Ceuta vacante por muerte de D.. Ratnon Columna, á D. Francisco Ruiz Pinto, racio­ nero de la mi ma Iglesia ; y para la ración que este dex?., á D. Miguel Gómez Aivarez. Igualmente se ha servido S. M. nombrar para el Deanato de …</t>
  </si>
  <si>
    <t>Piñuela, Andrés</t>
  </si>
  <si>
    <t>Andrés Piñuela</t>
  </si>
  <si>
    <t>oficiales primeros ; á ©. Mateo Bravo y Lomas, D. Antonio Leiral , D. Carlos Reboul, ©. Francisco Guilmó , D. Benito Navarro, D. Francisco Larregui , D. Andrés Piñuela , D. Víctor Moreno, D. Juan Ribera, D. Francisco González, D. Sevérino Rie-zu y D. Eusébio Heros oficiales segundos ; á D. Juan Esteban Tricio archivero ; y á …</t>
  </si>
  <si>
    <t>Piñuela, Lorenzo</t>
  </si>
  <si>
    <t>Lorenzo Piñuela</t>
  </si>
  <si>
    <t>ción de Salamanca. D. Josef Pando y D, Juan de Peñalosa, ciudad. D. Cosme de Trespalacios y D. Francisco Alonso y Moral, comercio. D. Antonio Roldan; D. Lorenzo Piñuela; D. Juan Ignacio Perez,y D. Vicente Hernández Pé­ rez, cabildo. D. Josef Mintegui; D. Juan Justo García; D. Josef Espailiar y í). Tomas González , universidad…</t>
  </si>
  <si>
    <t>Pió</t>
  </si>
  <si>
    <t>D. Juan Antonio), consejero de Gómez de Terao ( D. Leonardo) , ministro ? Estado. en Holanda. Llovet ( D. Ramón), caniran del regimienGimes de Ajala (D. Pió), secretario de ,• to uiím. i.°, infantería de lima. i a legación en Holanda . Maiherer ( D. Carlos) , teniente coronel de González (D. Cesar), teniente coronel de ,iiií.…</t>
  </si>
  <si>
    <t>—Gómez Hermosi11a ( D. José) xefe de división en el ministerio de Policía. — Gómez de Teran ( D. Leonardo ) ministro en Holanda. — Gó­ mez de Ayala ( D. Pió) secretario de la legación en Holan­ da.—González (D. César) teniente coronel de artillería.—Gon­ zález Arnao ( D. Vicente) secretario del consejo de Estado. Guerrero (D.…</t>
  </si>
  <si>
    <t>Piquero, Gregorio</t>
  </si>
  <si>
    <t>Gregorio Piquero</t>
  </si>
  <si>
    <t>con su regimiento de Cangas de Tinéo al mando dei Sargen­ to mayor D. Josef Peróí, y lo propio el de Castropolman­ dado por el de igual clase D. Gregorio Piquero; y diri­ giéndose por delante de Casamira, se colocaron al amane­ cer á la retaguardia de Molleda. El brigadier D. Remigie Ohara con los fusileros de su regimiento d…</t>
  </si>
  <si>
    <t>Pir, Diego</t>
  </si>
  <si>
    <t>Diego Pir</t>
  </si>
  <si>
    <t>lle Roldan, D. An­ tonio Maregil, D. Manuel Alvaro Benito y D. Miguel de Lázaro, canóni­ gos de la catedral; D. Carlos Mesa, por la fábrica de paños; D. Diego Pir catoste, por rentas reales; D. Felipe Ledesma, por el comercio. Prelados de las religiones. Los de mercenarios, trinitarios\agustinos, ¿ármen descalzo, gerónimos, c…</t>
  </si>
  <si>
    <t>Pírio</t>
  </si>
  <si>
    <t>taque, las derrotaron y siguieron el alcan­ El general Gouviori Saint-Cír^ mandó ce hasta la orilla del mar ; y conio ya so él día .3 de este mes. al general Pírio que habían largado sus buques, casi todas fue­ ¿tacase con la división italiana lá' villa dé ron muertas ó ahogadas. Se hicieron pocos San Feiiu de Guixóls. Ei ene…</t>
  </si>
  <si>
    <t>Pisan</t>
  </si>
  <si>
    <t>51: heridos. El capitán Seimont refiere unsf acción mui honorífica para Mr. Dede, que feabia tomado el mando de la TV— tis después de i la muerte del capitán Pisan-, Declaraque fue Dede ej uñi^ co francés que se encontró sobre, el .puente quaodóios ingleses subieron át abordage. ■ ; - , La Tetis llevaba á bordo 330 hombres de…</t>
  </si>
  <si>
    <t>Pizarra, Ignacio Agíanlo</t>
  </si>
  <si>
    <t>Ignacio Agíanlo Pizarra</t>
  </si>
  <si>
    <t>stimonios fe¿jeteases , y pidiendo que sa publique á toda la nación eá-* peñóla, que ei Colegio militar . de ia Orden de Alcántara y su Rector actual D. Ignacio Agíanlo Pizarra , no solamente no Iiiu jurado ni Teco nocido al intruso Rey Josef, siao que á la entrad** y ceremonia • de sus G^aerairs en? Salamanca';, yá di­ cho C…</t>
  </si>
  <si>
    <t>Pizarro, Ignacio Antonio</t>
  </si>
  <si>
    <t>Ignacio Antonio Pizarro</t>
  </si>
  <si>
    <t>franceses en 11 de eneró último , y dispuesta la Ciudad á recibirlos en paz , juntó el Rector la comunidad, compuesta en aquellos dias de los Preyles D. Ignacio Antonio Pizarro , Rector , de D. Josef Fa­ jardo y Váfgss, y D. Joaquín Ladrón de Guevara. Todos acordarón- unánimes trasladar el Colegio á la Villa del Campo, pueblo…</t>
  </si>
  <si>
    <t>Plasiard</t>
  </si>
  <si>
    <t>diciembre de este año. mos franceses, refiriendo sencillamente su El corsario ol Carlos, de Burdeos, su victoria, se harán increíbles á las naciones capitán Plasiard, ha entrado el 24 de octu­ todas, y no han de contar sino la pura ver­ bre .en la rada de Brest con 55 prisioneros dad. Ello es que yo estoi asombrado y ató­ que…</t>
  </si>
  <si>
    <t>Platow</t>
  </si>
  <si>
    <t>es de esta esquadrilla han llegado ya á - La gazeta de la corté contiene hoi una Tultscha. relación de oficio sobre las operaciones mi­ ,,El teniente general Platow se apode­ litares eo Turquía, que en substancia dice ró en el .mismo día de jBabad. Los ¿turcos lo siguiente: huyeron de allí precipitadamente, dexando ,i El exér…</t>
  </si>
  <si>
    <t>también el 2 de setiembre á las tropas man­ mosísimo y una urna para vino; varias dadas por el general Platow, y allí se co­ obras en hueso , una gran porción de vasos gieron i® prisioneros. La toma de esta pla­ de varias dimensiones y de todas formas, za nos hace dueños de las dos orillas del y so</t>
  </si>
  <si>
    <t>ai mando del general Milorado— Petersburgo 74 de octubre. wistch; el centro á las órdenes del tenieo-r „ La gazeta ministerial contiene ana rela­ te general Platow, y el ala izquierda man­ ción de la contionacioo de las operaciones dada por el teniente general Maikow. To­ de nuestro cxército de la Moldavia. He dos estos cuerp…</t>
  </si>
  <si>
    <t>Plauzonne</t>
  </si>
  <si>
    <t>er al 18.0 desraqué había reunido y hecho tomar las armas á entonces el regimiento núm. j.°, mandado todos los habitantes ; por manera que sus por el coronel Plauzonne, el qual marchó fuerzas eran doble que las nuestras. La po­ contra la coluna de izquierda del enemigo, sición de lo* enemigos era también ventajo­ y la obligó …</t>
  </si>
  <si>
    <t>grave­ te terreno para formar el exército sin peli­ mente. gro alguno. Este combate es mui honorífi­ „ En el entretanto el enemigo destacó co para el coronel Plauzonne y para el 5.0 seis batallones para atacar los puestos que regimiento. La noche nos impidió el apro­ ocup'ba el regimiento 8.° de infantería li­ vecharnos de es…</t>
  </si>
  <si>
    <t>PLAZA, INTERINO ZJLE AQUELLA</t>
  </si>
  <si>
    <t>INTERINO ZJLE AQUELLA PLAZA</t>
  </si>
  <si>
    <t>L SUCESO OCURRIDO EN CADIZ el dia 2 2 de febrero último publicado en la gazeta del Cobísrno del viernes- 3 del corriente, pág* 178.. ir i ; CARTA DEL GOBERNADOR INTERINO ZJLE AQUELLA PLAZA* _ c Excmo. Sr.zrLlena de pesar toda la parte sana de es* te vecindario por las ocurrencias acaecidas últimamente, no</t>
  </si>
  <si>
    <t>Plaza, Isidoro Garcia</t>
  </si>
  <si>
    <t>Isidoro Garcia Plaza</t>
  </si>
  <si>
    <t>424</t>
  </si>
  <si>
    <t>91664,92912 , 93389 y 95413 , y dos de 150 con los nú­ meros 226717 y 303102 : el sugeto que sepa riel paradero de di­ chos vales se servirá avisar á D. Isidoro Garcia Plaza, comisiona­ do en dicha provincia. ________ *________ Canción nueva patriótica con acompañamiento por forte-pia­ no, compuesta y puesta en música por el …</t>
  </si>
  <si>
    <t>Ple</t>
  </si>
  <si>
    <t>dos-Ünidos de la América septentrional , dirigida di en~ cargado de Negocios de España D. Valentín de Foronda. wMr. de Beaujour está encargado por el Ministro Ple­ nipotenciario de Francia de enviar al caballero Foronda la Constitución de España, y. se aprovecha de esta ccnsion pa­ ra asegurarle su mas distinguida consideraci…</t>
  </si>
  <si>
    <t>Plenipoten</t>
  </si>
  <si>
    <t>mente, llegó aquí el Príncipe de §talire,mbefg, quieq ha sido presentado. antes, de ayer , á S, M. , B. cóil_ el carácter de Enviado extraordinario y Ministro Plenipoten­ ciario del Emperador de Austria cerca de su persona,El Embaxador extraordinario, y el Ministro plenipotenciario de Es­ paña fueron á visitarle, y al siguien…</t>
  </si>
  <si>
    <t>Plenipotenciario</t>
  </si>
  <si>
    <t>s de la corona , le sacó de los estrechos límites del tribunal , y le conduxo por sabia elección de Cárlos III á la Corte de Ro­ sna en calidad de su Ministro Plenipotenciario , para tratar y concluir negocios de no ménos importancia y delicadeza, en los quales mostró quánto alcanzan las prendas del ánimo y del entendimiento …</t>
  </si>
  <si>
    <t>Poli</t>
  </si>
  <si>
    <t>rimera piedra de un Obelisco magnificó qué S. Á. I¿ el prínéipé Bü’genio va á erigir á la gloria inmortal de Napoleón el Grande y de suexérCito. t El coronel Poli, comandante de Leghago, puso la primera piedra de éste monumento, acompañado, del capitán del cuerpo imperial Mr* * Delard, co­ mandante de ingenieros, y encargado …</t>
  </si>
  <si>
    <t>Polo, Antonio Serrano</t>
  </si>
  <si>
    <t>Antonio Serrano Polo</t>
  </si>
  <si>
    <t>atemala 5 y para otra plaza de oidor de la audien­ cia de Guatemala, vacante per fallecimiento de D. .Onesimo Du­ ran , al supernumerario de la misma D. Antonio Serrano Polo. Por el ministerio de guerra se ha comunicado la real orden si­ guiente á Los generales de los exércitos y capitanes generales dé provincia. —“Habiéndose…</t>
  </si>
  <si>
    <t>Polo, Juan</t>
  </si>
  <si>
    <t>Juan Polo</t>
  </si>
  <si>
    <t>Marques de Revilla. — D. Luis Gonzalo. —- D Manuel de la Pe­ ña.— Dt Ignacio Antonio de Cortabarria.— D. Ramón Ger.— D. Francisco Xavier de Balmis. — D. Juan Polo. — Marques de. Béigída. — Marques- de Casteiar. — D. Manuel Vélaseos—D Jo­ sé Olatte. — D. Francisco y D. Manuel del Valle. — Duque de Yiilahermosa.— D. Felipe Vall…</t>
  </si>
  <si>
    <t>Pomatowskt</t>
  </si>
  <si>
    <t>dor militar el Reí de Westfalia había ya reunido un» de Varsovia, ha salido el dia 20 para el parte de sus tropas para combatirlo. S. M. exército del príncipe Pomatowskt. se adelanta á marchas forzadas hácia la Bo­ Según ona relación del quartel general hemia , en donde , dentro de poco será el polaco, fecha en Priow á 15 de …</t>
  </si>
  <si>
    <t>Ponce, Francisco</t>
  </si>
  <si>
    <t>Francisco Ponce</t>
  </si>
  <si>
    <t>o , 10 rls. para un par de: medias. D. Doipingo Vanda , 20 rls. para dos pares de rpsdias. Di Juan Francisco Alvarez , 10 rls. para un par de medias. D. Francisco Ponce, 10 rls. para un par de medias. D. Miguel de Vera , 20 rls. para dos pares de medias. D. Francisco Vera , 20 rls. para, dos pares de medias. D. Manuel Martin …</t>
  </si>
  <si>
    <t>Ponceiis, Gregorio</t>
  </si>
  <si>
    <t>Gregorio Ponceiis</t>
  </si>
  <si>
    <t>Luizoain, canónigo* Por el estado noble. -a. D. Lorenzo Sanz de Sedaño y D¿ Josef Medina. i :d : Pot el estado general.' * w ' r &lt;* D. Josef Pinedo, D. Gregorio Ponceiis¡y:D. Vicente deíBiava.; \ El canónigo D. Manuel Pascual Luizoain dirigió á S. M. el discurso si­ guiente : „ SeSor : La diputación de Palencia da á V. M. la …</t>
  </si>
  <si>
    <t>Ponia</t>
  </si>
  <si>
    <t>andante de Pouldu, cerca de Locmener, á dos Jegilas las tropas polacas del 9." cuerpo =firma­ de este puerto. La tripulácio t ha perecido do , Jnséf, príncipe Ponia:o\vski.” toda. Aun do se ha podido encontrar el nombre, de la embarcación ni los pliegos El general de división Pombrote ski al que llevaba. Se han sacado aígunas…</t>
  </si>
  <si>
    <t>Ponía</t>
  </si>
  <si>
    <t>20 de julio de 1809</t>
  </si>
  <si>
    <t>Gaceta de Madrid n.º 201</t>
  </si>
  <si>
    <t>ros piíncipes y vuestro ( Documentos que acompañan al diario obsequio personal, que no se desmintió vigésimoquarto.) jamas. Extracto de una carta del príncipe Ponía,, Señores diputados: el gobierno de Friburgo ha encargado á mí y á los señores towski á S. A. S. el príncipe de Neaf­ eita t el. consejeros de Montenach y de Mail…</t>
  </si>
  <si>
    <t>creador. Aunque inferiores en número, no esto á su empresa; pero para distraer la solamente han resistido al enemigo, sino atención de las tropas del príncipe Ponia­ que también en todas partes le han atacado towski se resolvió á desembocar con una con suceso; han llevado la victoria á las parte de sus fuerzas por el Vístula …</t>
  </si>
  <si>
    <t>tras mas cerca, tenia suspensos los áni­ Los austríacos mismos hacen justicia á mos de todos los habitantes. La pérdida de los talentos militares del príncipe Ponia- los austríacos debe haber sido inmensa; y towski , comandante en gefe de nuestro ya se nombran muchos de los generales que ejército. Este príncipe estaba 20 años…</t>
  </si>
  <si>
    <t>prometió positiva y solemnemente, que eo po roso marcha camino de Cracovia á jun­ Tirnau recibiría yo noticias que me ins­ tarse con el exército del príncipe Ponía— truirían sobre Jo que debería hacer en ade­ towski. lante. Creo que el señor de Binder me ha­ En virtud de un nuevo decreto los seis brá escrito; pero solo Dios s…</t>
  </si>
  <si>
    <t>1349</t>
  </si>
  <si>
    <t>iatamente , después de firmada la paz, Escriben de Cracovia que cada vez que ehseñor baron.de Stedingk, ministro pleni­ ,se presenta en las cálles el príncipe Ponia- potenciario de Suecia, ha partido de Fre— towski, el pueblo lo recibe con los gritos derisebam para Pctcrsburgo con el coronel Be viva poniatQ-wskit Los habitant…</t>
  </si>
  <si>
    <t>Ponía, Josef</t>
  </si>
  <si>
    <t>Josef Ponía</t>
  </si>
  <si>
    <t>ha tenido. van entrando por partes en el reino, y Escriben de Dresde que el Reí de Saacantonándose en los círculos meridionales. xoniaha nombrado al príncipe Josef Ponía­ El regimiento de Franquetnont, que hacia lo wski por su comisario ‘general para de­ parre del cuerpo del general Lagrange, ha marcar, de acuerdo con el plen…</t>
  </si>
  <si>
    <t>Poniarowski</t>
  </si>
  <si>
    <t>Las noticias recibidas en el gran duca­ esta ciudad con las partidas que encontró do sobre las operaciones del exército del en el camino. príncipe Poniarowski son de que este se Como la situación de las tropas france­ ha apoderado de Brodi, última ciudad de sas y su. pequeño número no permitía al Gallitzia, cerca de la fronte…</t>
  </si>
  <si>
    <t>Poníate</t>
  </si>
  <si>
    <t>87 todos los distritos de] pala ti mulo de Sfandornir, se lia reunido con el príncipe Poníate vvski en Pólanseck. Ei general Zajonzeek, reforzado co; i una divisio! i ri luna rusa ae aba de pasar el estas fuerzas reunidas en &lt; pera de entrair en la Mora.vit ,o.-; cosacos Hacen sus excursiones 1 5 ó 20</t>
  </si>
  <si>
    <t>Poníatew</t>
  </si>
  <si>
    <t>tan plaza voluntariamente nombrado gobernador de la ciudad de Var- en nuestros regimientos. sovia. Ayef mandó publicar lá orden del Se asegura que el príncipe Poníatew:k¡ diá déf quartel general del príncipe Pénbia- *trá; elevado á la diguidad de virei. towski del í de este mes, en la qual El exército- del archiduque .Fernand…</t>
  </si>
  <si>
    <t>Poniatotvski</t>
  </si>
  <si>
    <t>se ha podido encontrar el nombre, de la embarcación ni los pliegos El general de división Pombrote ski al que llevaba. Se han sacado aígunas pipas de príncipe Poniatotvski, ministro de la aguardiente de cognac , en las quales éstaGuerra. ban marcadas con fuego estas palabras: TIennesys et Furner ■ ’ SIeszin a (T de mayo de 18…</t>
  </si>
  <si>
    <t>o­ rección de Hungría. rio del ducado de Varsovia ; y al entrar en Gallitzia encontraron mui adelantadas las GRAN DUCADO DE VÁRSOVIA. operaciones del príncipe Poniatotvski, que ha pasado ya el San, y se halla al pie de Varsovia 3 de junio. los montes Krapack. Como los generales En la noche del i.° al 2 de este mes han Dombrow…</t>
  </si>
  <si>
    <t>Poniatovvsky</t>
  </si>
  <si>
    <t>íaco bastante considerable. El de reserva del mismo exército ocupa todavía sus acantonamientos, entre Kasckau y Eperies. Estamos informados-de qué el príncipe Poniatovvsky ha-reu­ nido la mayor parte del exército polaco cerca de Cracovia, y que si la guerra se renueva , se avanzará al instante por la Sile­ sia austríaca sobre…</t>
  </si>
  <si>
    <t>Poniatow, Josef</t>
  </si>
  <si>
    <t>Josef Poniatow</t>
  </si>
  <si>
    <t>del quartel general del volverán á comenzar mui pronto , pues pa­ exéreito del gran ducado un edecán del ra ello no se espera mas sino la llegada de príncipe Josef Poniatow.-ki. El príncipe 6o© rusos, que están ya á seis jornadas de Sergio Gallitziti debía estar el 10 de este Viena, y llegarán con el exéreito polaco que mes e…</t>
  </si>
  <si>
    <t>Poniatowski</t>
  </si>
  <si>
    <t>tochow, Lenczic &amp;c. Se ha celebrado en esta ciudad con la mayor solemnidad el aniversario de la coronación de S. M. el Emperador de los franceses. El príncipe Poniatowski. ministro de la guerra, ha mandado con este motivo las maniobras y exercicios militares que han executado las tropas polacas y saxonas, y de los destacament…</t>
  </si>
  <si>
    <t>de Dresde. tes , haré quantoesté de mi parte por acre­ Y el cuerpo del ducado de Varsovía, ditar que merezco esta confianza , y estaré mandado por el príncipe Poniatowski, ba­ tanto mas tranquilo, quanto sé que los xo Varsovía. pueblos del reino están animados del me­ El dia 10 cercaron las tropas austríacas jor espíritu ; qu…</t>
  </si>
  <si>
    <t>visitando las avanzadas que hai á lo largo del Piave. Varsovia 13 de abril. IMPERIO FRANCES. Las 3 divisiones de'nuestro exé'cito, á las órdenes del príncipe Poniatowski, de Paris 3 de mayo. los generales Dombrowski y Zajenzeck han marchado á las fronteras de la Gallitzia con Continuación de los documentos de oficto motivo de…</t>
  </si>
  <si>
    <t>o la orilla cia el camino de Praga : que el exército po­ derecha del Vístula , el exército mandado laco , que se extendía hacia Lemberg y Cra­ por el príncipe Poniatowski se dividió en covia , amenazaba la Moravia y la Bohemia, dos coiunas, la primera de las quales subió y que el archiduque corría riesgo de ser co­ por el Vís…</t>
  </si>
  <si>
    <t>íacos mismos calculan que convencidos de que S. M. no deseaba otra su pérdida ha sido de 18® hombres. cosa sino la tranquilidad de su imperio; que El príncipe Poniatowski, con el exér­ se hallaba mui dr tante de desear la guerra, cito del gran ducado de Varsovia , prosigue y que era inevitable la necesidad que lo sus triunfos…</t>
  </si>
  <si>
    <t>ezas han sido arres­ tado de defensa con una artillería numero­ tados. El 15 de mayo el quartel general sa ; pero se asegura que no están todavía del príncipe Poniatowski salió de Lublin acabadas del todo las obras exteriores. para seguir adelante sus marchas. Según algunas noticias el deseo de los Se asegura que un cuerpo ru…</t>
  </si>
  <si>
    <t>ía con un cuerpo crecido El archiduque Fernando en contraven­ de tropas. ción del tratado que había hecho con el Las aguas del Danubio se han elevado príncipe Poniatowski obligándose á no exi­ un pie de algunos dias a esta parte. gir ninguna contribución, ha impuesto una El general Graden, que mandaba una de 40c® florines á l…</t>
  </si>
  <si>
    <t>io una co­ riores. lana rusa , mandada por el príncipe Suwarow, se habrá reunido el dia 9 con el cuer­ El infrascrito embaxidor remitió con la po del príncipe Poniatowski entre Sapdo- posible brevedad á la corte de Viena la no­ mír y Lublin. ta que S. E. el ministro de Relaciones exte­ S. M. el Rei de Saxonia ha recibido aqui…</t>
  </si>
  <si>
    <t>er en las Los movimientos de la esquadra ingle­ cercanías de Cracovia, para defender esta sa delante de Carlscrona habían dado algu­ ciudad contra el príncipe Poniatowski. Pero nas esperanzas de que iba á largarse de allí; et probable que luego que sepa la marcha pero no ha hecho mas que destacar tres bu­ y los progresos del …</t>
  </si>
  <si>
    <t>seis pulgadas por segundo» y en su altura media de quatro pies y ocho &lt; (Acompañan al diario una carta del pulgadas, y mas fuerte que en ningún otro príncipe Poniatowski á S. A. S. el príncipe punto. En Hungría es mucho menor ; y en de .Neufchatel, y dos proclamas del Reí. el lugar en donde Trajano mandó echar un de Saxonia, …</t>
  </si>
  <si>
    <t>el Visluka, rio que puede vadearse por también que está animada del espíritu de qualquier parage. valor y de patriotismo que caracterizó á los ,, El príncipe Poniatowski, esperando antiguos polacos. La agresión de un enemi­ que para sostener sus operaciones se le acer­ go poderoso , lejos de intimidarla , no ha he­ case el ex…</t>
  </si>
  <si>
    <t>O DE VARSOVIA. terminante de hacer en todo y por todo causa común con los franceses. La suerte Varsovia 79 de junio. del Austria está ya decidida. El príncipe Poniatowski tiene á sos ór­ denes una división rusa , que se incorporó CIUDADES ANSEATICAS. con su exército ocho dias há. Otra división rusa, mandada por el general Lev…</t>
  </si>
  <si>
    <t>.......... ............. bres. 1 Un cuerpo austríaco se retira, hácia la Weingarten T4 de julio. Silesia. El Rei de WUrtenífjerg há llegado ayer ,E1¿ príncipe Poniatowski ha recibidpdel aqui. La guardia de á caballo ha seguido á Emperador Napoleón una carta' mui expre­ S. M.; la de á pie ha entrado en Altdorf. siva, en la qua…</t>
  </si>
  <si>
    <t>ales la mayor par­ fae del Interior , ha vuelto ya á esta capi­ te se sacan de los arsenales de Viena. tal después de haber viajado por diferente* EL príncipe Poniatowski ha salido de reinos extranjeros. Radon! con 18® hombres de nuestro exér­ - También está aquí de vuelta del viage cito para entrar en Cracovia, de donde, se­…</t>
  </si>
  <si>
    <t>Bronikowski» y el conde Thadeus neral eo Feldkirch. Matusewiez. El general Bronikov^ski ha re­ GRAN BRETAÑA. cibido la cruz de la legión de Honor. El príncipe Poniatowski» comandante Londres 10 de setiembre. en gefe del exército polaco en Gallitzia» re­ La suerte de nuestro exército de Espa­ mite diariamente por estafeta su c…</t>
  </si>
  <si>
    <t>DE DICIEMBRE DE 1809. VAL AQUI A. GR.AN DUCADO DE VARSOVIA. Sucharest 2 de noviembre. Varsavia 2 de noviembre. Ayer se ha celebrado aquí la rendi­ El príncipe Poniatowski llegará aquí do ción de la fortaleza de Ismaüow. Esta pla­ un dia á otro de Cracovia , y se están ha­ za capituló eL 14 de setiembre. Se ha ce­ ciendo grand…</t>
  </si>
  <si>
    <t>Poniutowski</t>
  </si>
  <si>
    <t>mpo S. M. ha nom­ Leipsick 8 de junio. brado varios empleados públicos, que hao El exército polaco, i las órdenes del marchado ya á sn nuevo destino. príncipe Poniutowski, prosigue sus triunfos. El 24 de mayo se ha apoderado de la. ciu­ CONFEDERACION DEL RIN. dad de Jaroslauvr, en donde ha hecho pri­ Kuremberg 8 de junio. sio…</t>
  </si>
  <si>
    <t>Pons, Andrés</t>
  </si>
  <si>
    <t>Andrés Pons</t>
  </si>
  <si>
    <t>iaron- deTcastillb élites de haber acudido los enemigos con fuerzas muy superiores. En esta acción tuvimos 16 heridos : entre ellos lo fue gravemente D. Andrés Pons, subteniente de Artillería, que se ofreció á clavar los cañones. Ei 4 á las 9 de la noche , los enemigos defendidos por sus obras, después dé haber tomado las pre…</t>
  </si>
  <si>
    <t>Pons, José</t>
  </si>
  <si>
    <t>José Pons</t>
  </si>
  <si>
    <t>. Martin Garay.— D. Valentín Solanot.— D. Ra­ món Gayan. — D. Gerónimo Castillon. — D. Antonio Laspuertas.— D. Narciso Laclara. — D. Mariano Ciria. — D. José Pons. — D. Antonid' Buil. — D. Pedro Blecüa. — D. Salvador Puycercus. — D. Mariano Baguena.— Condado de Plasencia.— Baronía de' Gurrea.— Marques de Dosaguas.— Marques de…</t>
  </si>
  <si>
    <t>Ponte, José</t>
  </si>
  <si>
    <t>José Ponte</t>
  </si>
  <si>
    <t>es de Sta. Coloma.— D. Ma­ nuel Ulzurrun de Asan za, Sr. de Conduero. — D. Ventura Elorduy. — D. Felipe Porte. — D. Felipe Arias. — D. Juan Casaus. — D. José Ponte.— D. Mariano Olaso.—D. Juan Mallada. — D. Mi­ guel Porte. — D. Jacinto Garisa. — D. Bruno Huici. — D. Manuel Larruga.— D. Ventura Ateza. — D. José Soler.— D. Migue…</t>
  </si>
  <si>
    <t>Pontero, Carlos Simón</t>
  </si>
  <si>
    <t>Carlos Simón Pontero</t>
  </si>
  <si>
    <t>e. Sr. D. Luis Marcelino Pereira, Sr. D. Manuel María de Junco y Sr. Don Angel Alfonso Noreña. Consejo de Ordenes. Sr. D. Cristóbal de Ilarraza y Sr. D. Carlos Simón Pontero. Estos caballeros llevan el expediente de las firmas dé los libros de asien­ to que se abrieran en cada quartel y barrio de Madrid; y asimismo del ju­ ra…</t>
  </si>
  <si>
    <t>Pooiatowski</t>
  </si>
  <si>
    <t>l de 4.8.00,051 das á Praga. rublos." SAXONIA. POLONIA. Drtsde 2 de julio. Varsavia &lt;16 de junio. El cuerpo austríaco, que se componía Se dice que el príncipe Pooiatowski de 10© hombres quando entró en Saxonie» tendrá el título de mariscal del imperio ha perdido aqui un tiempo mui precioso, francés. pues en lugar de procqrar …</t>
  </si>
  <si>
    <t>Por, Claudio Bou</t>
  </si>
  <si>
    <t>Claudio Bou Por</t>
  </si>
  <si>
    <t>Fernando Pcreira. Por $. M. so ministro secretario de Estado Mariano luis de Urquijo. ” Por decreto de 17 del corriente S. M. ha venido en nombrar á D. Claudio Bou• Por real decreto de 17 del corriente relou , segundo profesor y jardinero mayor S.M. se ha servido promover á teniente de de! real jardín botánico, para la plaza …</t>
  </si>
  <si>
    <t>Por, José</t>
  </si>
  <si>
    <t>José Por</t>
  </si>
  <si>
    <t>o.¡ pañeros á que se batiesen con eií mayor ardor,“persuadiéndoles qiie sus heridas eran muy leves, aunque realmente eran bastante graves; del cadete D. José Por­ tillas y^de los sargentos, segundo^.r rancisco Rostani y. Juan Ni­ colás, qué habiendo saltdb todo* tos días a batirse volüíitánamente diero nqjruebjas. de ^A JP-ES…</t>
  </si>
  <si>
    <t>Porlier, Antonio</t>
  </si>
  <si>
    <t>Antonio Porlier</t>
  </si>
  <si>
    <t>iembre S. M. sión que he desempeñado en Berbería, y ha nombrado en el ministerio de Negocios por lo mismo creo tendréis mucha satisfac­ extrangeros á D. Antonio Porlier gefe de ción en saber que el Emperador ha hecho división ; á D. Joaquín Oms y D. Manuel los mayores y mas honoríficos elogios de la de Alonso oficiales primer…</t>
  </si>
  <si>
    <t>la ración que este dexa , á D. Domingo Miguel de la Cueva ; y para otra ración vacante en aquella catedral por muerte de D. Agustín Gar­ da Velez, á D. Antonio Porlier, cura párroco de la villa de S. An­ drés : para la ración vacante en la de Granada por fallecimiento de D. Francisco Diaz , á D. Josef Morales , rector de aque…</t>
  </si>
  <si>
    <t>Porras, Josef</t>
  </si>
  <si>
    <t>Josef Porras</t>
  </si>
  <si>
    <t>rte hemos tenido 29 hombres muertos con e! subteniente dé! real cuerpo de arti­ llería G-éróíimó Salamanca ; 80. heridos ,. entre ejlós :¿1 ca­ pitán D. Josef Porras, y el teniente D. Francisco de Ncira y</t>
  </si>
  <si>
    <t>Porte, Felipe</t>
  </si>
  <si>
    <t>Felipe Porte</t>
  </si>
  <si>
    <t>encia.— Baronía de' Gurrea.— Marques de Dosaguas.— Marques de Sta. Coloma.— D. Ma­ nuel Ulzurrun de Asan za, Sr. de Conduero. — D. Ventura Elorduy. — D. Felipe Porte. — D. Felipe Arias. — D. Juan Casaus. — D. José Ponte.— D. Mariano Olaso.—D. Juan Mallada. — D. Mi­ guel Porte. — D. Jacinto Garisa. — D. Bruno Huici. — D. Manue…</t>
  </si>
  <si>
    <t>Posen, Latter</t>
  </si>
  <si>
    <t>Latter Posen</t>
  </si>
  <si>
    <t>el camino de Cracovia, costeando el 27 de mayo, en la qual se anuncian las Vístula, y pasando el Pilika. promociones siguientes: El teniente de feld-mariscal Latter- Posen 7 de jimio. mond toma el mando militar de Cracovia: lob mayores generales J. Prochaska, Sie- Un corTeo del consejo de Estado ha geathal , Huhenfeld , Kades…</t>
  </si>
  <si>
    <t>Potocki</t>
  </si>
  <si>
    <t>nstancias. El presidente la Rusia , conociendo sus propios intereses, del consejo de Estado Gurtakowski y el mudaría pronto de opinión; por otra , ál conde Potocki fueron nombrados adjuntos ver los grandes preparativos de defensa que del presidente, y secretario Mr. de Strathacia en et norte deHungm, no podía uno kowsfci.Todo…</t>
  </si>
  <si>
    <t>Potocki, Ignacio</t>
  </si>
  <si>
    <t>Ignacio Potocki</t>
  </si>
  <si>
    <t>en Saxonie» tendrá el título de mariscal del imperio ha perdido aqui un tiempo mui precioso, francés. pues en lugar de procqrar unirse con el que El conde Ignacio Potocki, ministro que estaba en el país de Baireuth , y con el qual fue de Estado de Polonia, grao narisctl hubiera podido penetrar en Westfalia , no de Lituania, h…</t>
  </si>
  <si>
    <t>udiencia del vanguardia francesa se ha adelantado desde Emperador Napoleón. Los sugetos que la Feldkirch á Pludentz, y el general ’Frocompoaen son el conde Ignacio Potocki» el mentz» que la manda» tiene su quartel ge­ general Bronikowski» y el conde Thadeus neral eo Feldkirch. Matusewiez. El general Bronikov^ski ha re­ GRAN B…</t>
  </si>
  <si>
    <t>Potocki, Wladimir</t>
  </si>
  <si>
    <t>Wladimir Potocki</t>
  </si>
  <si>
    <t>Ndm. 207. 935 GAZETA DE MADRID DEL MIERCOLES 26 DE JULIO DE 1809. RUSIA. protegido por el teniente coronel Wladimir Potocki, que llevaba alguna artillería, Petersburgo 14 de junio. Una orden del dia del 14 refiere que ha­ La gazeta ministerial contiena el artícu­ biendo los austríacos atacado por varios pun­ lo</t>
  </si>
  <si>
    <t>Potoka</t>
  </si>
  <si>
    <t>bre; la condesa de dísimo número de prisioneros. Sóchóltz, su azafata ; la señora Morio, da­ También se va persiguiendo al exército ma de palacio; la condesa Potoka ; la con­ dé Venegas, que se retira hacia Sierra-Mo­ desa de Ega; la de Desnoettes &amp;e. rena , y ya se le han cogido muchos pri? . Reunidos todos los personages en…</t>
  </si>
  <si>
    <t>Pouchin</t>
  </si>
  <si>
    <t>el reino. El El señor d’ Epinai, oficial de ordenan­ prefecto del departamento dei Metauro ha za de S. M. , ha llegado de Petersburgo, y recibido del general Pouchin, que manda ha pasado al quartel general roso. E! prín­ 'én los tres departamentos que antiguamen­ cipe Sergio Gallitzin ha entrado en Gallitte hacían parte de lo…</t>
  </si>
  <si>
    <t>Pouiatowíki</t>
  </si>
  <si>
    <t>línea. en Gripshoim el 29 de marzo último, por -■ Las noticias de Polonia son cada dia la qual Gustavo Adolfo iv renuncia para mas satisfactorias. El príncipe Pouiatowíki siempre el trono de Suecia por síy sus here­ sé ha aprovechado con destreza del entor­ deros 6 descendientes. Concluida esta lectu­ pecimiento de los austrí…</t>
  </si>
  <si>
    <t>Pouiatowski</t>
  </si>
  <si>
    <t>risioneros, 20 piezas de dirigido de Wels hacia Lintz, adonde se cañón, y almacenes considerables. cree que irá también la segunda. La caballería del príncipe Pouiatowski</t>
  </si>
  <si>
    <t>raga para reconocer los atrinchera­ mientos ; su qaartei general continúa en Varsovia 24 de julio. Budweiss. La ciudadela de Bruno , que se ha en­ El príncipe Pouiatowski ha tomado po­ tregado á las tropas francesas en virtud del sesión de la ciudad de Cracovia en nombre armisticio, es el castillo conocido bazo el de S. M. el…</t>
  </si>
  <si>
    <t>Poulers</t>
  </si>
  <si>
    <t>quias de sus exércitos. El General Eapague dividió su cuerpo en columnas-; oe-' jpo fué muerto por una bala de fusil á la cabeza de sus fropas-; y él General Poulers también fué muerto, sí g{ General -N¿nsouty llegó por la tarde al campo ,de&gt; batalla y se distinguió mucho. Al anochecer se terminó ia; batalla, y quedamos dueño…</t>
  </si>
  <si>
    <t>Power, Ramo</t>
  </si>
  <si>
    <t>Ramo Power</t>
  </si>
  <si>
    <t>y aumento de buques con que se ha estrechado la vigilancia del bloqueo. “Laplaza, añade, no ha recibido socorro desde que llegó el teniente de navio D. Ramo» Power , enviado de aquí con los últimos auxilios de mar y tierra; y se ha causado mucho daño á los edificios. Está dispuesta la salida de la goleta Redner con la continu…</t>
  </si>
  <si>
    <t>Pqmbrovt</t>
  </si>
  <si>
    <t>yai-i cura* de mi diócesi que }vuelvan ¡amedieta- do ahora con el exércitodel prjncjpe, JRov mente á sus parroquias respectivas , y per­ niatowsU._Él general Pqmbrovt’sici .xenL* suadan coa el exemplo y los consejos A sp*; últimamente su quartel general en itadom. diocesanos i que hagan otro tanto ; qjuc lq» Una coluha. rusa …</t>
  </si>
  <si>
    <t>Prast, Pedro</t>
  </si>
  <si>
    <t>Pedro Prast</t>
  </si>
  <si>
    <t>1809. — José Ó-donelI. Los 6 oficiales muertos son: el teniente del primero de Cataluña D. Fernando Valdes; el subteniente del se­ gundo de Cataluña D. Pedro Prast ; el capitán del de Victoria D. Rafael Mora ; el ayudante general sargen­ to .mayor del de Aragón D. Salvador Molina ; el sub­ teniente de Castropol D. Vicente Mar…</t>
  </si>
  <si>
    <t>Prat, Félix</t>
  </si>
  <si>
    <t>Félix Prat</t>
  </si>
  <si>
    <t>al ayudante del quartel-tnaestre D. Antonio Fernan­ dez , teniente coronel del real cuerpo de Ingenieros , y á D. José Boado , capitán del mismo :.á D. Félix Prat, comandante del 1.° de Barcelo­ na : á D. Manuel Herrero , í). Pedro Perez y D. Benito Salgado, coronel y tenientes del regimiento de la Corona; i D. Pedro Linares …</t>
  </si>
  <si>
    <t>Preising</t>
  </si>
  <si>
    <t>i han entrado en el Tiroi por el lado de AcheuMunich xr de julio. sea. El magistrado del pueblo de Aliesbach, ■ Las cartas de Saltzburgo anuncian que conde Preising, se ha unido á estas tropas Jta comenzado va a expedición contra ios con 300 tiradores de las montañas. Toda tiroleses. El general Deroi,-con una divi­ esu divisi…</t>
  </si>
  <si>
    <t>Presidente</t>
  </si>
  <si>
    <t>ismo asunto. Tenckáse entendido en el Consejo y dispondrá su cumplímiento.=:Ei Conde de Fioridablanca-= ‘En Aranjuez á 30 de Noviembre de 1808.=^: Al Duque Presidente del Consejo.** Y no habiendo permitido las ocurrencias de Madrid que por el mencionado Tribunal se circulase el referido Real decreto, lo traslado a V. de Real …</t>
  </si>
  <si>
    <t>Prevost</t>
  </si>
  <si>
    <t>olares para llevárselos con­ sigo en su huida* Se ha mandado suspender la expedición que se preparaba en Halifax, y que debía salir á las ordenes del general Prevost. La escuadra de 10 navios de línea con que el almirante Collingwood cruzaba en las aguas de Tolon, se ha reforzado con otros 5 navios de línea mandados por el al…</t>
  </si>
  <si>
    <t>¿ con la1; segunda . brigada, com­ puesta de los regimientos número 8 y 13, y 4 compañías del de las Indias Occidentales. En este intervalo abanzó el General Prevost con su brigada hasta Papin que dista unas atete millas de Roberto, y desembarcó la reserva mandada por el Teniente coronel Blackwell, compuesta del 340 ba­ talló…</t>
  </si>
  <si>
    <t>Prevost, Beckwith y Sir Jorge</t>
  </si>
  <si>
    <t>Beckwith y Sir Jorge Prevost</t>
  </si>
  <si>
    <t>tando ya concluida la ba­ tería, el Teniente General Maitland avanzó con el grueso de su división hasta Lamentin , al propio tiempo que el Ter nienre General Beckwith y Sir Jorge Prevost se pusieron soT* bre Bruno y Sourrier• I-as brigadas de estos dos oficíales tu­ vieron freqiientes escaramuzas con el enemigo en su mar­ cha…</t>
  </si>
  <si>
    <t>Prichk, Juan</t>
  </si>
  <si>
    <t>Juan Prichk</t>
  </si>
  <si>
    <t>ente del regi­ Nosotros nos hemos empeñado en coar­ miento de infantería española de línea nú­ tar ó reducir el poder de Bonaparte, y pa­ mero i.*} i D. Juan Prichk, teniente del ra esto oo hemos ahorrado ai hombres u¡ regimiento de infantería Real Extrangero, dinero. Noventa millones de esterlinas para capitán de la 3.a comp…</t>
  </si>
  <si>
    <t>Primado</t>
  </si>
  <si>
    <t>la batalla de Durenstein. EL monumento está ya concluido, y se colocará en el patio de la academia imperial del cuerpo de ingenieros. S. A. Erna, el príncipe Primado de la confederación del Rin ha nombra­ do su ministro plenipotenciario y enviado extraordinario cerca de nuestra corte al conde de Marschal. Se ha representado e…</t>
  </si>
  <si>
    <t>o. El espíritu psüiórico y ios sentimientos leales de esta Cíuésd se manífi-stün por todos ios testimonios que pueden acre­ ditar estas virtudes* 1:1 Arzobispo Primado, ofreciendo en ?ii "conducta , y en Jas "diligencias con que promueve la eficacia del valor de sus súbditost el modelo de todas las virtudes so­ ciales ; ha an…</t>
  </si>
  <si>
    <t>io del Imperio del $ de marzo , de donde ge ha copiado el contexto del articulo.) Wisbaden 24 de febrero.—Se ha publicado aquí copla de ama carta del Príncipe Primado á los Grandes-Duques de Báden, de Hesse , de Wurtzbargo , y al Duque de Nássau', fecha ea Francfort el 2 de febrero, cuyo tenor dice : « S. jVf. elBmpe-rador de…</t>
  </si>
  <si>
    <t>Gazeta del Gobierno n.º 45 (extraordinaria)</t>
  </si>
  <si>
    <t>rtzbourg. = En el dia 17 no se habia recibido noticia ninguna en Francfort de los grandes exércitos, ó á Ió menos no se habia publicado ningu­ na. El Príncipe Primado, y el gran Duque de Wurtzbourg han llegado á la misma ciudad. EN LA IMPRENTA REAL.</t>
  </si>
  <si>
    <t>de junio. Ayer entró en Wurtzburgo el cuerpo mandado por el Duque de Brunswick , habiendo arrollado á dos divisiones francesas , y puesto eri fuga al Príncipe Primado y á los Reyes de Saxonia, que con sus comitivas se habían refugiado allí el día ántes. La partida francesa que aquí tenemos, está empaquetando todos sus efectos…</t>
  </si>
  <si>
    <t>Primo, Pablo</t>
  </si>
  <si>
    <t>Pablo Primo</t>
  </si>
  <si>
    <t>ia , subteniente , falta incorporarse. De voluntarios de Tarragona 7 muertos y 20 heridos , entre estos el capitán D. Francisco Cogin , y el teniente D. Pablo Primo. * De dragones del Rey 2 heridos , un caballo muerto y 2 heridos. De los húsares de S. Narciso un caballo muerto , y otro herido. El cuerpo de expatriados ha teni…</t>
  </si>
  <si>
    <t>Prjmado</t>
  </si>
  <si>
    <t>executar su voluntad debe abandonarse to­ do sin esperanza de ninguna recompen­ Francfort 3 de febrero. sa ; porque la bondad de Dios tiene prome­ El príncipe Prjmado está incesantemen­ tido que recompensará generosamente U fi­ te ocupado en el exámen de varios proyec­ delidad con que sometemos nuestra volun­ tos que se le ha…</t>
  </si>
  <si>
    <t>Proaorowski</t>
  </si>
  <si>
    <t>s particular. (5) i Esfuerzos in útiloa! No os empeñe» en (3) Ved justamente lo que ha sucedido*, el explicaí esta.neutralidad de la Rusia, porque no príncipe Proaorowski lia roto con los negocia - existe..El Emperador Alexandro ha sido largo dores turcos, declarándoles abiertamente que si tiempo vuestro aliado para dexar de …</t>
  </si>
  <si>
    <t>Proclama, Francisco Antonio Quintana</t>
  </si>
  <si>
    <t>Francisco Antonio Quintana Proclama</t>
  </si>
  <si>
    <t>ra el corregimiento de la villa de Sahacho que se destruyan. gun: á D. Genaro de Quevedo para la va­ ra de alcalde mayor de la ciudad de Náxera ; y á D. Francisco Antonio Quintana Proclama. para la de la villa de Ledesma. Soldados del exército de Italia : Habéis desempeñado gloriosamente lo que os tenia ordenado; el Somering …</t>
  </si>
  <si>
    <t>Prosorouski</t>
  </si>
  <si>
    <t>os negocios particulares. del comandante en gefedel exércitaturco. El príncipe Dolgorouki, primer edecán El camino de Constantinopla á Rudfóhuck. del príncipe Prosorouski, general en gefe está como siempre plagado de salteadores. del exército ruso en Turquía, ha atravesa­ El príncipe Prosorouski, general en gefe do nuestro te…</t>
  </si>
  <si>
    <t>Prosorowitz</t>
  </si>
  <si>
    <t>apuro; y ciertamente mudarán de contienen Ib que signa' ’ eeihblanfé si el fexértíitó ruso, á' las ordenes „Los tarcos no se han presentado á la del príncipe Prosorowitz, na pasado ya el vista de esta fortaleza , ni tampoco son due­ Danubio, como se cree con bastante fonños de Semendria. Las posiciones de Bo-* * dameñto* rets…</t>
  </si>
  <si>
    <t>Prosorowski</t>
  </si>
  <si>
    <t>310</t>
  </si>
  <si>
    <t>de Petersburgo ha enviado ya orden de que se preparen alojamientos para los ministros y su comitiva. Si ha de darse crédito á una de estas cartas, el príncipe Prosorowski, comandante en gefe de las tropas'rusas, ha sido nombrado por su Soberano ministro plenipotenciario pará’el congreso. Escriben de Mehadia, en el Bannato de …</t>
  </si>
  <si>
    <t>mes .de diciem­ vo, á lo menos por lo que respecta á ló* bre, y á nadie ha visitado sino al general nombres y á las palabras, que de dedicar­ en gefe príncipe Prosorowski. Este último se á ilustrar y perfeccionar los descubrimien­ ha mandado al tesorero de la ciudad quá tos de sus predecesores; se pregunta'si una le presente …</t>
  </si>
  <si>
    <t>; y algunas sacas de algodón, pues los ingleses parece que se han roto enteramente las ne­ ho quieren permitir que el comercio de gociaciones con, el general Prosorowski. Trieste se provea por mar de algodones dé También se dice que este general se ha ne­ levante. gado á dar á Galib-effendi el pasaporte que necesitaba para pa…</t>
  </si>
  <si>
    <t>457</t>
  </si>
  <si>
    <t>ti­ tada entre el diván y los ingleses ha muda­ cias siguientes de Londres, con fecha de 18 do enteramente el aspecto de los negocios. de febrero: El príncipe Prosorowski ha negado á ,, La propuesta de lord Groswenor, re­ los enviados turcos el permiso para pasar el lativa á que se diera un informe sobre el Danubio, diciéndol…</t>
  </si>
  <si>
    <t>general francés Flcard. DIARIO DECIMOQUINTO. Acaba de recibirse por la Bohemia la JEbersdorf 2 de junio de 1809. noticia de que el exército ruso del príncipe Prosorowski, que ai instante , después de El exército de Dalmacia ha conseguido principiadas las hostilidades , había pasado los mas grandes triunfos, ha derrotado to­ e…</t>
  </si>
  <si>
    <t>nados al vencedor. El archiduque Garlos ha pas el paso del Danubio, han sido rechaza­ huido con alguna caballería hácia la Bohe­ dos y batidos por el príncipe Prosorowski. mia , única provincia que le queda abierta. Los cosacos se han distinguido principal- Uno de sus edecanes , que está prisionero, me: te en esta ocasión. ha…</t>
  </si>
  <si>
    <t>al hallan , en el*mejór estado *dé* defensa Jry'* Milloradowitz"salió de aquélla ciudad para ocupadas por una guarnición respetable: es­ acompañar al príncipe Prosorowski en so tas posiciones dotninao la corriente del:Da-, expediciou'mas allá del Danubio; y queel nubio. Los turcos no podrían siquiera acerr general Langeron , …</t>
  </si>
  <si>
    <t>de Milloradovitsch , qne ha ESTADO DE EX EUROPA. dé seguir con sn cuerpo al exército grande Podemos asegurar con toda verdadf qua del feld-ma riscal príncipe Prosorowski mat de 20 años á esta parte no ha habido un allá del Danubio. Inmediatamente después momento en que se presenten objetos de de su llegada el señor de Langero…</t>
  </si>
  <si>
    <t>schin en la orilla derecha to á su estadó natural. Con esta mira sé del Danubio. .. construyó un puente, cerca de Gafarz, y nná ,, El- feld-mariscal* príncipe Prosorowski, ¿abeza de puente en úna isla inmediata: se comandante en gefe del exército de Mqldar; establecieron baterías , y s* formó úna es- vía, ha fallecido el dia …</t>
  </si>
  <si>
    <t>mbas i la plaza. La gazeta ministerial contiene hoi una El príncipe B^gration , que desde la muer­ nueva relación de las operaciones militares te del príncipe Prosorowski tiene el man­ en Turquía , cuyo extracto es el siguiente: do en gefe de nuestro exército de la Mol­ „ En la fortaleza de Isaktschi, tomada, davia , ha encar…</t>
  </si>
  <si>
    <t>Prosorowsky</t>
  </si>
  <si>
    <t>le i estos vecinos. Una tercera parte del exércíto ruso de Valáqais y Molda­ via ha ido á las provincias meridionales de Rusia. JSi general en xefe , Príncipe Prosorowsky, ha tomado esta determhiEcior», con consentimiento de su Corte , por carecer de víveres,y para aliviar los habitantes de estas dos provincias , que han mani…</t>
  </si>
  <si>
    <t>Prosorrwski</t>
  </si>
  <si>
    <t>an batido completamente El archiduque Fernando llabia ya salidb á los turcos en varios choquts , y que el de aquí el 30 de mayo en una calesa , acom­ príncipe Prosorrwski se &lt; ncamina á gran­ pañado de un solo ed -cari .suyo. des marchas háci.» Andrinógo i. Las tropas Los h ibicantes de Varsovia han mostrar- de Asia van á tod…</t>
  </si>
  <si>
    <t>Pru</t>
  </si>
  <si>
    <t>ntado «n 7105 , y al fiado 10757 : en dicho lugar de Mendivil una casa, era? borde y raíz, con diferentes heredades pertenecientes á la capellanía de D. Pru­ dencio, de Ruiz de; Aguirre, clérigo tonsurado? reguladas al contado en 10845, y al fiado 16207 y medio: en dicho pueblo una casa, con los mis­ mos pertenecidos y hereda…</t>
  </si>
  <si>
    <t>Psbon, Juan Muuoz</t>
  </si>
  <si>
    <t>Juan Muuoz Psbon</t>
  </si>
  <si>
    <t>0 rs. = D. Francisco García , por una vez , 60 rs.trrD. Josef Espinosa , ídem , 300 rs. = D. Francisco Xavier Henriquez , por sí y por su escribiente D. Juan Muuoz Psbon, 328 rs. El P. Mro. Fr. Antonio de Castro , Provincial de Car­ melitas calzados , por una vez , 200 rs. = D. Jcsef Vázquez, y su hijo D. Gabriel, ídem , too …</t>
  </si>
  <si>
    <t>Puche, Nicolás</t>
  </si>
  <si>
    <t>Nicolás Puche</t>
  </si>
  <si>
    <t>inero. Noventa millones de esterlinas para capitán de la 3.a compañía del 2.a batallón los gastos de un año; un exército en Sici­ del mismo cuerpo; á D. Nicolás Puche; lia, otro en España y otro en Holanda, teniente del regimiento de ¡nfaotería Real que costará mas de 10 millones de esterli­ Extrangero, capitán de la 4.* comp…</t>
  </si>
  <si>
    <t>Puchol, Vicente</t>
  </si>
  <si>
    <t>Vicente Puchol</t>
  </si>
  <si>
    <t>ltasar Barragan. — D. Joa­ quín Palacios.— D. Baltasar Val. — D. Mariano Ramírez.-- D. Lo­ renzo Puchol. — D. Vicente Laborda. — D. Antonio Vicente.— D. Vicente Puchol. — D. Julián Navarrete. — D. Pedro Yoldi. — D, José Unceta. — D. Fermín de Lusarreta. ~ D. Eulogio Espi­ no.— D. Francisco Barraneche. — D. Cipriano Iturraldé.…</t>
  </si>
  <si>
    <t>Puga, Manuel</t>
  </si>
  <si>
    <t>Manuel Puga</t>
  </si>
  <si>
    <t>D. Salvador Molina ; el sub­ teniente de Castropol D. Vicente Martínez, y él coro­ nel del de Lena D. fiuan JDringood : los 3 primeros. y él contuso D. Manuel Puga , subteniente del de Lemos, eran de la vanguardia. N. 2.0 Estado que manifiesta los muertos, heri­ dos , prisioneros y extraviados que han tenido los -cuer­ pos de…</t>
  </si>
  <si>
    <t>Puig, Joset</t>
  </si>
  <si>
    <t>Joset Puig</t>
  </si>
  <si>
    <t>que tres contusos. Se debió esta bizarra de­ fensa- á ios esforzados,naturales del Pais mandados1 por D. Fran­ cisco Kstivill, D. Francisco Robira, y D. Joset Puig, y ayuda­ dos de una partida del .Batallón de Voluntarios de Tarragona. Con licencia, en la Imprenta de la calle de la Mar.</t>
  </si>
  <si>
    <t>Puisaíís</t>
  </si>
  <si>
    <t>Buruchuri ; pe¥o¿ este des­ pués de haberse alejado algún tanto se quitó de cuidados r los degolló, Después de aliviado algún tarito de su herida el comandante Puisaíís lo hizo conducir y entregar con otros y al: Sr. Blake en Beichite , en donde íué vuelto á represar por los mismos franceses.: De los y pp hombres- que cómpOni…</t>
  </si>
  <si>
    <t>Puisaíis, José</t>
  </si>
  <si>
    <t>José Puisaíis</t>
  </si>
  <si>
    <t>ue ; haré ponerla en su mano. Os respon­ do á la estimación que me debe vuestra persona por la rela­ ción de vuestra conducta con mi xefe de batallón D. José Puisaíis , libertado por vos y entregado prisionero en Belchite, y eon los soldados franceses asesinados én-el Roncal por un Buruehuri, que no ha nacido para hacer figur…</t>
  </si>
  <si>
    <t>Pulgoso</t>
  </si>
  <si>
    <t>Gaceta de Madrid n.º 342 (suplemento)</t>
  </si>
  <si>
    <t>S, Gregorio....................................... *27 7 1085 5fí° 12320 Una tierra al sitio de Palomero, de 7 tan......... 63-17 1397 Otro titulado d Pulgoso ,du •ifin. y 300 estad. . . 60 132a Otra de 2 fan., al Espinilla............ ................ ... 16 352 Otro en Valderemata, de 33 fin....................... 1188 2613…</t>
  </si>
  <si>
    <t>Pumarino, Bernabé</t>
  </si>
  <si>
    <t>Bernabé Pumarino</t>
  </si>
  <si>
    <t>Rey. No puedo ser mas largo, y queda de V. apasionado amigo &amp;c. —El referido Sr. comisionado, avisa igualmente desde el mismo punto lo que sigue. — » D. Bernabé Pumarino, ca­ pitán de la fragata la Asturiana, procedente de la Havana con destino ¿ la Coruña, entró en esta ria ayer 2 de febrero con cargamento de azúcar, café, q…</t>
  </si>
  <si>
    <t>Putg, Antonio</t>
  </si>
  <si>
    <t>Antonio Putg</t>
  </si>
  <si>
    <t>ayores Generales de in­ fantería y caballería D. Josef María de A'Ó3 , y Marqués de Malespina , con sus Ayudantes los Capitanes D. Mariana Lanzarote, D. Antonio Putg , D. Juan Manuel de Pereyra, y el de la misma dase , graduado de Teniente Corone), D. Julián de Arraya estuvieron siempre á mi lado , y trabr?ja­ ro a extraordin…</t>
  </si>
  <si>
    <t>Puycercus, Salvador</t>
  </si>
  <si>
    <t>Salvador Puycercus</t>
  </si>
  <si>
    <t>. — D. Gerónimo Castillon. — D. Antonio Laspuertas.— D. Narciso Laclara. — D. Mariano Ciria. — D. José Pons. — D. Antonid' Buil. — D. Pedro Blecüa. — D. Salvador Puycercus. — D. Mariano Baguena.— Condado de Plasencia.— Baronía de' Gurrea.— Marques de Dosaguas.— Marques de Sta. Coloma.— D. Ma­ nuel Ulzurrun de Asan za, Sr. de …</t>
  </si>
  <si>
    <t>Qaesnel</t>
  </si>
  <si>
    <t>el dia 2o, en virtud de la capitulación adjunta. Hemos encontrado en la Coruña mas de 200 piezas de cañón es­ pañolas. El cónsul francés Fourcroi, el general Qaesnel y su estado mayor, Mr. Bongars , oficial de ordenanza, Mr. Taboureau, auditor, y 3 50 france­ ses , soldados y marineros que habían sido hechos prisioneros d en …</t>
  </si>
  <si>
    <t>QTprtiar</t>
  </si>
  <si>
    <t>98 „EJ Sr. Mariscal QTprtiar y yo creemos que vmds. to­ marán en consideración lo que tengo la honra -de expo­ nerles , y qae convendrán con nosotros en el mismo mo­ do de opinar* El contener la efusión de sangre, y preser­ var la hermosa Z</t>
  </si>
  <si>
    <t>Quadrado, Josef</t>
  </si>
  <si>
    <t>Josef Quadrado</t>
  </si>
  <si>
    <t>chilas. D. Antonio Quesada, 60 rls. para quatro mochilas. D. Juan de Mora , 10 rls. para un par de medias. D. Diego Olivera, 12 rs. para un sombrero. D. Josef Quadrado , 10 rls. para un par de medias. D. Juan Rrenes, 30 rls. para dos mochilas. D. Josef Espejo , 10 rls- para un par de medías. D. Juan Mercado , 30 rls. para dos…</t>
  </si>
  <si>
    <t>Quartero, Ildefonso</t>
  </si>
  <si>
    <t>Ildefonso Quartero</t>
  </si>
  <si>
    <t>cisco Gantolaria — D. Francisco de Paula Perpiñan, muger é hi­ jo. — Doña Bárbara Garay. — Conde Parsen, marques de Bárboles. — D. Joaquin Heredia. — D. Ildefonso Quartero.--Doña Ven­ tura Lisa. — D. Pedro Silves— José Fornies. -- D. José Latasa. — D. José Marracó. — D. Tomas Castillo Larroy. -- D. Vicente Camacho. -- D. Pabl…</t>
  </si>
  <si>
    <t>Que, Ig</t>
  </si>
  <si>
    <t>Ig Que</t>
  </si>
  <si>
    <t>ipalmente á sus intrigas el que se ha­ equivocación de las relaciones que se remi­ yan renovado las hostilidades; tieron , sino de Azpeitía, á saber, D. Ig­ Que para consolidar la confederación del nacio Ramón de Arocena , D. Ignacio L¡Rin, y arrojar de su seno todo influxo con­ zardi , D. Gerónimo de Arocena y Antonio trario…</t>
  </si>
  <si>
    <t>Quero, Fernando</t>
  </si>
  <si>
    <t>Fernando Quero</t>
  </si>
  <si>
    <t>a, 10 rls, para un par dé medias. D. Juan Antonio Castañeda, 20 rls. para dos pares de media*. D. Antonio Beguilía, 20 rls. para dos pares de medias. D. Fernando Quero, 10 rls. para unas medias.</t>
  </si>
  <si>
    <t>Quesada, Antonio</t>
  </si>
  <si>
    <t>Antonio Quesada</t>
  </si>
  <si>
    <t>anuel Gonzahz, 10 rls. para un par de medias. Doña María del Carmen Alvares , 17 rls. para unos zapatos* D. Pedro Ruiz , 153 ris. para diez mochilas. D. Antonio Quesada, 60 rls. para quatro mochilas. D. Juan de Mora , 10 rls. para un par de medias. D. Diego Olivera, 12 rs. para un sombrero. D. Josef Quadrado , 10 rls. para un…</t>
  </si>
  <si>
    <t>Quilez, Pasqual</t>
  </si>
  <si>
    <t>Pasqual Quilez</t>
  </si>
  <si>
    <t>é Gar­ cía de León y Pizarro. — Marquesa viuda de Fontanar. — D. Ra­ món Beliran y Sarraiz.— Conde Solomero.— D. José Davila. — D. José Sta. María. — D. Pasqual Quilez. — Marques de Ruena. — Duquesa del Arco y Monteilano. — Condesa de Superunda. — D. José Almendariz. — D. Iginio Antonio Llórente; —• Fr. Ignacio Gómez Ibluzque…</t>
  </si>
  <si>
    <t>Quin, Juan Antonio</t>
  </si>
  <si>
    <t>Juan Antonio Quin</t>
  </si>
  <si>
    <t>ta.-- D. Antonio Campagny.— D. Torquato Collado.— Marques de Bellestá.— Conde de Puebla del Maestre.— Marquesa de Pontejos.—D. Bernardo Mozo Rosales.—D. Juan Antonio Quin­ tana.--D. Juan Orni.—Í); Jacinto Velandia.—D. Juan Noriega.—D. Manuel de Echaverria.—D. Ramón Sierra.—D.Antonio Guillelmi.— Duque de Rivas.— Conde de Sásta…</t>
  </si>
  <si>
    <t>Quínt, Teodoro</t>
  </si>
  <si>
    <t>Teodoro Quínt</t>
  </si>
  <si>
    <t>ad. Da noticia de los individuos da Triana que los han entregado en prendas y en dinero^ y con*, linuará dando relación conforme vayan contribuyendo• D. Teodoro Quínt ro, 373 rls. para un vestuario completo. Doña Feliciana González, 75 rls. para una casaca. D. Francisco Fernandez , 17 rls. para unos zapatos. D. Juan Parra . 4…</t>
  </si>
  <si>
    <t>Quinta, Lorenzo Bocifaz</t>
  </si>
  <si>
    <t>Lorenzo Bocifaz Quinta</t>
  </si>
  <si>
    <t>5*6 autorizado una Junta de Regulares, compuesta de personas de graduación y mérito de diferentes órdenes , y baxo la pre­ sidencia del Excmo. Sr. D. Lorenzo Bocifaz Quinta no, Vo­ cal de la Suprema del Reyno. En testimonio del zelo , y utilidad con que este cuerpo respetable desempeña les inte­ resantes cbj.tos de su comisió…</t>
  </si>
  <si>
    <t>Quintana, Tomas</t>
  </si>
  <si>
    <t>Tomas Quintana</t>
  </si>
  <si>
    <t>o por Camariñan : José de Lira (alias Liracho) : tres hermanos apellidados Firpos, el uno llamado Baltasar, y el otro Joaquín,'y dos hijos de estos : D. Tomas Quintana : D, Juan Francisco Barrié: D. Miguel Berdalíes Cadet: I). Juan Dubaña , sobrino: Nicolás Buquet, peluquero, y su hijo Juan: Pedro Charlen , maestro sas­ tre :…</t>
  </si>
  <si>
    <t>Quintanilla, Josef</t>
  </si>
  <si>
    <t>Josef Quintanilla</t>
  </si>
  <si>
    <t>fué propia del valor español. Por nuestra parte hubo bastan­ tes heridos y como veinte muertos, los mas paysanos. Entre los que perecieron se cuenta D. Josef Quintanilla, teniente de la primera compañía de voluntarios de esta plaza, que habiendo dado siempre pruebas de espíritu, lo manifestó completamente en esta ocasión. Su …</t>
  </si>
  <si>
    <t>Quintanilla, Tomas</t>
  </si>
  <si>
    <t>Tomas Quintanilla</t>
  </si>
  <si>
    <t>lzado; art. vn. Nuestros ministros de lo In­ y para una ración de la colegiata de Roa, terior y de Hacienda , cada uno en la par­ diócesis de Osma, á D. Tomas Quintanilla, te que le toca, quedan encargados de la presbítero ex-carínclita descalzo. EN LA IMPRENTA REAL.</t>
  </si>
  <si>
    <t>Quintaniüa, Bartolomé</t>
  </si>
  <si>
    <t>Bartolomé Quintaniüa</t>
  </si>
  <si>
    <t>os los Comandantes p¿rtieu:ares que las mandaban, que son el Teniente D. Francisco de Silv-a‘, la de Borbon ídem TX' Josef Castro , la d;e Farnesio : D. Bartolomé Quintaniüa , la. de Sevilla t ídem IX Alexsniro bó­ veda. la de Pavía : el Alférez D. íuan A¡dáiin, la d¿ Eóo?Sa : ídem D-Juan Biscos , la de Sagú neo ; y el Aófé e…</t>
  </si>
  <si>
    <t>Quinter, Manuel</t>
  </si>
  <si>
    <t>Manuel Quinter</t>
  </si>
  <si>
    <t>273</t>
  </si>
  <si>
    <t>cart , de los quales han sido heridos el primero y tercero : igualmente recomienda dicho xefe de la vanguardia al teniente de granaderos de VVimpffe* D. Manuel Quinter y los capitanes de granaderos de Saboya, el dis­ tinguido mérito del sargeoto primero Joaquín Samír y los granaderos José Planello y Juan Milán; y los de VVimp…</t>
  </si>
  <si>
    <t>Quintero, Francisco Sales</t>
  </si>
  <si>
    <t>Francisco Sales Quintero</t>
  </si>
  <si>
    <t>anuel Perez de la Vega. 40.000 El diputado capitán I&gt;. José -Iraeta. 10.000 El diputado D. José Palacios Romana, y su hermano Don José Hidalgo. 2.000 D. Francisco Sales Quintero. 50.000 El Sr. Marques de Santa Fe de Guardiola. 10.000 El capitán D. Juan Francisco Gallo. 3 ooo D. Luis Escolar. 8.000 D. José Manuel Balbontin. 2.…</t>
  </si>
  <si>
    <t>Quiroga, Juan</t>
  </si>
  <si>
    <t>Juan Quiroga</t>
  </si>
  <si>
    <t>tsé (dice Grimarest) al teniente coronel D. Gregorio Jraídsña con dos ccjh nenias de ordenes Militares que manda­ ba el espitan del intimo regimiento D. Juan Quiroga, y cincuenta cabelles deide Dragones de Granada ai mando de su capitán D. Miguel Rosales; mas habiéndose adelantado quotfo Dragones franceses, tropezó uno de ell…</t>
  </si>
  <si>
    <t>Quixote</t>
  </si>
  <si>
    <t>español Apo- de Negocios extranjeros d S. AI. el Em­ daca que la España no ha visto nunca un perador y Rei. (Véanse las gazetas nú­ meros 128 y 129.) D. Quixote comparable con Mr. Canuing. ( Idem.) Desde entonces ro guardó el Austria Ya han comenzado las hostilidades en­ moderación ninguna. Ocho meses de pro-</t>
  </si>
  <si>
    <t>R, Pedro</t>
  </si>
  <si>
    <t>Pedro R</t>
  </si>
  <si>
    <t>ra ¡guata» md» chiia» y dos pares de medias. Deña Catalina Hidalgo, 20 rls. para dos pares de medias» D. Juan Tabora , 10 rls» para un par de medias. D. Pedro R uiz, 20 rls* para dos pares de medias» D. Marcos U*loa , 40 rls. para dos mochilas y un par de medías» D. Juan Escobar, 40 rls. para dos mochilas y un par de medias» …</t>
  </si>
  <si>
    <t>Ra, Benito</t>
  </si>
  <si>
    <t>Benito Ra</t>
  </si>
  <si>
    <t>spondréis lo correspondiente á su cum­ plimiento.— M. El marques de Astórga, presidente. — En el real alcázar de Sevilla á 25 de setiembre-de 1809.—A D. Benito Ra­ món de Hermida.” Carta interceptada de un oficialfrancés á un corresponsal suyo de •Sayona , fecha en Madrid á 21 de-agosto de 1809. Después de hablarle largamente…</t>
  </si>
  <si>
    <t>Ra, Pedro</t>
  </si>
  <si>
    <t>Pedro Ra</t>
  </si>
  <si>
    <t>s antiguos hábitos, ha renunciado á ellos, tanislao de Lugo, D. Francisco Angulo, y hasta sns mismas afecciones por el bien D. Juan Antonio Llórente, D. Pedro Ra­ de su país: hemos querido rodearnos de las món de Echeverría, D. Josef Justo de Sal­ gentes mas ilustradas, escuchar los votos de cedo, D. Bernardo de Iriarte , el …</t>
  </si>
  <si>
    <t>Rada, Juan Marcos</t>
  </si>
  <si>
    <t>Juan Marcos Rada</t>
  </si>
  <si>
    <t>Bustillos. 2.000 D. Manuel Diez Cortina. 1.000 D. Francisco y D. Joaquín de la Cortina. 30.000 El capitán D. Diego y D. Juan Manuel de Peredo. 30.000 D. Juan Marcos Rada. 25.000 D. Dionisio Cicero Lombrana. 2.000 D. Cecilio Armiño Martínez. 7.000 D. Diego Movellan. 16.000 D. José Bernardo Baz 10.000 D. Juan Antonio Aristi. 2.…</t>
  </si>
  <si>
    <t>Radcky, Conde</t>
  </si>
  <si>
    <t>Conde Radcky</t>
  </si>
  <si>
    <t>elantar por el camino dé i fferdirg por estar lo»- cuerpos del Teniente-Marm: al de Campo Hiiler á lo largo dtl Ion. La vanguardia al mando dél Mayor General Conde Radcky estaba ya el 27 en Obernberg. , y se avan­ zaba hácia Seharding. El 2. 0 cuerpo de reserva estaba en Aíihein ; el resto del exército en Weng : todo: estaba …</t>
  </si>
  <si>
    <t>Radet</t>
  </si>
  <si>
    <t>on pre­ y en los registros ó asientos de estas se ex­ sentados al señor gobernador general Mio- presarán los motivos del arresto; pero á 11 ¡s por el general Radet los oficiales de la ninguno se le podrá detener arbitrariamen­ guardia cívica, cuyo cuerpo se compone te en" lós Cuerpos de guardia ó en otros de­ de los jóvenes d…</t>
  </si>
  <si>
    <t>Radezki</t>
  </si>
  <si>
    <t>ra de nuestra milicia nacional. T&gt;íl a de setiembre. Se asegura que ha habido muchas mutaciones en el exército GRAN DUCADO DE VARSOVIA. austríaco. El general Radezki, que sirviá en Italia á las órdenes del general Metas» Vassvia a 1 de agosto. ha sido nombrado quartelmaestre general En virtud de una orden del día , su te­ en …</t>
  </si>
  <si>
    <t>Radivojevich</t>
  </si>
  <si>
    <t>ndo aquel fatal tratado suspendió en su ma­ no los instrumentos de la venganza. “Praga 14 deJulio. A princi­ pios de este mes se hallaba informado el general Radivojevich, que el enemigo se disponia por todos lados para rechazarlo por me­ dio de un ataque fuerte, y echarlo fuera del principado de Bay­ reuth. El 6 fueron ataca…</t>
  </si>
  <si>
    <t>Radivójevich</t>
  </si>
  <si>
    <t>ya presentar la mas obs­ tinada resistencia al enemigo que --venia adelantándose.” “ Al amanecer del 8 el enemigo , al -inando de Junot , ata­ có ai general Radivójevich con el mayor vigor y -eon fuerza tri­ ple. Hasta las 10 y media rechazó este general todos los ataques, y- por una brillante resistencia adquirió la mayor gl…</t>
  </si>
  <si>
    <t>Radziwill, Domingo</t>
  </si>
  <si>
    <t>Domingo Radziwill</t>
  </si>
  <si>
    <t>organizando en Austria á las mano de la Emperatriz, de resultas de una órdenes del general Brjonekowski. fiebre perniciosa que conrraxo en Comorn. El príncipe Domingo Radziwill, que Esta fortaleza, que ha costado al Austria ha llegado aquí de la-Lituania, levanta un enormes sumas, casi no puede habitarse regimiento de caballe…</t>
  </si>
  <si>
    <t>Raelovich</t>
  </si>
  <si>
    <t>mariscal. El príncipe heredero dirigió con de actualmente se halla el Emperador de este moiivo un discurso enérgico á ioda su - Austria. división. El general Raelovich recibió la cruz de oficial de la legión de Honor, y Lintz § de junio. cerca de 80 oficiales y soldados la d« Le­ Anteayer, después de medio día* na gionarios. …</t>
  </si>
  <si>
    <t>Rafael</t>
  </si>
  <si>
    <t>que se había con­ cluido ya la dieta sueca. Esta asamblea ha Berlín 27 de mayo. resuelto romper con la Inglaterra, y ha de­ El -22 de este mes el Sr. D. Rafael de cidido también que el Rei debía renunciar Urquijo ha presentado á S. E. el conde de su corona para sí y sus descendientes-; que Goltz, secretarlo de Estado y minist…</t>
  </si>
  <si>
    <t>arvajal á consejero del supremo de España é Indias, á 13.. Manuel Mariano de Biaya y Blaya, alcal­ de del .crimen roas antiguo-; para esta, resulta á D. Rafael de ia Lla­ ve , oidor de Guatemala 5 y para otra plaza de oidor de la audien­ cia de Guatemala, vacante per fallecimiento de D. .Onesimo Du­ ran , al supernumerario de…</t>
  </si>
  <si>
    <t>ínea. Rivacobi ( D. Alexandro), capitán direc­ Weingartner, g,efe de batallón de la arti­ tor de la fábrica de Placencia. llería de la guardia. Roa ( D. Rafael) , cabo i.° del regimiento Vellido (D. Manuel) , subteniente del re­ núm. i.°, infantería de línea. gimiento núm. i.°, infantería de línea. Romero ( D. Josef) , sargen…</t>
  </si>
  <si>
    <t>tado. — Riclier (D. Nicolás) teniente del re­ gimiento real extrangero. — Rivacoba (D. Alexandro) capitán director de la fábrica de Placencia. — Roa (D. Rafael) cabo pri­ mero del regimiento núm. 1 infantería de línea. — Romero (D. José) sargento segundo del batallón núm. 1 infantería ligera. — Romero (D. Santiago) consejero …</t>
  </si>
  <si>
    <t>regimien­ Veugoa (D. Domingo), gefe de división to Real Extrangero. .. en el ministerio de Guerra. Martí ( D. Juan), teniente coronel de in­ Ximena (D. Rafael), teniente de arti­ fantería. llería. Medrano (D. Rodrigo), gefe de batallón Yrribarren (D. Pedro). del regimiento Josef Napoleón. art. ii. Nuestros gran canciller y gr…</t>
  </si>
  <si>
    <t>Rafael, Miguel</t>
  </si>
  <si>
    <t>Miguel Rafael</t>
  </si>
  <si>
    <t>sef Rincón Gallar co. 5.000 El Sr. brigadier Conde de Alcaráz. 30.000 D. Juan Josef Robledo Noriega. 3.000 El Capitán D. Manuel de Urquiaga. C. 2.000 D. Miguel Rafael d: Medina. C. 2C.OOO B. Domingo ligarte. C. 4-000 D. Vicente Eguia. C. 50.000. D. Esteban Velez de Escalante. C. 50.000 D. Pedro Muguerza. C. 10.000 D. Joaquín …</t>
  </si>
  <si>
    <t>Ragracheramientos</t>
  </si>
  <si>
    <t>s¡d-rabie para resguardar el puen­ larga enfermedad^ .Todo él exérciro ha lle­ te. Se levantó también un fuerte; y atrin­ vado luto por tres dias. El.príncipe Ragracheramientos formidables ,en el embocade- tioo le ha reemplazado .en el mando,del rodél rió de Seréf', qué se ctiBrió ademas exército.”</t>
  </si>
  <si>
    <t>Raíz, Epifanía</t>
  </si>
  <si>
    <t>Epifanía Raíz</t>
  </si>
  <si>
    <t>o; y que el Sr. in­ tendente D. Cárlos Beramendi , siempre presente en todas las accio­ nes que se empeñan j subió acompañado del comisario de guerra D. Epifanía Raíz á la torre GironeÜa, en la que habiendo sido herido el capitán dé artillería D. Salustiano Gerona, y muerto el cabo que mandaba en ella, tomó el mando hasta lle…</t>
  </si>
  <si>
    <t>Raminieki</t>
  </si>
  <si>
    <t>l quartel genera! polaco, fecha el 14 en Priow, refiere que habiendo los austríacos atacado por varios puntos al cuerpo que está baxo las órdenes dei general Raminieki, fueron rechazados por todas partes, y precisados sl retirarse á su antigua posición. Según esta relación francesa , los austríacos se mantenían á fines ds jun…</t>
  </si>
  <si>
    <t>Ramino, Felipe Fraile</t>
  </si>
  <si>
    <t>Felipe Fraile Ramino</t>
  </si>
  <si>
    <t>secular y regular asistieron D. Angel Josef de Huecas j cura de S. Martin; D. Pedro Villafañe, id. de Sta. María; Don Pablo Camino, id. de S. Pedro; D. Felipe Fraile Ramino, id. de S. Mi­ guel; D. Gregorio Nuñez Gamarra, id. de S. Nicolás el Real; D. Antonio _ Salvad ios, id. de Sto. Domingo; D. Manuel Ciílan, id. de S. Salva…</t>
  </si>
  <si>
    <t>Ramírez, Alexandro</t>
  </si>
  <si>
    <t>Alexandro Ramírez</t>
  </si>
  <si>
    <t>rtolomé Rigo , Guarda-mayor, 25 = D. Santiago Milla , 16. = Do­ ña Ana Francisca ftequena , 100. zz D. Julián Yeia, 500.= D. Toribio Carvajal , 25. = D. Alexandro Ramírez , 10o,^= Por ei dos por ciento que se ba beneficiado de premio sobre el total de estas cantidades por medio de libranzas sobre Ver£Cruz , 397. zz Total 23.1…</t>
  </si>
  <si>
    <t>Ramírez, Francisco</t>
  </si>
  <si>
    <t>Francisco Ramírez</t>
  </si>
  <si>
    <t>para un par de botines. D. Antonio Molina , y IX Juan Carrera, 20 rs. para dos pa* res- de media?. D. F/a ncisco Miranda , 15 rls. para una mochila. D. Francisco Ramírez, 60 rls. para quatro mochilas. D. Manuel Araujo, 10 rls. para un par de medias. P. Francisco Zurita , 10 rls. para Un par de medias, P. Manuel de Fuentes , 1…</t>
  </si>
  <si>
    <t>Ramírez, Juan Sánchez</t>
  </si>
  <si>
    <t>Juan Sánchez Ramírez</t>
  </si>
  <si>
    <t>SUCESO DE LA ISLA DE SANTO DOMINGO. Copia de un oficio que con fecha de 8 de Noviembre de 4 dirige D. Juan Sánchez Ramírez al Gobernador , In­ tendente y Capitán General de Puerto-Rico D. Toribto Mon­ tes , dándole cuenta dé las ventajas conseguidas contra las tropas francesas mandadas por el general Ferrand* „-Mi venerado Se</t>
  </si>
  <si>
    <t>Ramirez, Juan Sánchez</t>
  </si>
  <si>
    <t>Juan Sánchez Ramirez</t>
  </si>
  <si>
    <t>de julio , di­ ce á S. M. por medio del Excmo. Sr. D. Martin de Garay , que el comandante general y xefe de nuestras armas en la isla de Sto. Domingo D. Juan Sánchez Ramirez , tiene adelantadas las ope­ raciones, después del bombardeo y auxilio que recibió de los ingle­ ses de la Jamayca , desembarcando todo género de municio…</t>
  </si>
  <si>
    <t>aba muy inmediato con 600 hombres de tropa de línea y 400 de la mi­ licia nacional de infantería y caballería. El 7 de noviembre habiendo distribuido D. Juan Sánchez Ramírez las armas y municiones remitidas de Puerto-Rico con dosoficiales , y reunido los voluntarios á su división , se halló que te­ nía de 900 á l3 hombres. A …</t>
  </si>
  <si>
    <t>--------------- :------------------------------------------------------------------------------------——;j z' r D. Juan Sánchez Ramírez , desde el mes de agosto en que dió principio la correspondencia , varias instrucciones para que le sir­ viesen de gobierno. Hizo su formación para, recibir ai enemigo, colocando su caballer</t>
  </si>
  <si>
    <t>Ramírez, Manuel Josef de Sousa</t>
  </si>
  <si>
    <t>Manuel Josef de Sousa Ramírez</t>
  </si>
  <si>
    <t>de abril de i8of.=D. Ramón Navarro. = D. Ramón Caibo. z; D Juan Fernando de , Águirre. zz D. Josef Morales Gallego, zr Por mandado del Tri* bu nal. = D. Manuel Josef de Sousa Ramírez. CON REAL PRIVILEGIO.</t>
  </si>
  <si>
    <t>Ramírez, Mariano</t>
  </si>
  <si>
    <t>Mariano Ramírez</t>
  </si>
  <si>
    <t>— D. Ventura Ateza. — D. José Soler.— D. Miguel Echinique. — D. Antonio Lajíeña. — D. Baltasar Barragan. — D. Joa­ quín Palacios.— D. Baltasar Val. — D. Mariano Ramírez.-- D. Lo­ renzo Puchol. — D. Vicente Laborda. — D. Antonio Vicente.— D. Vicente Puchol. — D. Julián Navarrete. — D. Pedro Yoldi. — D, José Unceta. — D. Fermín…</t>
  </si>
  <si>
    <t>Ramírez, Sánchez</t>
  </si>
  <si>
    <t>Sánchez Ramírez</t>
  </si>
  <si>
    <t>y estaba acampado con parte de sus tropas en? las cercanías de Puerto- Príncipe. Después que los españoles ocu­ paron la capital de Sto. Domingo, el general Sánchez Ramírez suministró á Cristóbal pruebas auténticas de la conivencia de. Petion con los franceses ; pues lio ha cesado durante el sitio de proporcionar víveres , mu…</t>
  </si>
  <si>
    <t>Ramiro</t>
  </si>
  <si>
    <t>1087</t>
  </si>
  <si>
    <t>egundo.................................. 500 pone ofrecido este voto: en él se refiere lo Sargentos brigadas.............. 3í° siguiente: »Que él Rei D. Ramiro conve­ Trompeta mayor................................ 240 lí có todos los príncipes , arzobispos , obisLos demas trompetas............................ 130 n pos, abade…</t>
  </si>
  <si>
    <t>Ramón</t>
  </si>
  <si>
    <t>, ha llegado aquí ayer mañana del qnar- Agustin (D. Mariano), director del h os pifo ,.,1, tel general, y ha traído la noticia de la con­ Alderete ( D. Ramón) , cabo i.° del r&lt;|L_. clusión de los preliminares de paz entre la miento de infantería de línea nútn. 2.' Francia y el Austria. Almenara (marques ) , consejero de Estal…</t>
  </si>
  <si>
    <t>, visión en el minLteiio de Policía. Llórente (D. Juan Antonio), consejero de Gómez de Terao ( D. Leonardo) , ministro ? Estado. en Holanda. Llovet ( D. Ramón), caniran del regimienGimes de Ajala (D. Pió), secretario de ,• to uiím. i.°, infantería de lima. i a legación en Holanda . Maiherer ( D. Carlos) , teniente coronel de …</t>
  </si>
  <si>
    <t>rminos -que allí se inserta , es la siguiente. “Acuña (D. Manuel) gentil-hombre de Cámara. — Agustín ( D. Mariano) director del Hospicio. — Alderete (D. Ramón) cabo primero del regimiento de infantería de línea , núm. 2.— Almenara ( marques) consejero de Estado. — Alonso (D. Cenon) -id. — Alonso ( D. Manuel ) oficial primero …</t>
  </si>
  <si>
    <t>Ramón, Joset</t>
  </si>
  <si>
    <t>Joset Ramón</t>
  </si>
  <si>
    <t>-a ( D. Tomas), granadero del regi­ Il.rva» ( D. Manuei), administrador gene­ miento ruím. 2.0, infantería de línea. ral de correos. Mna de la Roca ( D. Joset Ramón). 1-Iid.lgo ( D. Gregorio), subteniente del M lot (D. Santiago), escudero del Rei. regimiento de ioíantería iúm. i.° Monncret , tnav or de granaderos de la guar­ …</t>
  </si>
  <si>
    <t>Ramón, Pedro</t>
  </si>
  <si>
    <t>Pedro Ramón</t>
  </si>
  <si>
    <t>de U be da .á D. Ma­ nuel Tornef y compañía de Mataró, último endoso por el primero á favor de estos últimos : el que sepa su paradero que lo avise á D. Pedro Ramón del comercio en Se villa , á t&gt;* Francisco Noguer en Cádiz , y á dichos Señores D. «niel Xorner y compañía en Mataró. pQlí REAL PRIVULEGKL</t>
  </si>
  <si>
    <t>, capitán del re­ Cea ( D. Francisco Antonio), gefe de divi­ gimiento núm. 2.°, infantería de línea. sión del ministerio de lo I iterior. Echeverría (D. Pedro Ramón), consejero Cernebois, sargento de granaderos del re­ de Estado. gimiento Real Extranjero , infantería de Echeverría (D. Cipriano), intendente de línea. exército.…</t>
  </si>
  <si>
    <t>consejero de Estado.” “Echague (D. Francisco Antonio). -- Echegaraya (D.Jacobo ) capitán del regimiento núm. 2 , infantería de línea. — Echeverría ( D. Pedro Ramón) consejero de Estado. — Eche­ verría ( D. Cipriano ) intendente de Exército. — Escolari ( D. Pe­ dro ) cabo primero del regimiento núm. 1 , infantería de línea. — …</t>
  </si>
  <si>
    <t>Ramona</t>
  </si>
  <si>
    <t>4oo gun otro oficial de dicho cuerpo \ y de los otros, pocos. AI Regidor Ramona se le ofrecieron tres mil ducados, y hacerle su fortuna, atendida su actual indigencia: y Contexto: que podía morir,pobre , pero que quería acabar con ho»o+. El cor­ tador principal Asaguirrt dixo quando lo llevaban preso:</t>
  </si>
  <si>
    <t>Rampom</t>
  </si>
  <si>
    <t>el exército; y su quartel general, se S. M. so ministro secretario de Estado Ma­ ha establecido en Bergopzoon. Se dice que riano Luis de Urquijo.” el conde Rampom es lugar-teniente general de S. M. Se asegura que han partido de las Don Josef Napoleón por la gracia d« orillas del Elba fuerzas considerables , y Dios y por la co…</t>
  </si>
  <si>
    <t>Rampon</t>
  </si>
  <si>
    <t>mberg 31 de julio. fuerzas formidables, destinadas á obrar ofensivamente contra la isla de Zuid- BeveSe sabe que hlcia mediados del corrien­ land. El conde Rampon tieoe su quartel te llegó del quartel general austriaco la general en Kapelle. órden de suspender las obras para la for­ En Schowen y Duiveland no hai tro­ mación d…</t>
  </si>
  <si>
    <t>ados Hemos decretado y decretamos lo si­ en este cuerpo son Laurent, Clement, Ja- guiente : copia y Mas so o. articulo 1. Fixamos el mínimum de la El general Rampon manda el ala iz­ congrua de los curas párrocos de estos rei­ quierda. Este cuerpo de exército forma dos nos en la cantidad de 400 ducados anuales. divisiones y ci…</t>
  </si>
  <si>
    <t>Rancderse</t>
  </si>
  <si>
    <t>n que ha conseguido esta plaza , Dios sabe los rezagados , los reúnan todos , y los con­ cómo, no quiere de modo ninguno despren­ duzcan al reino. El teniente coronel Rancderse de ella. Sin embargo, si lord W'elles- ke y el primer teniente Kdotzer , ambos lei insiste en ello para entrar en el ministe­ oficiales agregados al e…</t>
  </si>
  <si>
    <t>Rapp</t>
  </si>
  <si>
    <t>gría , con una vanguardia considerable. tes el' Emperador estuvo hablando una ho­ Parece que en Hungría hai alguna fermen­ ra con él. S. M.. mandó al general Rapp, tación , que los ánimos están divididos, y edecán suyo , que fuera á buscar al doctor que la mayor parte no es favorable al Franck , uno de los médicos mas célebre…</t>
  </si>
  <si>
    <t>Rapun, Bernabé</t>
  </si>
  <si>
    <t>Bernabé Rapun</t>
  </si>
  <si>
    <t>o Carniente al régimen, gobierno y gastos de rion, el coronel D. Carlos T’Serclaes, el dichos establecimientos , su estado, capa­ comisario ordenador D. Bernabé Rapun, d cidad y existencias de toda especie. administrador principal de los hospitales del art. m. Desde la publicación de este exército señor Saincerre, el señor Pa…</t>
  </si>
  <si>
    <t>Rasca</t>
  </si>
  <si>
    <t>auxiliado por los generales bávaros VVrede, Deroi y Siebbein , al frente de 243 hombres marchase contra los tiroleses por el camino de Saltzburgo, el general Rasca con S3 hombres tuvo orden de avan­ zar desde Italia; miéntras el general Ferron se aproximaba por la Carinthia, y el general Marinont por Baviera y Suábia con mas …</t>
  </si>
  <si>
    <t>Rascón, Pascual</t>
  </si>
  <si>
    <t>Pascual Rascón</t>
  </si>
  <si>
    <t>T4Ó8 Francisco Represa y D. Pascual Rascón, den; precipitáronse en los barrancos, y al cura de Villasandro D. Jostf Barruiso, abandonaron todas sus posiciones; arrojaron y al de Respaldíza, en la diócesi de Cala­ muchos sus armas pa</t>
  </si>
  <si>
    <t>Rato</t>
  </si>
  <si>
    <t>$ .llegada noté que había cesado enteramente eí fuego, y que los enemigos se retiraban á su posición. Y habiendo dado las correspondientes órdenes al coronel Rato, quien me entregó las relaciones de la acción de Lley y Siejo, y dexando de refuerzo en este punto el regimiento de Návia, me restituí con las columnas de Lusi y al…</t>
  </si>
  <si>
    <t>Rato, Francisco</t>
  </si>
  <si>
    <t>Francisco Rato</t>
  </si>
  <si>
    <t>A Brigadier el Capitán de navio D. Hermenegildo Barre­ da : á capitán de navio al de fragata D« Joaquín Porcel;: Á .Teniente de navio el de fragata .D. Francisco Rato. Capitanes de Puerto. A Capitanes de fragata ios Tenientes de navio D. Diego .Escalera , y D. Jayme Aiberni. Cuerpo de Brigadas. A Subteniente el primer .Condes…</t>
  </si>
  <si>
    <t>Raya, Juan</t>
  </si>
  <si>
    <t>Juan Raya</t>
  </si>
  <si>
    <t>an., en 140 rs. teniente corregidor de esta villa, por la escribanía de Quien quisiere hacer postura acuda ante el Sr. D. León Su niunrro, que exerce D. Juan Raya, dentro de 30 de Sagasta, teniente corregidor de esta villa, por la dias contados desde el de la publicación. escribanía de su número' que exerce D. Juan Raya, En v…</t>
  </si>
  <si>
    <t>Rayara, Juan</t>
  </si>
  <si>
    <t>Juan Rayara</t>
  </si>
  <si>
    <t>an Pedro Vincenti. *- D. Pedro Iglesias. — D. Francisco Ortega. — D. Manuel de la Quintana. — D. Juan Antonio López. — D&lt; Manuel González del Campo. -D. Juan Rayara. — D. Segismundo Malats. — D. José Antonio Ruiz. — D. José Moreno. — D. José Marco del Pont. — D. José Llanos. — Ei-conde de Montes-claros. — D. Bernardo González…</t>
  </si>
  <si>
    <t>Rcding</t>
  </si>
  <si>
    <t>ir á tiempo al puntoque le señalé para cortar al enemigo en su retirada.5&gt; ,, Con el mismo valor desempeñó su encargo la divi­ sión de la derecha dél general Rcding sobre las batenas dela? falda de Monj;uich. Fueron aquellas atacadas en- medio»</t>
  </si>
  <si>
    <t>Rcncovich</t>
  </si>
  <si>
    <t>es para Corfú la em­ mas , y quan inútiles los esfuerzos de los barcación llamada Afortunada, al mando que aun se obstinan en sostener una guerra del capitán Rcncovich. Este buque fue tan ruinosa para la nación: les hizo palpa­ apresado por los ingleses á la altura de Fa~ bles las miras de interes personal que mue­ no; sacaro…</t>
  </si>
  <si>
    <t>Re, Antonio</t>
  </si>
  <si>
    <t>Antonio Re</t>
  </si>
  <si>
    <t>te de la dan cortar la leña qué necesiten este invier­ misma compañía española , y al subtenien­ no eu los bosques imperiales. te del citado núm. t.° D. Antonio Re­ dondo subteniente de la mencionada com­ ESPAÑA. pañía. Madrid 4 dé diciembre. Por decreto de i de diciembre el señor Dedon, general de división de artillería, ORD…</t>
  </si>
  <si>
    <t>Rea</t>
  </si>
  <si>
    <t>Bohemia. perador y Rei. Dícese que el archiduque Juan ha ido áPest, Para el dia 24 se espera en Hannóver á en Hungría. S. M. el Rei de Westfalia. El general Rea- La última gazeta de Viena anuncia que bell ha entrado ya alli el dia 19 con 63 muchos cuerpos del exército francés han hombres de tropas westfalianas. pasado ya los …</t>
  </si>
  <si>
    <t>Reai</t>
  </si>
  <si>
    <t>bir la noticia de que Reí hará que se les dé cuenta pública de la látf-tropas réa’es mandadas por S. A. el situación del reino en todas sus partes, y príncipe Reai htn ocupado ayer 6 á Breparticularmente de la inversión de las .ren­ gente. Los insurgentes se han retirado á tas. Todas las rentas del estado están i dis­ FeltUúr…</t>
  </si>
  <si>
    <t>Rebato, Miguel</t>
  </si>
  <si>
    <t>Miguel Rebato</t>
  </si>
  <si>
    <t>Sebastian Melón , 500. = D. Loren­ zo Moreno, 4®. = D. Juan Josef B^rberena, 5* zz D. Dosningó Gómez de Segura , 200, = D. Manuel Garda Muro, íaoo. = D. Miguel Rebato , 25. zz D. Gregorio Castriciones, vecino de S. Salvador , 4®. = D. Víctor Zavala , 200. zz D. Juan Hernández, 100. — D. Juan Antonio Gómez, Contador de .Ejérci…</t>
  </si>
  <si>
    <t>Reboul, Carlos</t>
  </si>
  <si>
    <t>Carlos Reboul</t>
  </si>
  <si>
    <t>te Perez de Hervás, D. Manuel Celestino Carirasco., D. Juan Burand y D. Juan Teran oficiales primeros ; á ©. Mateo Bravo y Lomas, D. Antonio Leiral , D. Carlos Reboul, ©. Francisco Guilmó , D. Benito Navarro, D. Francisco Larregui , D. Andrés Piñuela , D. Víctor Moreno, D. Juan Ribera, D. Francisco González, D. Sevérino Rie-z…</t>
  </si>
  <si>
    <t>Recente</t>
  </si>
  <si>
    <t>«nos vasallos que le han 5 dado tantas pruebas de afecto y de fidelidad , el Comisario de S. M. I. y R. rinde la Colonia á las fu rzas de S. A. R* el Príncipe Recente con las condiciones siguientes: Aít. I. La guarnición saldrá de la Ciudad con armas, ba­ gajes , y todos los honores de la guerra' : todos los oficia­ les reten…</t>
  </si>
  <si>
    <t>Reconozca, Manuel Graiwinckel</t>
  </si>
  <si>
    <t>Manuel Graiwinckel Reconozca</t>
  </si>
  <si>
    <t>sef Ca­ otro busque donde quiera su susrento, y el para, D. Josef Herrera, guardia marina amparo de su vida: y de sus propiedades. de ja real armada, D. Manuel Graiwinckel Reconozca el elegido' la beneficencia del que y D. Josef Craiwinckel, cadetes de reales le eligió, y no diga que debe á otro go­ uardias Walonas, D. Franci…</t>
  </si>
  <si>
    <t>Rediag</t>
  </si>
  <si>
    <t>., dexandó én e! campo 10 muertos, .y „ algunos'. eííidea que hasta'*30'i qué por un partí que se recibid de O.tena , se sabía q*e algunas tropas del General Rediag, coa los somatenes* ea el puesto del Gancho, obligaron á ios enemigos á reiroceder i Igualada : que ei diá 6 del' corriente estaba formándose ea. San Agustín , y …</t>
  </si>
  <si>
    <t>Reding</t>
  </si>
  <si>
    <t>to suizO' dfc Reding el fáten, 1 en atención á haberse portado este oficial perfectamente y como verdadero patriota suizo; bien diferente en esto del general Reding: el uñó ha mere­ cido bifení de sus-compatriotas, [y en todas partfes-será estimado; el- otro, ; despreciado g€herálmentei,íirá áí last tiendas^ Londres "á gozar …</t>
  </si>
  <si>
    <t>re la meseta de Cardedeú; habían conducido allí desde Barcelona 12 piezas de cañón ; el marques de Vives era quién tas mandaba % y llevaba consigo al general Reding. Hubo una acción geñeTal. Después de una resistencia tenaz, que duró cerca de hora y média, “y dé un terrible fuego de artillería , los enemigos fueron desalojado…</t>
  </si>
  <si>
    <t>El haber aparecido á retaguardia algunos enemigos , que luego se retiraron , tornándose por el Coll de Cabra hacia el i lá y Valls , no dexó duda al General Reding de que fuese un mero reconocimiento de las fuerzas y clase de su exercito ; y así el 24 celebró una junta de los oficiales de mayor graduación y talento , en la qu…</t>
  </si>
  <si>
    <t>46</t>
  </si>
  <si>
    <t>o bastante or­ denado, otros en pequeñas partidas, y la mayor parte de los soldados dispersos hicia la plaza de Tarragona, á don­ de llegó también el General Reding la misma noche del 25. Esta es una de aquellas acciones de guerra en que el Valor' ha tenido que ceder á la superioridad de fuerzas: las nuestras apenas llegarían…</t>
  </si>
  <si>
    <t>a del 11 cantes austriacos que entraban en Trieste de marzo, que los franceses han atacado en con las pretendidas mercaderías de Levante; Cataluña al general Reding; que le lian venian todos cargados de géneros coloniales obligado á abandonar la fuerte posición qué y mercaderías inglesas. ocupaba con su exército, y que despué…</t>
  </si>
  <si>
    <t>Reding, Teodoro</t>
  </si>
  <si>
    <t>Teodoro Reding</t>
  </si>
  <si>
    <t>del regimiento de infaa-* -feria de Granada^ Las baterías de Monjuich dispuse fue­ sen atacadas por la división de la derecha del teniente ge-* aeral D. Teodoro Reding,” ,,Quatro compañí as de granaderos' de la división de‘ Caldagués , de los regimientos de Borbon ,• Almería , Safcoya y Suizos de Winopííen , seguidas de 600 h…</t>
  </si>
  <si>
    <t>ILLA. X). Antonio Yuans y Carretón, Comandante de somatenes^ ha dado cuenta con fecha de 2 de! corriente al Geoeral en, xefe del ejército de Cataluña D. Teodoro Reding de la ac«* cion que tuvo en Ja Villa de Torres de Segre, corregimien­ to de Lérida, con uná división de 'hombres de infante­ ría y 60 caballos franceses. s=s D…</t>
  </si>
  <si>
    <t>Redinge</t>
  </si>
  <si>
    <t>dad sin exemplo. Se compon­ drá de 150 buques; y muchas fragatas de ESPAÑA. 44 cañones cruzan ya en las inmediaciones de Aland. Madrid 5 de julio. El general Redinge acaba de recibir los Continúa el discurso sobre ¡a enagenaciott pasaportes rusos para ir á Abo. de bienes raíces de manos muertas S. M. la Reina está con sus hij…</t>
  </si>
  <si>
    <t>Redondo, Gertrudis</t>
  </si>
  <si>
    <t>Gertrudis Redondo</t>
  </si>
  <si>
    <t>do Ruiz, 20 rls. para dos pares de medias. D. Antonio Espinosa, 10 rls. para un par de medias. D. Vicente Gonza’ez, 20 rls. para dos pares de medias. Doña Gertrudis Redondo , 30 rls. para dos mochilas. D. Manuel Lino Fernandez , 20 rls. para dos pares de medias. D. .Manuel Rivero , 10 rls. para un par de: medias. D. Doipingo …</t>
  </si>
  <si>
    <t>Redro</t>
  </si>
  <si>
    <t>papel instructivo de lo que acaba de hacer la villa de Villacañas , una de las que comprehende el gran ¡priorato de S. Juan , propio del Sr. infante D. Redro, cu­ ya tutoría y curadoría exerzo. La misma sencilla relación de lo ocurrido manifiesta el esfuerzo y valor con que los vecinos de aquel pueblo han impedido la entrada …</t>
  </si>
  <si>
    <t>Regente</t>
  </si>
  <si>
    <t>a, la rit-iná cierta dei bátba-ro 'usurpador-, y la salvación de Ta Europa.1 |Tra-smontanos*, Portuguesesq Es­ pañoles , al arma , al arma ! Viva- el Príncipe Regente, vi­ va Fernando VII, y muera el ^^00.” SE V ILLA. Estador qué manifiesta los socorros de armas , municiones , vestitanos y víveres que envía S» di. Británica á…</t>
  </si>
  <si>
    <t>f,S44 ' . ■ ? :&gt;é—’ Nuestro gohieme fia .prestado af Príncipe Regente de r Portugal su ni a de 6oo9 libias esterlinas (cerca de. 4 mi— y llones de pesos) , cuyo reintegro deberá efectuarse en gene. t»ros del Brasil consignados á :1©&amp; Agentes} portugueses esta\ Mecidos aquí. Las. libras suministradas al. Prí</t>
  </si>
  <si>
    <t>armas , y se obligará á no servir , durante un año , contra ¿5. A. R. y sus aliados. — II. Se proporcionarán embarcaciones á expensas de S. A. R. el Príncipe Regente para transportar directa­ mente á Francia los oficialesciviles y militares de Ja guar­ nición , y demás personas empleadas en el servicio; todo en «1 término mas…</t>
  </si>
  <si>
    <t>artad, se enviaran fue­ ra de i a Colonia, porque su permanencia en ella seria per­ judicial. — Los Comandante» se obligan á solicitar de S. A. R. el Príncipe Regente el reemplazo de los esclavos cómo una indemnización en favor dé los sugetos á quienes pertenecían» —VII. L os planes , memorias y otros artículos pertenecientes…</t>
  </si>
  <si>
    <t>Regnaud</t>
  </si>
  <si>
    <t>madas del espíritu del fundador augusto de la disaastía , y sostenidas por sus grandes exemplos, llenarán los fines de una elección tan gloriosa/9 El Conde Regnaud habló después sobre el decreto que presentaba en nombre de S. M. en estos términos : La Toscana reunida al Imperio francés , ha visto en pocos meses organizada la …</t>
  </si>
  <si>
    <t>Regner</t>
  </si>
  <si>
    <t>n al Reí.para cumplimentar í Ayer ha llegado aquí el archiduque Fer« S. M. por su advenimiento al trono. El nando, general de caballería , y comanda» profesor Regner » rector de la academia» ha te en gefe del cxcrcito de Bohemia. llevado la palabra. Se han publicado ya tres partes de ofi­ SAXONIA. cio relativos ¿ la expedició…</t>
  </si>
  <si>
    <t>Regnier</t>
  </si>
  <si>
    <t>de Hoi se dice que el cuerpo del príncipe Raab. de Pontecorvo se ha repartido entre los de­ El general' Damas desempeña las fun­ más del exército. El general Regnier, mi­ ciones de gefe del estado mayor del exér­ nistro que ha sido de Guerra en Ñápeles, cito á Jas órdenes del príncipe de Neufchamanda actualmente la división s…</t>
  </si>
  <si>
    <t>ias meridio„ nales.” Pieria 16 de julio. Dícese hoy que el cuerpo del príncipe de Poiitecorvo se ha repartido entre los demas del exército , y que el general Regnier mandará la división saxona. — El duque de Istria (íL'sieivs) va poco á poco restableciéndose de la herida que recibió en la batalla del 6. ITALIA. Ñapóles 30 de …</t>
  </si>
  <si>
    <t>Regnter</t>
  </si>
  <si>
    <t>Eneida dé Virgilio, , . . . ' ' - i- : ‘ i t-fV" :'U L..-’ Carta de S. M, el Emperador y Rei al gran juez, ministro de la]justic ia. , ■ ■ # 9,-Señor conde Regnter: he resuelto hacer que se coloquen en la sala de mí consejo de Estado las estatúas :de mármol de los señores Tronchet y Portal», redactores del primer proyecto del…</t>
  </si>
  <si>
    <t>Reguera, Diego</t>
  </si>
  <si>
    <t>Diego Reguera</t>
  </si>
  <si>
    <t>iente coro­ nel comandante del de Africa, el coronel D. Pedro Cortés, teniente coronel del de la Reyna, su sargento mayor D. JuanOtnlin, el de Africa D. Diego Reguera, y el brigadier coronel de la Reyna D. Pelegrino Jácome, que con tres compañías de su regimiento estuvo colocado por mí en un punto importan­ te de observación …</t>
  </si>
  <si>
    <t>Reguilon, Autolin</t>
  </si>
  <si>
    <t>Autolin Reguilon</t>
  </si>
  <si>
    <t>y alférez de Borbon : al brigadier D. Cir­ ios Tasier, comandante de esquadron del Infante : á D. José Taberner, teniente coronel del de la Reyna: á D. Autolin Reguilon , comandante de esquadron del regimiento de voluntarios de Ciudad-Rodrigo: á D. Juan Yuste, á D. Ventura Blanco y á D. José Castro, sargento mayor , tenien­ t…</t>
  </si>
  <si>
    <t>Rei</t>
  </si>
  <si>
    <t>r el vor de los austríacos (t). El 6 se renovó á título de capitanes honorarios de la guardia la misma hora , y fue tan decisiva en el sedentaria. £1 general Rei sale mañana de centro y ala derecha, que estos cortaron é esta ciudad. hicieron prisionero de guerra un cuerpo de Acaba de fallecer aqui el señor Henri- 12© francese…</t>
  </si>
  <si>
    <t>Reí</t>
  </si>
  <si>
    <t>oronel de González (D. Cesar), teniente coronel de ,iiií.|literla. artillería. Marie (D. Fermín) , general y edecán del Gomales Arnaud ( D. Vicente), secretario Reí. del consejo de Estido. Mariner ( D. Josef) , sargenta t .° del bar Guerrero ( D Joan), capitán del regimien­ tallón de infantería ligera ruin. 1.° to ruin. 2.u, …</t>
  </si>
  <si>
    <t>REI, Blon</t>
  </si>
  <si>
    <t>Blon REI</t>
  </si>
  <si>
    <t>do en nuestro palacio de. Madrid-a "2 barcos mercantes ingleses, apresados p&gt;or 27 de abril de 1809. = Firmado = YO EL los corsarios le Rancunier, Su capitán Blon­ REI. = Por.S. M. su ministro secretario Je dín , le Gente , capitán Dezánda. Estado Mariano Luis de Urquijo.” 4 -*EN LA IMPRENTA REAL.</t>
  </si>
  <si>
    <t>Rei, Furu</t>
  </si>
  <si>
    <t>Furu Rei</t>
  </si>
  <si>
    <t>rillante del favor y de la satisfacción ceptaron repentinamente el camino: rodea­ de S. M. el Emperador de los franceses, do asi por todas partes, el.coronel Furu­ Rei de Italia, os hará redoblar vuestros marck se vió en la precisión de rendir las esfuerzos para mostraros siempre dignos de armas. El genera! Wrede duda que sea…</t>
  </si>
  <si>
    <t>Reille</t>
  </si>
  <si>
    <t>dada por el de los curas párrocos de estos reinos, por mariscal Dumonceau. El centro , á las órde­ los abasos introducidos en la percepcionde nes del general Reille, edecán de S. M., se diezmos, carecen hasta de lo absolutamen­ compone de dos divisiones y de quatto bri­ te preciso para su subsistencia; queriendo gadas , que c…</t>
  </si>
  <si>
    <t>Reilli, O</t>
  </si>
  <si>
    <t>O Reilli</t>
  </si>
  <si>
    <t>eo la gazeta de ayer, capítulo de Paris , y mero que se huyó , y volvió á pasar los los documentos citados en este diario sép­ puentes. El respetable general O—Reilli no timo, que publicaremos en la gazeta de tuvo noticia sino por la fuga del archidu­ mañana. que que recaia el mando en su persona. Al rayar el dia T2-este gene…</t>
  </si>
  <si>
    <t>Reinier</t>
  </si>
  <si>
    <t>Pantecorva,, y los En la fortaleza de Gratz se han. encon­ saxooes que habla en él'están ahora baxo trado 22 piezas de artillería. . las órdenes del general Reinier. El prínci­ t . La fortaleza, de Sachsembnrgo , situada pe de Pontecorvo ha ido á tomar las aguas. en los confines del Tirol, se ha entregado En la batalla de Wag…</t>
  </si>
  <si>
    <t>167</t>
  </si>
  <si>
    <t>rancés. — El día 8 fué disuelto el 9.® cuerpo que mandaba el príncipe de Pontecorvo, y los saxones que habia en él están ahora baxo las órde­ nes del general Reinier. El príncipe de Pontecorvo ha ido á to­ mar las aguas (1). En la batalla de Wagram el pueblo de este nombre fué tomado el dia 6 entre 1.0 y 11 de la mañana ; y a…</t>
  </si>
  <si>
    <t>Reioach</t>
  </si>
  <si>
    <t>o nos llama á los templos del Om­ cia $e anunciase inmediatamente ai pública nipotente , parí celebrar en presencia suya non salvas de artillería. El capitán Reioach este feliz suceso por medio de un solemne ha venido hoi aquí desde Bajreuth con ia Te Dete*e. drden para que el regimiente de cazadores ,¡En medio 4e I» alegría …</t>
  </si>
  <si>
    <t>Relset</t>
  </si>
  <si>
    <t>y caballería navio Bastí. Un rjrmmero considerable de vjue se ..escapó de Lindau , y que acometida lanchas resguardan todas las islas, cubren por el coronel Relset del cuerpo de obser­ el puente, y hacen grandes servicios. vación idel general Beaumour, ha sido cor­ El batallón ele obreros de la marina tra­ tada en Neumack, y …</t>
  </si>
  <si>
    <t>Remi, Pedro</t>
  </si>
  <si>
    <t>Pedro Remi</t>
  </si>
  <si>
    <t>ban , coronel del re­ mores, y administrar justicia ¿ los que se gimiento nútn. a.° de infantería de línea, crean agraviados. nombrando en so lugar á D. Pedro Remi ,, Pero sabed que estos comisarios no os Chevalier; y el Sr. Pui, capitán de tiradores oirán si ahtes no entregáis las armas. de la guardia real, queda nombrado ma…</t>
  </si>
  <si>
    <t>Remon, Franciscó</t>
  </si>
  <si>
    <t>Franciscó Remon</t>
  </si>
  <si>
    <t>s?y de las Indias:,hemos decretado y decretamos lo siguiente: ^o ? ■ ARTICULO I. ,,Nombro á. los alcaldes de corte D. Mariano Alonso, D. Diego Cosío, D. Franciscó&gt;Remon, D. ¿ Laureano Jado y D. Domingo Rico de. ^illademoros para jueces de la junta criminal extraordinaria.,, que h^ de co­ nocer de los delitos de que eo .decret…</t>
  </si>
  <si>
    <t>Renard</t>
  </si>
  <si>
    <t>i­ mado allí sus atrincheramientos. ge hácia el reino de Saxonia, y llegarán pronto á Leipsick io0 hombres de estas CONFEDERACION DEL RIN. tropas. El general Renard, que ha mandado Francfort i 8 de junio. por macho tiempo en Dantzick, ha tomado Ayer han llegado aquí SS. AA. el prín­ ahora el mando de la fortaleza de Wurtzcipe…</t>
  </si>
  <si>
    <t>Rencovich</t>
  </si>
  <si>
    <t>. Pero habiendo ción por sostener sus odiosos privilegios, y perdido su rumbo, el guardia-marina pidió hacen derramar la sangre de los pueblos pa­ al capitán Rencovich que se encargase del ra mantenerlos:perpetuamente baxo el yugo mando , y llevase el buque á un puerto cer- • opresor de la feudalidad, fueron los prime­ cano, …</t>
  </si>
  <si>
    <t>Renovales</t>
  </si>
  <si>
    <t>nda vez. Han llegado á manos del Gobierno supremo las proclamas siguientes del gene­ ral francés D’Agoult , que manda en Pamplona, y del coman­ dante general Renovales. La nación leerá con indignación la primera , y hará fervientes votos por ias glorias de quien escribió la segunda , y de sus compañeros de armas. Proclama del…</t>
  </si>
  <si>
    <t>292</t>
  </si>
  <si>
    <t>eron con furor contra los franceses (1) ; y ahora le hacen la guardia de honor, (1) El Gobierno supremo no ha mandado todavía publicar los partes del brigadier Renovales sobre su defensa y retirada del valle</t>
  </si>
  <si>
    <t>ridad, de la. noche,. la aspere­ za del caminq,. los muchos desfiladeros y el gran cansancio de la tropa, retardaron los movimientos; no obstante, el brigadier Renovales marchó eon su tropa en batalla hacia el enemigo que le esperaba formado ; mas viendo esté la intrepidez, con que se le acometía, emprendió una precipitada re…</t>
  </si>
  <si>
    <t>ones y de la consideración á vuestra persona. Quartel general de Roncal 23 de agosto de 1809.” — Mariano de Renovales.” El 21 de agosto tuvo aviso el brigadier Renovales de que los enemigos en número de 5"&lt;^&gt; subian de Zaragoza á atacar, dirigiéndose 2$ de ellos á la ciudad de Jaca paTa reunirse con y00 que allí habia de la f…</t>
  </si>
  <si>
    <t>comandante del valle D. Pedro Esteban Villoch, y el de Mendivelza por el capitán D. Diego Cal cerrada , resueltos á vencer ó morir j mientras que el brigadier Renovales de posición en posición los revistaba y daba sus sabias dispo­ siciones. Tres veces hicieron retirar á los franceses por el cen­ tro , dexando los caminos cub…</t>
  </si>
  <si>
    <t>Renovales, Mariano</t>
  </si>
  <si>
    <t>Mariano Renovales</t>
  </si>
  <si>
    <t>les, y les obligaron áretirarse. mas aprisa de lo que pensaban. (6) En esta, parte convenimos con Suchet. Si los franceses se determi­ nan á atacar á D. Mariano Renovales y á los valientes montañeses que capitanea, el éxito de esta expedición no será dudoso por mucha, tiempo. SEVILLA : EN LA IMPRENTA REAL.</t>
  </si>
  <si>
    <t>Represa, Juan Miguel</t>
  </si>
  <si>
    <t>Juan Miguel Represa</t>
  </si>
  <si>
    <t>hu­ cintura. Mas de 180 hombres enemigos que­ biese hallado los entregará á D. Florencio, daron muertos i cuchilladas y á bayoneta- ó en esta corte á D. Juan Miguel Represa, eos: los franceses cogieron ademas 80 pri­ calle de la Encomienda, núm. 22, quarto sioneros , entre ellos dos capitanes y el fa­ principa!. SUPLEMENTO</t>
  </si>
  <si>
    <t>Requena, Francisco</t>
  </si>
  <si>
    <t>Francisco Requena</t>
  </si>
  <si>
    <t>siguiente, por el orden y anrtiguedad aquí señalada : de D. Josef Joaquín Colon, Deca­ no”, D. Manuel de Lardizabal y Uribe, el Conde del Pi­ llar , D. Francisco Requena , D. Josef Pablo Valiente ¿D. Sebastián de Torres , D. Antonio Ignacio Corta varría y D. Ignacio Martínez de Villela, D. Antonio López .Quinta*na , D. Miguel…</t>
  </si>
  <si>
    <t>Resellen</t>
  </si>
  <si>
    <t>ugada siguiente sor-» prebendiéren á .quantos hombree había en dichos pueblos basca \&amp; edad de £0 anos , y amarrados con esposas, los intreduxeron en d Resellen por Bañuls , sin que se sepe 4 4 ,é**¿**</t>
  </si>
  <si>
    <t>Retano, Francisco</t>
  </si>
  <si>
    <t>Francisco Retano</t>
  </si>
  <si>
    <t>ngel i ominguez., 10 rl?. para un par de medias.. D. Plácido Esteves , 10 rls. para uri par de medias*. P. Juan Otero 10 rls.-para un par de medias». D. Francisco Retano, 10 rls* para un par de medias.*, D». Manuel Cabrera ^ 20 rls. para dos purés de medias».</t>
  </si>
  <si>
    <t>Reubell</t>
  </si>
  <si>
    <t>tríacas al mando del general Amende.— Obsérvese bien este hecho. Jíamburgo 21 de julio. Para el dia 24 se espera en Hannover al rey de VVestfatia. El general Reubell ha entrado ya allí el dia .19 con 60 hombres de tropas vvestfalianas. — Jos napoleones en­ tran en cuidado sobre el destino y empresas de la grande expedición de…</t>
  </si>
  <si>
    <t>Reuterskjold</t>
  </si>
  <si>
    <t>mérito mantenerse en pie sobre los témpanos de por su valor y conocimientos el general hielo, que se moriarrcon gran violencia por Alolercreutz y el coronel Reuterskjold. No todos lados. En la ciudad no han perecido puedo menos- da-itacer.-presente-»-V. M. hasta ahora mas que. 3 hombres. que en la situación crítica en que se …</t>
  </si>
  <si>
    <t>Revenga, Cándido</t>
  </si>
  <si>
    <t>Cándido Revenga</t>
  </si>
  <si>
    <t>M. D. José ha nombra­ do en el ministerio de policía á D. José Mamerto Gome* Hermosiila xefe de división ; á D. José Montero , D. Simón del Castiiio, D. Cándido Revenga, D. Simón Fernandez Gallardo, D. Manuel María de Echevarría, D. Nicolás García de los Reyes y D. Julián de Mena oficiales segundos ; y por archivero á D. José…</t>
  </si>
  <si>
    <t>Revet, Cándido</t>
  </si>
  <si>
    <t>Cándido Revet</t>
  </si>
  <si>
    <t>gefe bas de satisfacción por la buena conducta de división ; á D. Josef Montero, D. Simón que ha usado conmigo , y se le faciliten to­ del Castillo, D. Cándido Revet ga , D. Si­ dos los medios necesarios para la entrada món Fernandez Gallardo , D. Manuel Ma­ de su cargamento, y las reparaciones que ría de Echevarría , D. Nico…</t>
  </si>
  <si>
    <t>Revvbeil</t>
  </si>
  <si>
    <t>general Von Nelving, gobernador de Brunswick, llegó aquí el mismo lunes. Se esperaba á cada momento una acción decisiva éntre Bruns­ wick y Ohoff; el general Revvbeil habia juntado en este último sitio cerca de 43 hombres de tropas wetsfalianas. Se dice que de Cassel se han puesto ya tropas en camino para perseguir al duque, …</t>
  </si>
  <si>
    <t>Rew</t>
  </si>
  <si>
    <t>rden, La SALCETTE.” y de aqui ha pr®ven¡do ei que pierdan siem­ Brema 7 de agosto. pre terreno. Los gritos confusos de Ja tro­ Hoi ha entrado aqui el general Rew— pa impedían que se oyese la voz de los co­ bell con el cuerpo de tropas westfalianas mandantes. de so mando en número de 4© hombres. Si los gefes tuvieran habituada…</t>
  </si>
  <si>
    <t>Rey, Antonio</t>
  </si>
  <si>
    <t>Antonio Rey</t>
  </si>
  <si>
    <t>nte D. Anto­ nio Zalameda, 21 heridos, entre ellos el capitán teniente coronel D. Ig­ nacio Irigoyen y el teniente D. Juan Soto, contusos el teniente D. Antonio Rey 3 4 caballos muertos y 1 5 heridos 3 pérdida total 4 oficiales , 26 hom­ bres y 19 caballos. Total de las dos brigadas 3 2 oficiales muertos , 6 heridos y 2 contu…</t>
  </si>
  <si>
    <t>Rey, Joaquin</t>
  </si>
  <si>
    <t>Joaquin Rey</t>
  </si>
  <si>
    <t>sia de Cartagena por muerte de D. Juan Lozano, á D. Alfonso Rovira Galvez , racio­ nero de la misma : para la canongia de Solsona que ha renuncia­ do D. Joaquin Rey, á D. Josef Soler , vicario general de aquella diócesi : para la de Lérida , vacante por fallecimiento de D. Joaquin Lacambra, á D. Antonio Pastoret, canónigo de …</t>
  </si>
  <si>
    <t>Rey, Josef</t>
  </si>
  <si>
    <t>Josef Rey</t>
  </si>
  <si>
    <t>reiites eo&gt; Napoleón , y los Franceses , registran en el navio de S. M, nombrado S. Lorenzo, de que es comandante D. Santia­ go írrtsarri, y contador D. Josef Rey te?, las partidas siguíenles, 0 jírfrer Ua csxon con 7 marcos, 12 onzas , ii| adarmes de oro en varias alhajas.r=:Dos sortijas de diamantes tablas , un al­ filer de…</t>
  </si>
  <si>
    <t>Rey, Ramón</t>
  </si>
  <si>
    <t>Ramón Rey</t>
  </si>
  <si>
    <t>teniente y subteniente del batallón de tiradores de Ciudad-Rodrigo: á D. Rafael Cano, capitán del regimiento del General, y á los ayudantes de campo D. Ramón Rey, teniente de dragones de la Reyna , y á D. Vicente Sánchez , capitán del regimiento de Lovera. El general de la primera división: i los ayudantes generales Don Franc…</t>
  </si>
  <si>
    <t>Reyes, Pedro</t>
  </si>
  <si>
    <t>Pedro Reyes</t>
  </si>
  <si>
    <t>e coronel D. Joaquín de Eguía y D. Manuel Cortavarría., te­ niente del .regimiento segundo voluntarios de Madrid, el ayudante. del mayor de. órdenes. D. Pedro Reyes, capitán del provincial de Guadix, y el secretario de la inspección general el capitán D. Ramón. Agraz, te­ niente del regimiento de Jaén ,.y como ¥. E. conoce- q…</t>
  </si>
  <si>
    <t>Reyna, Francisco</t>
  </si>
  <si>
    <t>Francisco Reyna</t>
  </si>
  <si>
    <t>dar las disposiciones que fueron indispensables con el tino y presencia de espíritu que le caracterizan. Los segundos comandantes dé ámbas divisiones D. Francisco Reyna, y conde de Cionard , ofi­ ciales tan anteriormente acreditados , correspondieron á su justa opinión. El brigadier D, Pedro de Otedo que estaba de día, no dex…</t>
  </si>
  <si>
    <t>Reyna, Josef María</t>
  </si>
  <si>
    <t>Josef María Reyna</t>
  </si>
  <si>
    <t>ichos, coa 12 arrobas, 5 libras de plata labrada que ha donado la Sía. Iglesia Catedral por medio de sus comisarios Dr. D. Julián del Barrio , y í)r. D. Josef María Reyna.“Uno dicho , can 143 marcos cíe plata labiada que dona Ja Arehi-cofradía de Nra. Sra. del Rosario por medio de su mayordomo el Sr, Marques de Pe­ nal ver. n…</t>
  </si>
  <si>
    <t>Reynier</t>
  </si>
  <si>
    <t>412 de Raab , donde se ha reconcentrado la mayor parte de las fuer­ zas que se hallan al mando del yirey de Italia. El general Reynier sigue apostado con el cuerpo saxon en Presburgo y sus in­ mediaciones. Se sabe que se han enriado allí de refuerzo algu­ nos regimientos franceses. — El cuerpo del mariscal Oudinot es­ tá actu…</t>
  </si>
  <si>
    <t>Reynoso, Vicente María</t>
  </si>
  <si>
    <t>Vicente María Reynoso</t>
  </si>
  <si>
    <t>l Teniente del citado cuerpo D* Antonio Nicolao , el Capitán del Provin­ cial de Orense D. Francisco Miranda, el Teniente de Dra­ gones cite la Reyna D. Vicente María Reynoso, el Alférez de Literarios de Santiago D. Francisco Sánchez Villamarin* el Abad de la, Parroquia de Valladares , y el Predica­ dor primera de S. Francisc…</t>
  </si>
  <si>
    <t>Riancho, Josef</t>
  </si>
  <si>
    <t>Josef Riancho</t>
  </si>
  <si>
    <t>r de medias. D. Juan Rrenes, 30 rls. para dos mochilas. D. Josef Espejo , 10 rls- para un par de medías. D. Juan Mercado , 30 rls. para dos mochilas. D. Josef Riancho , 20 rls. para dos pares de medía?. Doña María Rodríguez , 70 rls. para quatro mochilas y ua par de medias. D. Salvador Montenegro r 40 rls- para dos mochilas y…</t>
  </si>
  <si>
    <t>Ribera, Juan</t>
  </si>
  <si>
    <t>Juan Ribera</t>
  </si>
  <si>
    <t>y Lomas, D. Antonio Leiral , D. Carlos Reboul, ©. Francisco Guilmó , D. Benito Navarro, D. Francisco Larregui , D. Andrés Piñuela , D. Víctor Moreno, D. Juan Ribera, D. Francisco González, D. Sevérino Rie-zu y D. Eusébio Heros oficiales segundos ; á D. Juan Esteban Tricio archivero ; y á ¡B. Francisco Borda visitador general …</t>
  </si>
  <si>
    <t>Ric, Pedro María</t>
  </si>
  <si>
    <t>Pedro María Ric</t>
  </si>
  <si>
    <t>ntra su legítimo REI y contra sus mas preciosos intereses ? ; • La junta de Zaragoza, compuesta de los, individuos cuyos nombres sie­ guen , á saber, D. Pedro María Ric, presidente, D. Juan de Butlher, el duque de¥:íllahermosa, el marques deiFuerite^ Olivar, él barón de Purroi, Mariano Domínguez, D. Joaquín Ignacio Escala, Mi…</t>
  </si>
  <si>
    <t>Ricafórtcon, Mariano</t>
  </si>
  <si>
    <t>Mariano Ricafórtcon</t>
  </si>
  <si>
    <t>ria, no hay medios que no deban usarse pa­ ja, su libertad.’’. Badajoz,Z6 de setiembre^ LajrupfR superior de esta;provincia ha recibido rím oficio de D. Mariano Ricafórtcon fecha dél 22 en Alconeta, dando parte de haber evacuado los franceses á Coria, cu­ ya ciudad y demas pueblos de aquel país han..sufrido increíbles daños d…</t>
  </si>
  <si>
    <t>Ricart, Manuel</t>
  </si>
  <si>
    <t>Manuel Ricart</t>
  </si>
  <si>
    <t>comandante de la vanguardia las compa­ ñías de los granaderos de Saboya con sus capitanes D. Francisco Ce­ bollino y D. Pedro Suerra , y el teniente D. Manuel Ricart , de los quales han sido heridos el primero y tercero : igualmente recomienda dicho xefe de la vanguardia al teniente de granaderos de VVimpffe* D. Manuel Quinte…</t>
  </si>
  <si>
    <t>Rico, Domingo</t>
  </si>
  <si>
    <t>Domingo Rico</t>
  </si>
  <si>
    <t>etamos lo siguiente: ^o ? ■ ARTICULO I. ,,Nombro á. los alcaldes de corte D. Mariano Alonso, D. Diego Cosío, D. Franciscó&gt;Remon, D. ¿ Laureano Jado y D. Domingo Rico de. ^illademoros para jueces de la junta criminal extraordinaria.,, que h^ de co­ nocer de los delitos de que eo .decreto i de este dia queda hecha mención; . y …</t>
  </si>
  <si>
    <t>Rico, León Ignacio</t>
  </si>
  <si>
    <t>León Ignacio Rico</t>
  </si>
  <si>
    <t>Cácerés Ovaaáo.*==: Manuel Díaz de los Cobos Mdxica. zz. D. fuaa de Taaroa'?a.zr D. Juan Manuel Velas de la * Cadena, zr. D. Juan de Ightiaa Pablo, = D. León Ignacio Rico.. == D. Josef Calapis Mat-ís, Secretario. La Representación , firmada por lo&amp; miamos - -Capifolares^ jr con la sobredicha fecha i manifiesta la iccxpücaok</t>
  </si>
  <si>
    <t>Rico, Lorenzo</t>
  </si>
  <si>
    <t>Lorenzo Rico</t>
  </si>
  <si>
    <t>isión VVestfaliana, se­ gún resulta del parte de D. Juan Claros. P. S. Acaba de saber el Gobierno Supremo que ha entrado en Gerona un segundo convoy. D. Lorenzo Rico , los subtenientes D. José Zanon , D. Juan Aloy , D. Es­ teban Oros. De Suizos de Wimpffen, 1 3 muertos , 37 heridos : el capitán D. Car­ las Escolar j y el teni…</t>
  </si>
  <si>
    <t>Ricote, Agustín</t>
  </si>
  <si>
    <t>Agustín Ricote</t>
  </si>
  <si>
    <t>pañoles á la Providencia por haberles dado un Soberano-tan ilustrado y tan amante de sus pueblos. Lista de los individuos quetomponian la diputación. D. Agustín Ricote, regidor decano ; D. Ambrosio Melendez» regidor;</t>
  </si>
  <si>
    <t>mis­ cinios convencer á los médicos ingleses, mo confirió S. M. el corregimiento de la quienes se desengañaron de su error y pre­ ciudad de Segovia á D. Agustín Ricote, ocupaciones por los efectos que luego vie­ regidor decano de su ayuntamiento; el de ron de la vacuna. la Puebla de Sanabria á D.. Rosendo Vi- Esta fue extendi…</t>
  </si>
  <si>
    <t>Riese</t>
  </si>
  <si>
    <t>cá para allá ; y algunos se El exército francés recibe nuetffrs re­ adelantaron adonde no habia enemigos. El fuerzos á cada momento. Ya han llegado á general Riese no se ha portado bien cerca Ambares mas de 40© hombres , que han de Enzersdorf; el dia 6 no lo vi á la cabe­ venido de París y de lo interior de Francia. za de sus…</t>
  </si>
  <si>
    <t>Rigo, Bartolomé</t>
  </si>
  <si>
    <t>Bartolomé Rigo</t>
  </si>
  <si>
    <t>e idem, 100.= D. Gerónimo Gos , Alcs^dé de idem,100.= D. Manuel de Olavenri, Vista de»idem , 25. = D. Félix Castríllo , Oficial 2. 0 de idem , *25. = D. Bartolomé Rigo , Guarda-mayor, 25 = D. Santiago Milla , 16. = Do­ ña Ana Francisca ftequena , 100. zz D. Julián Yeia, 500.= D. Toribio Carvajal , 25. = D. Alexandro Ramírez ,…</t>
  </si>
  <si>
    <t>Rin, Ignacio L</t>
  </si>
  <si>
    <t>Ignacio L Rin</t>
  </si>
  <si>
    <t>se remi­ yan renovado las hostilidades; tieron , sino de Azpeitía, á saber, D. Ig­ Que para consolidar la confederación del nacio Ramón de Arocena , D. Ignacio L¡Rin, y arrojar de su seno todo influxo con­ zardi , D. Gerónimo de Arocena y Antonio trario á sus principales Intereses, es indis­ Juaristi ; los quales , an¡mados¿d…</t>
  </si>
  <si>
    <t>Rio, Pedro María</t>
  </si>
  <si>
    <t>Pedro María Rio</t>
  </si>
  <si>
    <t>— En ios números 28,29 y 50 del 'Semanario Patriótico que llega á mí regularmente, he leido con mucha satisfacción las extractas de la exposición de D. Pedro María Rio. Un docuniento tan intere­ sante no podía dexar de agradar al pueblo de Inglaterra que coa una ansia indecible esta Tiendo los esfuerzos heróyeos de Jos espa­ …</t>
  </si>
  <si>
    <t>Ripert, Julio</t>
  </si>
  <si>
    <t>Julio Ripert</t>
  </si>
  <si>
    <t>com­ Por el duque de CaJora, ministro de pañía del regimiento de caballería ligera de Relaciones exteriores, ios señores F tesch, la goar-lia real; á D. Julio Ripert y á Don caballero de la orden real de Holanda, Gabriel Hipólito Brun tenientes; á Don miembro de la magistratura de Amster- Reuaido Rigoine yá D. Claudio Francis…</t>
  </si>
  <si>
    <t>Riv</t>
  </si>
  <si>
    <t>ión del cuerpo de reserva era porque el exército francés no tuviese del exército de Alemania, mandada por el una hermosa posición eu Viena : dueño de general Riv.-.ud. toda la orilla derecha del Danubio, tenien­ El señor duque de Abrantes, general en do en su poder al Austria y una gran par­ gefe, llegó el dia 2. S. E. fue re…</t>
  </si>
  <si>
    <t>Riva</t>
  </si>
  <si>
    <t>ol se retiró ei enemigo sobre Míajadas , sin insistir contra nuestro segundo de húsares , el qual, visto esto, se re­ tiró también á Medefíin# Que el Brigadier Riva3 íe recomien­ da á D. Agustio ¿jcndoval, que mandó su primer escuadrón, al capitán D. Josef Maestre v al capitán graduado y ayudan­ te del mismo cuerpo D. Ignacio…</t>
  </si>
  <si>
    <t>Rivagorda, Diego</t>
  </si>
  <si>
    <t>Diego Rivagorda</t>
  </si>
  <si>
    <t>de lps cadetes del batallón de Tarragona D. Josef Monguiot, D. Juan Guaze , D. Ignacio Urtet, D. Ráymundo Cortes , D. Juan Ixar , D. Carlos Salas, y D. Diego Rivagorda , que habiendo salido de guerrilla, escar­ mentaron bien al enemigo ; la del subteniente del mis­ mo cuerpo D. Josef de Moya que la mandaba y fue herido ; y la…</t>
  </si>
  <si>
    <t>Rivas, Antonio Martin</t>
  </si>
  <si>
    <t>Antonio Martin Rivas</t>
  </si>
  <si>
    <t>ayetano Martínez pañía fianca D. Juan Díaz Pariier'hra&lt; re—T Cosío, alcalde mayor del valle de Toran- cibido de un íntimo amigo suyo-, do ve­ zo, y á D. Antonio Martin Rivas, corre-r racidad acreditada (1), residenteén nn pue­ gidor de la ciudad de. Truxilío. blo ocupado por el enemigo, las noticias Asimismo se ha servido S. …</t>
  </si>
  <si>
    <t>Rivas, Manuel</t>
  </si>
  <si>
    <t>Manuel Rivas</t>
  </si>
  <si>
    <t>tá nombrado subteniente. riano Luis de Urquijo." D. Rafael de Luna , también vé.ite, es­ tá nombrado subteniente. Don Josef Napoleón por la gracia de D. Manuel Rivas , también vélite, está Dios y por la constitución del estado, nombrado subteniente. REI de las Españas y de las Indias. D. Andrés Russi, subteniente que fue Hemo…</t>
  </si>
  <si>
    <t>Rivaud</t>
  </si>
  <si>
    <t>en ponerse en marcha para arrojar de aqúi París x.° de julio. á estos merodistas. Por otra parte la divi­ Capitulación de la plaza de Raab. sión del general Rivaud se adelanta á toda risa, y ha llegado ya áErfurt. Esta sola Entre nos G. Mergez , ayudante-coman­ E asta para poner fin á todas estas incur­ siones. dante con pode…</t>
  </si>
  <si>
    <t>quartel general está hoi en Sondershausen; carse las tropas reunidas cerca de Eisenack y la división holandesa verificará al medio á las órdenes del general Rivaud. Los fu­ dia su reunión con el exército. Parece que gitivos han llegado ya á Tirschenreuth en el enemigo se retira; y no se ha. presenta­ el Palatinado superior pa…</t>
  </si>
  <si>
    <t>Gaceta de Madrid n.º 199</t>
  </si>
  <si>
    <t>tfalia pensaba aquel ciones de la magistratura; y mas feliz to­ dia establecer su quartel general. davía por la certidumbre de no decir otra El señor general Rivaud debe dirigirse cosa mas que lo que cada uno de vosotros hot con su división hacia Aschaffenburgo. experimenta igualmente que yo. Voi, se­ El señor duque de Abrant…</t>
  </si>
  <si>
    <t>de Dantziek ha lnspruck se portan mui bien; y han asisti­ llegado hoi á e&lt;ta ciudad ; y ayer entró aqui do con mucho esmero á los heridos bavaros el general Rivaud, que manda la primera que había allí. * división del 8.° cuerpo de exército.</t>
  </si>
  <si>
    <t>Rivero, Pedro</t>
  </si>
  <si>
    <t>Pedro Rivero</t>
  </si>
  <si>
    <t>r}ot Gatlos, ^matria‘ \ Exc. Señor D. Miguel Balanza. Exc. Señor Arzobispo Co-Administrador de Sevilla. Exc. Señor Conde de Tilly. _ , , f Exc. Señor D. Pedro Rivero. Toledo.......*......... ****|íExc. Señor D. Josef García de la Torre. f* Exc. Señor Conde de Contamina. Valencia................ **,'^Exc. Señor Marques de la R…</t>
  </si>
  <si>
    <t>Exc. Señor D. Pedro Rivero. Exc. Señor Conde de Contamina. *% Exc. Señor Marques del VilleL. SECCION DE GRACIA Y JUSTICIA* Exc. Señor Arzobispo Co-Administrador de Sevilla. Exc. Señor D. Rodrigo Riquelme* Exc, Señor</t>
  </si>
  <si>
    <t>Rizo, Manuel</t>
  </si>
  <si>
    <t>Manuel Rizo</t>
  </si>
  <si>
    <t>a , los Brigadieres D. Juan Bernuy, que mandaba la bri­ gada de Carabineros, y D. Josef Manso, Coronel del re­ gimiento de Farnesio, D. Pedro Gamez , D. Manuel Rizo, el Príncipe de Anglona , D. Manuel Freyre , el Conde, de Bocarmé , D. Juan Espronceda , D. Rodrigo Machuca, y el Capitán Cavaleri , Coroneles , aquellos de los r…</t>
  </si>
  <si>
    <t>Ro, Juan Josef</t>
  </si>
  <si>
    <t>Juan Josef Ro</t>
  </si>
  <si>
    <t>o. duque de D-lmacia tiene ya asegurada la Por reales decretos de ayer se ha ser­ espalda , allanando todo el país entre el Mi­ vido S. M. nombrar á .D. Juan Josef Ro­ ño y Oporto, y puede disponer , para ade­ dríguez de Valdtosora , 'corregidor de la lantar sus conquistas, de las fuerzas consi­ viüa de Atienza ,y i D. Modest…</t>
  </si>
  <si>
    <t>Ro, Juan Perez S</t>
  </si>
  <si>
    <t>Juan Perez S Ro</t>
  </si>
  <si>
    <t>ontado 2992, y 4488 al fiado: quatro casas con tres tejados , y diferentes heredades que cultivan Tomas de Ocariz y otros vecinos, del que administra D. Juan Perez S Ro­ mán, al contado 16456, y, 24684 al fiado: una porción de tierras sitas en términos del lugar de Albeniz, pertenecientes á su cabildo, al contado 18700, y 280…</t>
  </si>
  <si>
    <t>Ro, Pedro</t>
  </si>
  <si>
    <t>Pedro Ro</t>
  </si>
  <si>
    <t>imada de las Españas: D. Juan Llórente, dignidad de maestrescuelas y canónigo, consejero de Estado; D. Matías de Robles, arcediano titular de Toledo; D. Pedro Ro­ drigue»Pardo, canónigo; D. Francisco Díaz Cevallos, canónigo; D. Pa­ blo Nicolás de San Pedro, canónigo; IX Vicente Rodrigo de Mena, canó­ nigo ; D. Josef de Salced…</t>
  </si>
  <si>
    <t>ocurrir según lo pidiere la necesidad. Anadió que habían llegado al exér­ cito los Tenientes generales D. Francisco de Flguía, el Duque del Parque, y D. Pedro Ro­ dríguez de la Búria. Con fecha del 17 continuó el mismo Xefe manifestando, que consiguiente á las sospechas que indicó en el parte anterior ele que los ene­ migos a…</t>
  </si>
  <si>
    <t>Ro, Sigismundo</t>
  </si>
  <si>
    <t>Sigismundo Ro</t>
  </si>
  <si>
    <t>eclesiástico:, de lo Interior y de Ha­ de S. Benito , para una canorgía de la san­ cienda quedan encargados del cumplimien­ ta iglesia dcAitorga : á D. Sigismundo Ro­ to de este decreto. = Firmado = YO EL mero , archivero que ha sido del monaste-* REI . = Por S. M. su ministro secretario de rio benedictino de S. Millan de la …</t>
  </si>
  <si>
    <t>Róbert, Rasaoa</t>
  </si>
  <si>
    <t>Rasaoa Róbert</t>
  </si>
  <si>
    <t>, ar­ cipreste y vicario eclesiástico de Benavente; y para el curato y administra' cion del reál hospital de S. Luis de los franceses en esta corte a D. Rasaoa Róbert, cürá de Daganzd de abaxo. . Asimismo sé ha dignado S; M. nombrar para una capellanía del número y coro de la iglesia metropolitana de Toledo á D Bérnardino Mar…</t>
  </si>
  <si>
    <t>Roberts, Ramón</t>
  </si>
  <si>
    <t>Ramón Roberts</t>
  </si>
  <si>
    <t>ntines in­ gleses cargados de varios efectos ; pero El REI ha venido en admitir la renun­ los soldados han logrado salvar uno de di­ cia que ha hecho D. Ramón Roberts, cura chos buques. que ha sido de Daganzo de abaxo , dióce­ El general Kellerman ha venido aquí sis de Toledo, del curato y administración por el camino de León…</t>
  </si>
  <si>
    <t>Robira, Francisco</t>
  </si>
  <si>
    <t>Francisco Robira</t>
  </si>
  <si>
    <t>ar­ te haya habido mas que tres contusos. Se debió esta bizarra de­ fensa- á ios esforzados,naturales del Pais mandados1 por D. Fran­ cisco Kstivill, D. Francisco Robira, y D. Joset Puig, y ayuda­ dos de una partida del .Batallón de Voluntarios de Tarragona. Con licencia, en la Imprenta de la calle de la Mar.</t>
  </si>
  <si>
    <t>Rocatallada, Gerónimo</t>
  </si>
  <si>
    <t>Gerónimo Rocatallada</t>
  </si>
  <si>
    <t>l público los extraordinarios sa­ crificios que ha sufrido y sufre este pais y el de Aragón, dimanados de los famosos espías , traidores á la patria, D. Gerónimo Rocatallada, D. Domingo Brun ( aligs Chandon) , D. Clemente Lapetra, todos vecinos de la villa de Hecho , y éste último vicario: los dos primeros baxaron á Tortosa á…</t>
  </si>
  <si>
    <t>Rodenas, Pasqual Genaro</t>
  </si>
  <si>
    <t>Pasqual Genaro Rodenas</t>
  </si>
  <si>
    <t>SECRETARIA DE ESTADO T DEL DESPACHO GENERAL de la Junta Suprema Gubernativa del Reyno. SEÑORES OFICIALES. i. rtdi* • ^ 3. D. Pasqual Genaro Rodenas. 4. D¿ Pío Agustin de lenda» 5. D. Josef CoSta y Gali. 6. D. Josef Víctor Cevallos. Por auto de 19 de Octubre de i8©8 se manda citar y em­ plazar á qualquier acreedor que se conce…</t>
  </si>
  <si>
    <t>Rodrigo</t>
  </si>
  <si>
    <t>Extrangero. .. en el ministerio de Guerra. Martí ( D. Juan), teniente coronel de in­ Ximena (D. Rafael), teniente de arti­ fantería. llería. Medrano (D. Rodrigo), gefe de batallón Yrribarren (D. Pedro). del regimiento Josef Napoleón. art. ii. Nuestros gran canciller y gran Menche (D. Carlos), coronel de infan­ tesorero de la …</t>
  </si>
  <si>
    <t>Rodrigues, Pedro Zisod</t>
  </si>
  <si>
    <t>Pedro Zisod Rodrigues</t>
  </si>
  <si>
    <t>del modo mas natural sus sentimientos de amor á sp Real persona y á la Patria. ' ' 1 ' ’• ' * ■ *' 'J El Comisario Ordenador de los Reales exércitos D. Pedro Zisod Rodrigues ha hecho el donativo de 52^040 reales vellos para los gastos de la présente guerra ; y S. M. se ha servi­ do admitirlo , mandando darle¿graciás por su pa…</t>
  </si>
  <si>
    <t>Rodríguez, Bernardino</t>
  </si>
  <si>
    <t>Bernardino Rodríguez</t>
  </si>
  <si>
    <t>eridos y 10 muertcs3 pérdida total 1 oficial 16-hombres y 13 caballos.— Id. regimiento de Ciudad-Rodrigo , 4 heridos , entre ellos el portaestandarte D. Bernardino Rodríguez, contuso el capitán D. Teodoro Abad; 4 caballos muertes y a heridos 3 pérdida total 2 oficiales, 3 hombres y 6 caballos. —, Id. regimien­ to de cazadores…</t>
  </si>
  <si>
    <t>Rodríguez, Ceferino</t>
  </si>
  <si>
    <t>Ceferino Rodríguez</t>
  </si>
  <si>
    <t>2 en 10 ; D. Francisco Ximenez una en 850. — De Cádiz, la real aduana ocho mulos en 13.300 ; D. Fermín Elizalde2 en 5?-; Don Miguel Lobo uno en 1800; D. Ceferino Rodríguez 3 en 130; la viuda dé Retortillo 4 en 170; la condesa de Sarria 16.100; el conde de las Cinco-Torres 4 en 15.200 ; D. Miguel de Cas­ tro 3 en 6900 ; D. Ant…</t>
  </si>
  <si>
    <t>Rodríguez, Fermín</t>
  </si>
  <si>
    <t>Fermín Rodríguez</t>
  </si>
  <si>
    <t>s Gabriel Laguna y Pedro Llórente : de voluntarios de España al carabinero Fran­ cisco Mexía, y al soldado Diego Valencia: de cazadores de Sevilla al sargento Fermín Rodríguez , al carabinero Francisco</t>
  </si>
  <si>
    <t>Rodríguez, Francisco</t>
  </si>
  <si>
    <t>Francisco Rodríguez</t>
  </si>
  <si>
    <t>. Martin Serrano, 10 rls. para un par de medias. D. Juan Tomates , 10 rls. para un par de media?. D. Bernardo García , lo rls. para un par de medias. D. Francisco Rodríguez , 12 rls. para un sombrero. D. Juan Josef Vera , 12 rls. para un, sombrero. D. Joaquín Coronas , 10 rls. para un par de media?. D. Josef de Troya , 20 rls…</t>
  </si>
  <si>
    <t>n­ cisco de Hóre, que estaba, á mis órdenes, habiéndole man­ dado con una á un punto avanzado , ha sido 6 muerto i hecho p risicas ro , y el Teniente D. Francisco Rodríguez me siguió constantemente , y contribuyó en rili calda á libertarine. Fs digno de elogio el Capitán Comandante de las par­ tidas de guerrilla de caballería…</t>
  </si>
  <si>
    <t>caminar en pequeños destacamentos ; y habiendo comu­ nicado su pensamiento , y conferenciado con D. Toribio Busíamante, capitán de caballería, y con D. Francisco Rodríguez, capi­ tán de voluntarios de Plasencia, pasaron el Tajo con poco mas de 200 hombres á las 10 de la noche del 4 , y fueron á sorprehender los que estaban en…</t>
  </si>
  <si>
    <t>Rodríguez, Francisco de Paula</t>
  </si>
  <si>
    <t>Francisco de Paula Rodríguez</t>
  </si>
  <si>
    <t>arria 16.100; el conde de las Cinco-Torres 4 en 15.200 ; D. Miguel de Cas­ tro 3 en 6900 ; D. Antonio Lavalle 2 en 5700. — De San Lucar de Barameda , D. Francisco de Paula Rodríguez 4 en 12.600. — Para conducciones y mantenidas por sus propios due­ ños , se han entregado por los Srs. : conde de Áltamira 7 muías; el ministro d…</t>
  </si>
  <si>
    <t>Rodríguez, Gregorio</t>
  </si>
  <si>
    <t>Gregorio Rodríguez</t>
  </si>
  <si>
    <t>alaspina , mayor general de caballería ; D. Josef María de Alós , mayor general de infantería; D. Manuel Zapino, comandante general de in­ genieros ; D. Gregorio Rodríguez , comandante general de artillería, y D. Tomás O-Doncjú, asistieron á mi inmediación durante toda la acción para executar las providencias que yo tomabas :…</t>
  </si>
  <si>
    <t>Rodríguez, Joaquín Fernandez</t>
  </si>
  <si>
    <t>Joaquín Fernandez Rodríguez</t>
  </si>
  <si>
    <t>Una persona , que no tuvo por conveniente manifestar su nombre, i3 rs.r= Otra ídem , 20 rs. == D. Teodoro Gcfíinet vecino de esta ciudad, 1600 re. = D. Joaquín Fernandez' Rodríguez , 60 rs. = D. Sautisgo Martin , 120 rs. = D. Luis Pedro Perier, 200 rs.rr O. Manuel Aguilar y Gueto , 200 rs. = D. Cayetano Cortinas y Viiíccb , 3…</t>
  </si>
  <si>
    <t>Rodríguez, Josef</t>
  </si>
  <si>
    <t>Josef Rodríguez</t>
  </si>
  <si>
    <t>Domínguez, 10 rls. para un par de media?. D. Francisco Laceval , 60 rls. para quatro mochila?. D Bartolomé López , 20 rls. para dos pares de medias. D. Josef Rodríguez , 153 rls. para diez mochilas. Doña Josefa Tirado, 10 rls. para un par de medias. D. Agustín García, 10 rls, para un par dé medias. D. Juan Antonio Castañeda, …</t>
  </si>
  <si>
    <t>otines.es:Doña Anto­ nia üomtogüez , un par de medias.mD. Pedro Ortiz, un poncho.= ). Silvestre Corzo , una camisa.— x. Josef Carmona , un pantalon.s=D. Josef Rodríguez , unos botines.O. Francisco Franco , unos botines.mO, Juan Ravelo, ur» poncho.= D. Josef Rodríguez , un par de medias.^D. Pedro Alonso, un poncho.-== Jj. Fran…</t>
  </si>
  <si>
    <t>Rodríguez, Juan</t>
  </si>
  <si>
    <t>Juan Rodríguez</t>
  </si>
  <si>
    <t>0 rls. para dos pares de medias. D. Antonio Martin , 20 rls. para dos pares de medias. D. Francisco García , 40 rls. para dos mochilas y unas medias. D. Juan Rodríguez , 20 rls. para dos pares de medias. D. Josef Domínguez, 10 rls. para un par de media?. D. Francisco Laceval , 60 rls. para quatro mochila?. D Bartolomé López ,…</t>
  </si>
  <si>
    <t>Rodríguez, Liego</t>
  </si>
  <si>
    <t>Liego Rodríguez</t>
  </si>
  <si>
    <t>D. Josef Telio, 10 rls. para un par de medias. D. Juan Vázquez, 10 rls. para un par de medias. Doña María Rodríguez , 10 rls. para un par de medias. D. Liego Rodríguez , 10 r’s. para un par de medias. Entre Jos pobres de casa de vecindad y demás que han con­ tribuido á peseta , dos reales y un reai , quarenta y nueve ponchos …</t>
  </si>
  <si>
    <t>Rodríguez, Luis</t>
  </si>
  <si>
    <t>Luis Rodríguez</t>
  </si>
  <si>
    <t>ra la canongía que este dexa, á D. Manuel E izalde, capellán Real de Granada ^ y para la capellanía Real qué resulta vacarte por promoción de este, á D. Luis Rodríguez. También se ha servido S. M. nombrar para el De anato de la Catedral de Ceuta vacante por muerte de D.. Ratnon Columna, á D. Francisco Ruiz Pinto, racio­ nero …</t>
  </si>
  <si>
    <t>Rodríguez, Manuel</t>
  </si>
  <si>
    <t>Manuel Rodríguez</t>
  </si>
  <si>
    <t>Antonio Navarro, 40 rís. para dos mochilas y un par de medias.P. Sebastian Vázquez ,10 rís. para un par de medias. Doña María del Rosario , viuda de D. Manuel Rodríguez, ioc&gt;&gt; rls. para seis mochilas y un par de medias. ~ P. Francisco Rodríguez , 60 ris. para quatro mochilas. P. Fabian Caehufeiro , 10 rls. para un par de medí…</t>
  </si>
  <si>
    <t>Rodríguez, María</t>
  </si>
  <si>
    <t>María Rodríguez</t>
  </si>
  <si>
    <t>s. D. Josef Espejo , 10 rls- para un par de medías. D. Juan Mercado , 30 rls. para dos mochilas. D. Josef Riancho , 20 rls. para dos pares de medía?. Doña María Rodríguez , 70 rls. para quatro mochilas y ua par de medias. D. Salvador Montenegro r 40 rls- para dos mochilas y un par de medias. Defía María Cándida Adorno , 60 rl…</t>
  </si>
  <si>
    <t>s. D. Fernando Manteca, 10 ris. para un par de medias. D. Josef Telio, 10 rls. para un par de medias. D. Juan Vázquez, 10 rls. para un par de medias. Doña María Rodríguez , 10 rls. para un par de medias. D. Liego Rodríguez , 10 r’s. para un par de medias. Entre Jos pobres de casa de vecindad y demás que han con­ tribuido á pe…</t>
  </si>
  <si>
    <t>Rodríguez, Mariano</t>
  </si>
  <si>
    <t>Mariano Rodríguez</t>
  </si>
  <si>
    <t>idos , 5 prisioneros : de la oficialidad salieron heridos el teniente coronel D. Melchor Alvarez , el comandante D. Paulino de Uncetá , los tenientes D. Mariano Rodríguez, y</t>
  </si>
  <si>
    <t>Rodríguez, Miguel</t>
  </si>
  <si>
    <t>Miguel Rodríguez</t>
  </si>
  <si>
    <t>ochilas y un par de medias» D. Jo$ef Romero, 20 rls. para dos pares de medias. D. Manuel Morales , 48 rls. para unos pantalones» D. Leandro Perez , y D. Miguel Rodríguez , .20 rls. pan dos pares de medias. D. A stonio González , 20 rls. p^ra dos pares de medias. D, Francisco Ximenez Berdtjo , 10 r s. para un par de m.dias. ij…</t>
  </si>
  <si>
    <t>Rogniat</t>
  </si>
  <si>
    <t>llos, é hizo 4© prisioneros , entre los sensible á todo el exército, y particular­ quales se encontraron 2 generales, 12 coró­ mente al Emperador. El coronel Rogniat neles, 19 tenientes coroneles, y 230 le sucedió eá él mando del cuerpo de inge­ cíales. Cogió ademas 30 piezas de artillenieros , y en la dirección del sitio. ví…</t>
  </si>
  <si>
    <t>Roig, Jayme</t>
  </si>
  <si>
    <t>Jayme Roig</t>
  </si>
  <si>
    <t>3I^ como test'go ocular, s! Ayudaste D. Jayme Roig , los Te­ nientes D. Baltasar del Corral, D. Jostf Z: non , y D. Va­ leriano García•;-Sargenta -.2*-9 Andrés Di*z r Cabo M?t¿o Molina.; Carabin&amp;r&amp;s Francisco'Ximenea', y Francisco Peña, y lo</t>
  </si>
  <si>
    <t>Roldan, Antonio</t>
  </si>
  <si>
    <t>Antonio Roldan</t>
  </si>
  <si>
    <t>to y Pastor. Diputación de Salamanca. D. Josef Pando y D, Juan de Peñalosa, ciudad. D. Cosme de Trespalacios y D. Francisco Alonso y Moral, comercio. D. Antonio Roldan; D. Lorenzo Piñuela; D. Juan Ignacio Perez,y D. Vicente Hernández Pé­ rez, cabildo. D. Josef Mintegui; D. Juan Justo García; D. Josef Espailiar y í). Tomas Gon…</t>
  </si>
  <si>
    <t>Roldan, Francisco del Valle</t>
  </si>
  <si>
    <t>Francisco del Valle Roldan</t>
  </si>
  <si>
    <t>i 68 D. j u lian Tomé , por hacendados ; D. Francisco del Valle Roldan, D. An­ tonio Maregil, D. Manuel Alvaro Benito y D. Miguel de Lázaro, canóni­ gos de la catedral; D. Carlos Mesa, por la fábrica de paños; D. Diego Pir catoste, por rentas reales; D. Felipe</t>
  </si>
  <si>
    <t>Roldan, Manuel Bernardo</t>
  </si>
  <si>
    <t>Manuel Bernardo Roldan</t>
  </si>
  <si>
    <t>de Salcedo y Xaramillo, canónigo; D. Pablo Recio y Tcllo, canónigo; D. Pedro María Estala, canónigo. Por la ciudad de Toledo. El Sr. conde de Lerena; D. Manuel Bernardo Roldan; D. Julián Gon­ zález Saez; D. Gil Antonio Laguna; D. Diego María Gallar; D. Francisco Ruano Santos; D. Joan Manuel Martínez;. D. Santiago Felipe Barru…</t>
  </si>
  <si>
    <t>Roliaski</t>
  </si>
  <si>
    <t>ch s heridos franceses, confederados y en Sulgrestow • cerca de Pihka ; pero fue­ austríacos. Los habitantes acuden á potfia 4 ron rceftasados por el general Roliaski 1 ti* darlci iodos los toeorxo* necesarios.</t>
  </si>
  <si>
    <t>Rom, Nicolás</t>
  </si>
  <si>
    <t>Nicolás Rom</t>
  </si>
  <si>
    <t>ra que está pronto á restituir todo quanto sus tropas han ocupado al otro lado de Kaiix. Con esta ocasión, &amp;c. Petersburgo 21 de abril de 1809 - — El Conde Nicolás Rom atizof ‘ Carta del mismo al Barón Lagerbjelfce. CfEl Barón de Schwerin me ha entregado la carta que vmd. me ha hecho el honor de escribirme, su fecha en Stokol…</t>
  </si>
  <si>
    <t>Roma</t>
  </si>
  <si>
    <t>squadrijla al mando del almirante Ruich ocupa el puesto de Krammer. El IMPERIO FRANCES. mariscal Winter ha dado al Re! parte de la buena conducta del teniente coronel Roma 10 de julio. Ossevarde, que á la cabeza de una división La consulta extraordinaria ha publica­ de la esquadrilla apostada en Veer ha tra* do con fecha de 1…</t>
  </si>
  <si>
    <t>so para, la paz entre esta última potencia y Dinamarca. — Habíase de estar al­ go debilitada la influencia de las franceses en Petersburgo ; y que el ministro Roma.n~.oJT piensa entraren negociaciones con Inglaterra. Parece que no ha sido cierta la muerte de la emperatriz de Aus­ tria ; pero hay pocas esperanzas de que viva. …</t>
  </si>
  <si>
    <t>Roman</t>
  </si>
  <si>
    <t>ería. En la noche hubo iluminación. Se publicará el tratado con un manifiesto. Se cantará igualmente un Te-Deum en todas las iglesias del,imperio. Ej conde Roman­ zovv, negociador del tratado y que lo-.firmó, ha sido elevado á la dignidad de canciller del imperio, la primera del estado, que equivale á feld-mariscal general. E…</t>
  </si>
  <si>
    <t>Román, Juan</t>
  </si>
  <si>
    <t>Juan Román</t>
  </si>
  <si>
    <t>as clases del estado. . . Soberano. Pero en este último caso el feu­ AVISO. do era alodial, porque se decia que las tier­ Por fallecimjentc» del Lie. D. Juan Román ras que no dependian de algún vasallo, eran se halla vacante la plaza de cirujano latino de ia ciudad'de Segovia, con la dotación dc j«o dependientes del Soberano.…</t>
  </si>
  <si>
    <t>Romano, Ciríaco</t>
  </si>
  <si>
    <t>Ciríaco Romano</t>
  </si>
  <si>
    <t>el regimiento de infantería de Extrema­ „D. Santiago Raíz de Santayana, co­ dura , está nombrado teniente. misario de Guerra de nuestros reales exér­ D. Ciríaco Romano, sargento i.“ de citos , está nombrado comisario Ordenador vélites de nuestra real guardia, está nom­ con el sueldo señalado á ios de sb ciase. brado subtenien…</t>
  </si>
  <si>
    <t>Romanzoff</t>
  </si>
  <si>
    <t>sible, en caso que la enemiga trate de hacer alguna invasión en nuestras costas. También ha publicado el gobierno los siguientes documentos. Nota del Conde Romanzoff al Barón de Schwerin. WE1 infrascrito ministro de negocios extrangeros ha hecho pre­ sente al Emperador su amo lo expuesto por el Barón de Schwerin; y en su cons…</t>
  </si>
  <si>
    <t>Romaza, Ignacio</t>
  </si>
  <si>
    <t>Ignacio Romaza</t>
  </si>
  <si>
    <t>ndo Peñaranda , ex-religioso esco- D. Alexandro Blanco de dlbaxo. lapio, de retórica y poética; D. Jacinto art; iti. Quedan nombrados profeso­ Lago y D. Ignacio Romaza de aritmética, res de las escuelas públicas de primeras le— álgebra, geometría y principios de geogra­ trtis del mismo colegio D. Aquilino Palo­ fía; el mismo …</t>
  </si>
  <si>
    <t>Romberg</t>
  </si>
  <si>
    <t>o durante la última desgraciada guerra. De los oficiales que mandaban las fortalezas prusianas han sido arrestados y puestos en consejo de guerra: el general Romberg, comandante de Stettin; el general Lecoq* comandante de Hameln; el general Beneckendorf, coman­ dante de Spandau; el coronel Bouman, principal ingeniero de Custr…</t>
  </si>
  <si>
    <t>Romero, Francisco García</t>
  </si>
  <si>
    <t>Francisco García Romero</t>
  </si>
  <si>
    <t>ajo á la división que llegará dentro de poco. /v¿-■ .&gt; **• ' . f -ESPAÑA. ... ■ VENTAS. . . ¿ ; lleal monasterio de Huelgas. / . " Por providencia de D. Francisco García Romero, juez comisionado re­ gio en la provincia de Burgos para la venta de bienes comprehendidos en ios reales^ decretos de 18 de agosto .y .16 de noviembre…</t>
  </si>
  <si>
    <t>, y se publi­ carán dentro del asignado las que se vayan verificando para inteligencia de todos. Monasterio de S. Juan de Burgos. Por providencia de D. Francisco García Romero, juez comisionado re­ gio ea la provincia de Burgos para la venta de bienes comprehendidos en los reales decretos de 18 de agosto y 16 de noviembre del…</t>
  </si>
  <si>
    <t>ras, y se publicarán en el asigna­ do las que se vayan verificando para inteligencia de las partes. Convento del Carmen de Burgos. Por providencia de D. Francisco García Romero, juez comisionado re­ gio en la provincia de Burgos para la venta de bienes comprehendidos en los reales decretos de 18 de agosto y 16 de noviembre úl…</t>
  </si>
  <si>
    <t>, y se publicarán dentro del asignado las que se vayan hacien­ do para la inteligencia de todos. Convento de S. Pablo de Burgos* Por providencia .de D. Francisco García Romero, juez comisionado re­ gio en la provincia de Burgos para la venta de bienes comprehendidos en los reales decretos de 18 de agosto y 16 de noviembre últ…</t>
  </si>
  <si>
    <t>ublicarán dentro del asig­ nado las que se vayan verificando para inteligencia de las partes. Convento de Santa Dorotea de Burgos. Por providencia de D. Francisco García Romero, juez comisionado re­ gio en la provincia de Burgos para la venta de bienes comprehendidos en los reales decretos de 18 de agosto y 16 de noviembre de…</t>
  </si>
  <si>
    <t>, por las que paga el concejo María, al contado 9680 rs., y ahitado 14520. 40 fanegas: el mismo en otras (incas ,en Atapuerca, por Por providencia de D. Francisco García Romero, las que los herederos de Andrés García pagan una fane­ juez comisionado regio en la provincia de Búrgos.se han ga de trigo: el mismo en 30 tierras de…</t>
  </si>
  <si>
    <t>ener efecto. 103 fanegas de trigo, 56 de cebada y 166 rs.-. la gran­ VENTAS. ja y priorato de Población de Cerrato y Cubillas", en Por providencia de D. Francisco García Romero, el obispado de Falencia, con su casa, habitación, una juez comisionado regio en la provincia de Burgos, se han huerta pegante á ella, un soto de olmo…</t>
  </si>
  <si>
    <t>blos que tienen una fisonomía, un tempera­ mitirá otra por ventajosa que sea. mento, enfermedades, costumbres y qsos diferentes de Por providencia de D. Francisco García Romero, los que están vecinos ó inmediatos.” Para resolver una juez comisionado regio en la provincia de Búrgos, se cuestión de tanta importancia era necesar…</t>
  </si>
  <si>
    <t>Romero, Josef</t>
  </si>
  <si>
    <t>Josef Romero</t>
  </si>
  <si>
    <t>muchos guiente: -habitantes: -Hs guardias voluntarias hacen articulo 1. ,, Nombramos director de -ya el-sérvfcdfo én la- mayor p3tte de los caminos a D. Josef Romero, con el goce -púestos de- I* éapifót,-‘"él que continuarán del sueldo, facultades y emolumentos que *por qüatro días ínterin Se organizan'definí— han sido anexos…</t>
  </si>
  <si>
    <t>Romero, Lucas</t>
  </si>
  <si>
    <t>Lucas Romero</t>
  </si>
  <si>
    <t>es de sala Don del departamento de los Alpes marítimos Manuel María Tofiño, ex-religioso de San se formará sin pérdida de tiempo un cuer­ Cayetano, y D. Lucas Romero; capeilan po movible de guardias nacionales, que es­ D. Manuel Tofiño, y médico D. Luis tará á disposición del gobierno. Este cuer­ Guarnerto. po se compondrá de…</t>
  </si>
  <si>
    <t>Romero, Ramón</t>
  </si>
  <si>
    <t>Ramón Romero</t>
  </si>
  <si>
    <t>e Flores, 29 rls. para dos pares de medias. IX Francisco Moreno , 10 rls. para un par de medias. D. F iorencio Rivera , 48 rls. para unos pantalones. D. Ramón Romero, 80 rls. pira 4 mochilas y 2 pares de medias* Do ña Librada Solano , 12 rls. para una gorra de quartel* Doña Josefa Alvarado , 30 rls. para dos mochila?. D. Lore…</t>
  </si>
  <si>
    <t>Romero, Santiago</t>
  </si>
  <si>
    <t>Santiago Romero</t>
  </si>
  <si>
    <t>do á su ilustración al marques de Almenara, y por miembros y beneñcencia. de ella á D- Manuel Sixto de Espinosa, Un pueblo que, incluyendo los depen­ D. Santiago Romero, al conde de S. Anas­ dientes de la antigua real servidumbre, con­ tasio y á D. Francisco Angulo. taba una población de 1500 vecinos, pue­ Uniendo por ahora l…</t>
  </si>
  <si>
    <t>Romero, Vicente</t>
  </si>
  <si>
    <t>Vicente Romero</t>
  </si>
  <si>
    <t>Josef Soré 4 io :rlj, papa ' un par cíe media*. P. Tomas G &gt;m¿z , io rís. para un -par- de media?. P. Juán. de Soto , io rl?. para un par de media?. D. Vicente Romero, io rls. para un par de medial. P. Manuel Visuerte , lo rls. para un p3r ae media?. I). Juan del Villar,'20 rls. par3 dos pares de medias. D. Juan Lebora , ij r…</t>
  </si>
  <si>
    <t>Roque</t>
  </si>
  <si>
    <t>to Real iixtrangero. Novoa (D. Diego), capitán del regimien­ La-Torre (D. Damaso), corregidor de Ma­ to núm. i.u, iniant ría de linea. drid. Novclla (D. Roque), corregidor de AlLe C..pitaine, coronel de granaderos de la C4 sá* guardia real. Obregon (D. redro), teniente general de Lcb e, gefe de batallón de volteadores de niar…</t>
  </si>
  <si>
    <t>ero de Estado.” “Navarro ( D. José ) teniente general de artillería. — Novoa (D. .Diego) capitán del regimiento núm 1 infantería de línea. — Novella (D. Roque) corregidor de Alcalá.” “Obregori (D. Pedro) teniente general de marina. — Orbegozo (D. Gabriel). — Osorno (D. Francisco) comandante de bata­ llón del regimiento núm. 1…</t>
  </si>
  <si>
    <t>Roriol</t>
  </si>
  <si>
    <t>jj de diciembre. Ha arribado a Pasage la goleta la Amable Marieta, su capitán Hiriat, que viene de la Guadalupe. El bergantín la Hiena de Burdeos, su capitán Roriol, que viene de Fort-Royal (la Martinica), y que arribó á Pasage, ha entrado en Bayona, después de haber hecho quarentena en Boucaud, cargado de azúcar, café, añil,…</t>
  </si>
  <si>
    <t>Rosa</t>
  </si>
  <si>
    <t>ué en zaga, y que también la extiende á sus talentos militares, de que convence eí re­ sultado de ia acción. Gon este parte acompaña Grímarest el del capitán Rosa­ les que, sin tratar de la parte que ha tenido en este glo­ rioso encuentro , dice , hablando de la tropa que concurrió á él : ,, La sencilla relación que hago á V.…</t>
  </si>
  <si>
    <t>Rosales, Bernardo Mozo</t>
  </si>
  <si>
    <t>Bernardo Mozo Rosales</t>
  </si>
  <si>
    <t>. — D. Joaquín de Viliauneta.-- D. Antonio Campagny.— D. Torquato Collado.— Marques de Bellestá.— Conde de Puebla del Maestre.— Marquesa de Pontejos.—D. Bernardo Mozo Rosales.—D. Juan Antonio Quin­ tana.--D. Juan Orni.—Í); Jacinto Velandia.—D. Juan Noriega.—D. Manuel de Echaverria.—D. Ramón Sierra.—D.Antonio Guillelmi.— Duque…</t>
  </si>
  <si>
    <t>Rosas, Josefa</t>
  </si>
  <si>
    <t>Josefa Rosas</t>
  </si>
  <si>
    <t>z , un par da medias.rrDoña Josefa Fernandez, un par de madias.r= L. Maruri Alvarez , un par «Mi laeaias. ^ Doña Manuela Olmedo , un par de medías.— Doña Josefa Rosas , un par de medias.^Sevilla y enero a# úe icFp = Manuel Rosendo de Paz. . ».»m ———w—&gt; CON REAL P^IVÍL.GÍO.</t>
  </si>
  <si>
    <t>Rosca</t>
  </si>
  <si>
    <t>sembnrgo , situada pe de Pontecorvo ha ido á tomar las aguas. en los confines del Tirol, se ha entregado En la batalla de Wagram el pueblo de este al general Rosca. nombre fue tomado el dia 6 entre 10 y 11 - El duque de Dantzick ha entrado en el de la mañana, y al mariscal Oudinot y al Tirol coa. 2 5 © hombres. El 28. ha ocup…</t>
  </si>
  <si>
    <t>Roself, José</t>
  </si>
  <si>
    <t>José Roself</t>
  </si>
  <si>
    <t>portado con valor , y re­ comienda á los que han sobresalido en la acción que son los capitanes Alborná, Guinovart y D. Cayetano Pasqual, el teniente D. José Roself, el sargento Antonio Mateu , el tambor Ignacio Bonis que se es­ capó de las manos de los coraceros , y D.. Pablo Basons. Seviila 14 de; octubre. —Coa motivo del r…</t>
  </si>
  <si>
    <t>Roselló, Antonio</t>
  </si>
  <si>
    <t>Antonio Roselló</t>
  </si>
  <si>
    <t>el General, y el segundo , ayudante de voluntarios de la Corona : á su ayudante de campo D. Juan O-colgan-, teniente del re­ gimiento del General : á D. Antonio Roselló, coronel del real cuer­ po de .miilerla; al ayudante del quartel-tnaestre D. Antonio Fernan­ dez , teniente coronel del real cuerpo de Ingenieros , y á D. Jos…</t>
  </si>
  <si>
    <t>Rosen</t>
  </si>
  <si>
    <t>rto. Una sola casa de comercio se ha suscrito por 2 50^ marcos de banco; y las contribuciones de los banqueros ■‘•e- regulan en 35 toneles de oro. El Barón Rosen está nombrado» por el Rey de Suecia para una importante comisión en la Corte cíe Dinarqarca. Se cree sea con el objeto, de terminar la guerra de la Noruega, Sevilla …</t>
  </si>
  <si>
    <t>Rosnieski</t>
  </si>
  <si>
    <t>Toda no habia tenido otra consecuencia de parte la orilla derecha del Vístula está en nues­ del gabinete de las Tuilerías sino nuevas tro poder, y el general Rosnieski está lim:- demandas siempre mas duras, y nuevas pe­ -piaudo de enemigos fa parte de la Gallitzia ticiones cada vez mas perniciosas. S. Af. situada entre el Bng…</t>
  </si>
  <si>
    <t>Rouyer</t>
  </si>
  <si>
    <t>09. DINAMARCA. órdenes del coronel conde de Wittgenstein, ocupan hoi el Breuner, á ñn de man­ Copenhague 2 de agosto. tener las comunicaciones coa el general Rouyer. Se sabe que el conde sueco Moerner tu El general Beaumont marcha con sn sido enviado á Norwega, cerca del prínci­ división» sostenida por una numerosa bri­ pe Cr…</t>
  </si>
  <si>
    <t>Rovira, Francisco</t>
  </si>
  <si>
    <t>Francisco Rovira</t>
  </si>
  <si>
    <t>s enemi­ gos en Bascara el comandante de avanaadas D. Blas Pouraás, teniente corenel y comandante de la quarta división de mtqueletes, de acnerdo con D. Francisco Rovira, coman­ dante de los expatriados del Ampurdán, dispuso antes de amanecer vadeasen ei Fluviá 300 de estos al mando de D. Esteban Llovera con ao caballos de S.…</t>
  </si>
  <si>
    <t>go. Una al­ tura vecina me facilitó por la noche ver el número y la dirección de’los fuegos de aquel. Asegurado de su posición avisé al coro­ nel Dr. D. Francisco Rovira, pava que desde la suya atácase al enemigo en el castillo de Mpntagut, donde se hallaba fortifica­ do , con el doble fin de llamar la atención allí, y de pod…</t>
  </si>
  <si>
    <t>uan Claros." “■Exento. Sr. — Habiendo observada en la tarde de hoy , que los enemigos atacaban á la división que está al mando del coronel ■honorario D. Francisco Rovira por la altura de casa Tirolá , vul­ go la Bruguera de S, Gregorio, teniendo al mismo tiempo una grande coluna de reserva % la que nos estaba amenazan do , hi…</t>
  </si>
  <si>
    <t>Roxo, Felipe Martin</t>
  </si>
  <si>
    <t>Felipe Martin Roxo</t>
  </si>
  <si>
    <t>. Juan de Dios; Fr. Isidro Moreno, vicario de monjas de Jesús; Fr. Francisco Eguia, id. de la Encarnación; Fr. Juan Rodríguez, id. de Sta. Isabel, -y D. Felipe Martin Roxo, capellán de S. Bernardo el Real. Todos estos sugetos hicieroín á S. E. una exácta pintora de la situación del pueblo, y de las calamidades de toda especie…</t>
  </si>
  <si>
    <t>Roxo, Julián</t>
  </si>
  <si>
    <t>Julián Roxo</t>
  </si>
  <si>
    <t>l mismo colegio D. Antonio Ortega, Ortega Manceñido, D..Francisco de Cas­ D. Santiago Aívarez, D. Mariano Molla, tro, D. Antonio Torremocha y D. Ale— D. Julián Roxo, D. Francisco Lorrio y xandro Casanova. D. Manuel Josef García , y pasantes de los art. iv. Nuestro ministro de lo Inte­ mismos profesores D. Benito Tomez, ex­ ri…</t>
  </si>
  <si>
    <t>Rozmitado</t>
  </si>
  <si>
    <t>nzó proponiendo á la Rusia n nodacio­ risow, que el 8 de mayo nuestras tropas nes de paz, y un armisticio por tiempo ili­ pasaron el Wiepaz, y que el general Rozmitado. Uno y otro se miraron como im­ niecki esperaba entrar el 9 en Lublin. Los posibles. No se podta tratar de paz con un restos del exército austríaco se retiran …</t>
  </si>
  <si>
    <t>Roznieeki</t>
  </si>
  <si>
    <t>tien ataco el cortada la comunicación de Lemberg con 31 de mayo al medio dia á Stralsund , en Cracovia. donde Schill se había atrincherado con to­ El general Roznieeki. á la cabeza de da su tropa; y á las dos de la tarde las 400 soldados de caballería , cogió en varios tropas holandesas eran dueñas de la ciudad. combates 7 to…</t>
  </si>
  <si>
    <t>Rrenes, Juan</t>
  </si>
  <si>
    <t>Juan Rrenes</t>
  </si>
  <si>
    <t>hilas. D. Juan de Mora , 10 rls. para un par de medias. D. Diego Olivera, 12 rs. para un sombrero. D. Josef Quadrado , 10 rls. para un par de medias. D. Juan Rrenes, 30 rls. para dos mochilas. D. Josef Espejo , 10 rls- para un par de medías. D. Juan Mercado , 30 rls. para dos mochilas. D. Josef Riancho , 20 rls. para dos pare…</t>
  </si>
  <si>
    <t>Rsseccurt, Pedro Agustín de Echevarri y IX Juan</t>
  </si>
  <si>
    <t>Pedro Agustín de Echevarri y IX Juan Rsseccurt</t>
  </si>
  <si>
    <t>ersión sobre la izquierda amenazaba envolver Ja del enemigo, que retrocedió con precipitación hacia el puente de Msdelliq; y los xefes de su división D. Pedro Agustín de Echevarri y IX Juan Rsseccurt se portaron bizarramente como en todas ocasiones lo ban acre ­ ditado. EL Mariscal de Campo D. Juan de Henestrosa , des­ pués d…</t>
  </si>
  <si>
    <t>Rubio, Manuel</t>
  </si>
  <si>
    <t>Manuel Rubio</t>
  </si>
  <si>
    <t>mento de 50 hombres del regimiento Real extrangero. Se pre­ sentaron á S. E. los sugetos siguientesD. BaltasarJBecerril, alcalde por el estado noble; D. Manuel Rubio, id. por el estado general; D. Tomas Lló­ rente , cura párroco; D. Domingo Belengero, administrador [de correos; Fr. Josef de la Purificación , guardián de la co…</t>
  </si>
  <si>
    <t>Rubio, Pedro</t>
  </si>
  <si>
    <t>Pedro Rubio</t>
  </si>
  <si>
    <t>¿ por el estado regular: Sr. D. Juan de Mata Iilana, por vecinos de parroquias: Sr. D. Roque Antonio de Lema, por las dipu­ taciones de barrio; y Sr. D. Pedro Rubio , por los Cinco Gremios mayores. Consejo de Estado. Excmo. Sr. conde de Montarco. Consejo de Indias. Sr. D. Bernardo Iriarte, Sr. D. Josef Antonio de Ürrlza, Sr. …</t>
  </si>
  <si>
    <t>Rudzi</t>
  </si>
  <si>
    <t>está probada por muchas y repetidas expe­ qual asistieron los principes de Prusia Au­ riencias. gusto y Guillermo. El 13 se procedió al bautismo del príncipe Rudzi wiil, cuya ce­ DINAMARCA. remonia se executó en presencia de toda la familia real. El príncipe de IíohenzoCopenhague 28 de febrero. llern adminisrró el bautismo al…</t>
  </si>
  <si>
    <t>Ruffin</t>
  </si>
  <si>
    <t>de Bellune y para l ¡s tro­ pas que están baxo su mando. El general Villatte ha manifestado habiiidad y conocimientos militares en las maniobras. El general Ruffin también se ha distinguido, y lo mismo el general Latour- Maubourg : los dragones que manda este se han portado con bizarría. El joven Soprarsi, gefe de escua­ drón…</t>
  </si>
  <si>
    <t>Rufñn</t>
  </si>
  <si>
    <t>de Pedro Navarro. El 13 la división del general Villatte marchó contra el enemigo» mientras que el duque de Bellune se dirigía por Alcázar con la del general Rufñn para cortarle la retirada. Inmediatamente que el general Villatte descubrió á los españoles les atacó á paso de carga , y derrotó los 12 ó 13© hombres que tenían, …</t>
  </si>
  <si>
    <t>Rugland</t>
  </si>
  <si>
    <t>los gefes de las facciones y del desorden. hospitales ; Mr. ílormsbí, capellán del exér­ No cuido de unos seres despreciables. Mu­ cito; el comisario general Rugland; el asis­ chos de dios han venido varias veces á pe­ tente quartel maestre general Pierrepont, y dir perdón, promeriendo hacerse dignos de otros oficiales del es…</t>
  </si>
  <si>
    <t>Ruiz, Francisco</t>
  </si>
  <si>
    <t>Francisco Ruiz</t>
  </si>
  <si>
    <t>Villar,'20 rls. par3 dos pares de medias. D. Juan Lebora , ij rls. para una mochila. Doña Mariana Gallardo, 40 rl ‘. para dos mochilas y unas medías. D. Francisco Ruiz , y D. Manuel Perez, 20 rls. para dos pares de medias. D. Josef Martioejz , 10 rís. para un par de medias. D. Romualdo Ruiz, 20 rls. para dos pares de medias. …</t>
  </si>
  <si>
    <t>Ruiz, José Antonio</t>
  </si>
  <si>
    <t>José Antonio Ruiz</t>
  </si>
  <si>
    <t>D. Francisco Ortega. — D. Manuel de la Quintana. — D. Juan Antonio López. — D&lt; Manuel González del Campo. -D. Juan Rayara. — D. Segismundo Malats. — D. José Antonio Ruiz. — D. José Moreno. — D. José Marco del Pont. — D. José Llanos. — Ei-conde de Montes-claros. — D. Bernardo González Alvarez. — Doña" Francisca Siró de Gre. --…</t>
  </si>
  <si>
    <t>Ruiz, Juan</t>
  </si>
  <si>
    <t>Juan Ruiz</t>
  </si>
  <si>
    <t>26 rls. para dos pares de botines. Doña María Manuela M rcado , 48 rls. para unos pantalones* JD. Manuel Mariscal., 10 rls. vn. para jm par demedias* D. Juan Ruiz, ao rls. para .dos pares de medias. Manuel Montenegro , ao rls. para d.*s pares de medial* D. Benito Gutiérrez , 30 rls. para dos mochilas.</t>
  </si>
  <si>
    <t>ela Escobar, 1 o rls. para un par de medias* D. Benito Alvarado , 20 rls. para dos pares de inedias* D. Sebastian de Lora, 10 rls. para unas medias* -D. Juan Ruiz , 10 rls. para un par de medias., D. Francisco Domínguez , 10 rls. para un par de medias* D. Juan de Vargas, 14 rls. para un par de botines. D. Antonio Molina , y I…</t>
  </si>
  <si>
    <t>Ruiz, Manuel Besanilia</t>
  </si>
  <si>
    <t>Manuel Besanilia Ruiz</t>
  </si>
  <si>
    <t>5*34 D. Pedro Cortina González. 10.000 El subteniente D. Francisco Iglesias, 1.000 D. Santiago Cnavarria. 3.000 D. Manuel Besanilia Ruiz. 3.000 Las quarenta y ocho partidas que anteceden, componen los 8502 pesos exhibidos por el Real Consulado. El Colegio de San Ildefonso. 10.00a D. Miguel Soxo. 3.000 El sargento mayor de es</t>
  </si>
  <si>
    <t>Ruiz, Pedro</t>
  </si>
  <si>
    <t>Pedro Ruiz</t>
  </si>
  <si>
    <t>Flores , 10 rls. para un par de medías. D. Manuel Gonzahz, 10 rls. para un par de medias. Doña María del Carmen Alvares , 17 rls. para unos zapatos* D. Pedro Ruiz , 153 ris. para diez mochilas. D. Antonio Quesada, 60 rls. para quatro mochilas. D. Juan de Mora , 10 rls. para un par de medias. D. Diego Olivera, 12 rs. para un s…</t>
  </si>
  <si>
    <t>Ruiz, Romualdo</t>
  </si>
  <si>
    <t>Romualdo Ruiz</t>
  </si>
  <si>
    <t>mochilas y unas medías. D. Francisco Ruiz , y D. Manuel Perez, 20 rls. para dos pares de medias. D. Josef Martioejz , 10 rís. para un par de medias. D. Romualdo Ruiz, 20 rls. para dos pares de medias. D. Antonio Espinosa, 10 rls. para un par de medias. D. Vicente Gonza’ez, 20 rls. para dos pares de medias. Doña Gertrudis Redo…</t>
  </si>
  <si>
    <t>Rusca</t>
  </si>
  <si>
    <t>e Jennkei, Preising y otros. porte- de Berlín, - :- : ■&gt; El general Charteller, después de haber tenido algunas acciones mui reñidas con el DALMÁCIA. general Rusca, ha llegado á entrar en la Carintía; pero es mui dudoso que pueda Híara 13.de junio. pasar á Hungría, porque tiene cortada por La Dalmacia continúa dando pruebas t…</t>
  </si>
  <si>
    <t>io de mármol, donde reside S. A. ha­ ce 8 días con el regimiento de la guardia Sallzburgo iS de julio. de á caballo y los huíanos de la misma, que El general Rusca ha llegado á esta cía«stan á las órdenes de S. A. I. dad con un cuerpo de tropas compuesto* Ha sido magnífica la función celebrada de algunos miles de soldados, qu…</t>
  </si>
  <si>
    <t>fortaleza de Gratz se han encontrado-22 piezas de ar­ tillería. — La fortaleza de Sachsemburgo, situada en los confines del Tirol, se ha entregado al general Rusca. —■ El duque de Dantzick ha entrado en el Tirol con 250 hombres. E1-2S ha ocupado =k Lovers, y en todas partes va desarmando á los habitantes. Aho­ rra debe estar …</t>
  </si>
  <si>
    <t>i­ rol : que la primera mandada por el duque de Dantzick, y que constaba de casi 303 hombres, entró en el Tirol setentrional: la segunda al mando del general Rusca, menos fuerte que la prime­ ra , penetró por Lintz á la parte del Este ; y la tercera por Trento del lado de la Italia. Ademas de que como los austríacos en 29 de …</t>
  </si>
  <si>
    <t>Russel</t>
  </si>
  <si>
    <t>1043</t>
  </si>
  <si>
    <t>a­ turaleza, los harán presentes al ministerio pitán Buckwelr, de Petersburgo en Virgi­ de Negocios eclesiásticos , y hallándolos nia ; y VElisa % su capitán Russel, de Nait- este justos, les señalará los parages donde teuket. podrán permanecer , y les Será pagada su ESPAÑA. pensión, ARí. iv. Con arreglo al decreto de áo de f…</t>
  </si>
  <si>
    <t>Russi, Andrés</t>
  </si>
  <si>
    <t>Andrés Russi</t>
  </si>
  <si>
    <t>la gracia de D. Manuel Rivas , también vélite, está Dios y por la constitución del estado, nombrado subteniente. REI de las Españas y de las Indias. D. Andrés Russi, subteniente que fue Hemos decretado y decretamos lo que del regimiento de infantería de Ñapóles, sigue: está nombrado teniente. En el regimiento de infantería es…</t>
  </si>
  <si>
    <t>S, Ci Por</t>
  </si>
  <si>
    <t>Ci Por S</t>
  </si>
  <si>
    <t>c decretado y decretamos lo si­ en la parte que le toca, se conformarán á guiente t esta disposición.r=F¡rmado= YO EL REI. articulo i. ,, Nombramos á D. Ci­ = Por S. M. su ministro secretario de Esta­ priano María de Echeverría, oficial de la do Mariano Luis de Urquijo.” secretaría de Hacienda , y comisario orde­ nador al lad…</t>
  </si>
  <si>
    <t>S, Diego Cosío y Don Servido</t>
  </si>
  <si>
    <t>Diego Cosío y Don Servido S</t>
  </si>
  <si>
    <t>y de las !ndiás¿‘ do Mariano Luis de Urquijo.1’ Hemos decretado y decretamos le si­ guiente.: . • &gt; Por decreto de 6 deí corriente se ha articulo 1. „D. Diego Cosío y Don Servido S. M. promover á capitán de caba­ Laureano Jado, alcaldes c?e&lt; nuestra real llería de línea al teniente D. Joaquín Macasa y corte, quedan nombrados-…</t>
  </si>
  <si>
    <t>S, Francisco Xavier</t>
  </si>
  <si>
    <t>Francisco Xavier S</t>
  </si>
  <si>
    <t>Cambrone- nuestro palacio de Madrid á 9 de marzo de r&lt;&gt; y a! conde de Guzman , ambos del con­ 1809. = Firmado = YO EL REI. = Por sejo de Hacienda; á D. Francisco Xavier S. M. su ministro secretario de Estado Ma­ Duran , del antiguo consejo de Castilla; á riano Luis de XJrquijo.” D. Manuel de las Meras, intendente de cxercito …</t>
  </si>
  <si>
    <t>S, Igna</t>
  </si>
  <si>
    <t>Igna S</t>
  </si>
  <si>
    <t>Aranjuez, en donde continúa sin ia menor y Policía general al conde de Moutarco, y uovedad en su importante salud. por individuos de ella al marques D. Igna­ S. M. no cesa de examinar con la mas cio Mnzquiz» á D. Bernardo Iriarte, al escrnpulosa atención el estado actpal de conde de Guarnan y á D. Zenon Alonso. aquel feracísi…</t>
  </si>
  <si>
    <t>S, Josef Martínez</t>
  </si>
  <si>
    <t>Josef Martínez S</t>
  </si>
  <si>
    <t>, que lo era el ca­ pitán de reales guardias Españolas D. Francisco Gorostiza, los ma­ yores de órdenes de las dos divisiones los tenientes coroneles D. Josef Martínez S. Martin , y IX Francisco Medvano , no dexaron de cumplir un instante con todos sus deberes , mereciendo el primero de estos una mención particular ,.. por ia…</t>
  </si>
  <si>
    <t>S, Juan López Fan</t>
  </si>
  <si>
    <t>Juan López Fan S</t>
  </si>
  <si>
    <t>sende Sagasta, teniente corregidor de esta villa, por la es­ sío de ia Pena, la que cumple ia real cengregacion d« criban;;: de su número, que excrec D. Juan López Fan- S. Felipe Keri de presbíteros seculares , y tiene de si­ do, dentro de 30 dias contados desde el de su publi­ tio por lo ' ano del portal 169 pies afectos á J…</t>
  </si>
  <si>
    <t>S, Julián</t>
  </si>
  <si>
    <t>Julián S</t>
  </si>
  <si>
    <t>378</t>
  </si>
  <si>
    <t>se les impuso , los franceses han conducido k Italia , en clase de rehenes , varios co­ merciantes principales de aquella ciudad. NOTICIAS DE ESPAÑA. D. Julián S’ariehez , terror de los'franceses en los campos de Castilla, ha ocupado últimamente (dice el diario de Badajoz del 22 ) la atención de todo un conde del imperio, qui…</t>
  </si>
  <si>
    <t>S, Julián González</t>
  </si>
  <si>
    <t>Julián González S</t>
  </si>
  <si>
    <t>.......... ....... 66600 68600 drid 19 de octubre de 1809.= Pedro de Mora y Lo­ Un taller de coches en la calle de' mas. es Por mandado de S. S. 1. = D. Julián González S. Benito....;.....:.....,...... 42000 60500 Saez. Una atahona en la misma calle.... 123840 160000(3) Una casa contigua en la calle de Fincas rematadas en 19 …</t>
  </si>
  <si>
    <t>S, Klingsporr Parts</t>
  </si>
  <si>
    <t>Klingsporr Parts S</t>
  </si>
  <si>
    <t>uación tan terrible. ,, Habiendo sido inútiles las reiteradas r IMPERIO FRANCES. súplicas de todo el consejo para que S. M. hiciese la paz , el feld- mariscal Klingsporr Parts S de abril. .y el general Adlercreutz fueron directa­ El mayor de Lagrange, edecán de! du­ mente á la presencia del Reiy le dixeque de Sudermania, ha l…</t>
  </si>
  <si>
    <t>S, Santiago Por</t>
  </si>
  <si>
    <t>Santiago Por S</t>
  </si>
  <si>
    <t>ueda encargado de la execncion del pre­ religioso escolapio, D. Manuel Lucas de sente decreto.= Firmados YO EL REI. ss. Riaza, D. Estanislao Barceló, D. Santiago Por S. M. su ministro secretario de Estado Santos, D. Antonio Godinez y D. Guiller­ Mariano Luis de Urquijo." mo Baños. art. iv. Nuestro ministro de lo Inte­ Circula…</t>
  </si>
  <si>
    <t>Sa, Luis</t>
  </si>
  <si>
    <t>Luis Sa</t>
  </si>
  <si>
    <t>para que se le distinga con premio proporcionado á su distinguido mérito. „ Por nuestra parte hemos tenido solo seis muertos , entre ellos el cadete D. Luis Sa^vedra, ocho heridos y q narre» pri­ sioneros , siendo de ceta número ei cadete-' D. Manuel Gar­ cía' Biedma. La pérdida de les enemigos se regula de quin«* ce á veinte…</t>
  </si>
  <si>
    <t>Saair, Juan</t>
  </si>
  <si>
    <t>Juan Saair</t>
  </si>
  <si>
    <t>que O-Donell, el grado inmediato á todos los oficiales qué han resultado heridos en ambas; el dé subtenientes de infaiftería á los sargentos primeros D. Juan Saair, del segundo regimiento de Saboya , y D. Bernardo Miguel del tercio de Tarragona ; y por último ha concedido S. M. un escudo de distinción y otro de ventaja al mes…</t>
  </si>
  <si>
    <t>Sablin</t>
  </si>
  <si>
    <t>1157</t>
  </si>
  <si>
    <t>ante al capitán Scheschukow, No les ha sido igualmente propicia la comandante del puerto de Riga, y al mayor snerte á los servios en las márgenes del general Sablin comandante del de Svrea- Morawa y delNissawa. Es cierto que des­ borg. pués de dos tentativas han conseguido li­ GALLITZIA. bertar el cuerpo de exército de Heiduk…</t>
  </si>
  <si>
    <t>Saenz, Patricio</t>
  </si>
  <si>
    <t>Patricio Saenz</t>
  </si>
  <si>
    <t>que oprimian las armas de su gobierno y en 1754 el enemigo se aproximó á sus fronteras. (Se continuará.) NOTICIAS DE ESPAÑA. Córdoba 8 de diciembre. D. Patricio Saenz, natural de Logroño, y comisionado por la junta de dicha ciudad, residente por ahora en Soto de Camelos , ha pasado por aquí el 4 del corriente con 60 y mas arr…</t>
  </si>
  <si>
    <t>Saez, Julián González</t>
  </si>
  <si>
    <t>Julián González Saez</t>
  </si>
  <si>
    <t>cto líquido de estas fincas por niente corregidor de esta villa, y escribanía de! nú­ «l último quinquenio, y de las demas circunstancias ne­ mero dé D. Julián González Saez, está pendiente la cesarias. subasta de 4 casas sitas en esta corte: una en la calle En virtud de los reales decretos de rp de setiem­ del Portillo, que …</t>
  </si>
  <si>
    <t>osa, y Florencio Izquierdo, vecinos de te corregidor de esta villa, y escribanía del número de él, quienes pagan anualmente 283 rs. 17 mrs.: el mismo D. Julián González Saez, conforme al real decreto de en una casa en dicha ciudad dada á D. Antonio Tomé, »8 de agosto del año próximo pasado y reales órdenes vecino de ella: el …</t>
  </si>
  <si>
    <t>5» *79878» ,8o359» *95755» Por providencia del referido señor teniente, y es­ 211734, 2*6161 y 216962; y habiéndose extraviado cribanía del número de D. Julián González Saez, con­ por el correo, se suplica a la persona en cuyo poder forme al real decreto de 18 de agosto del año próximo obraren, ó que supiere su paradero, se s…</t>
  </si>
  <si>
    <t>Saez. Otra en la calle de la Montera, Es copia de su original, de que cerifico. Madrid núm 4, manz. 341............L. 451330 45*33® ' ■dicho dia.-^zs D. Julián González Saez. Un lavadero por encima de lá fuente del Abanico............ 319000 364000 aviso. Diferentes tiérfas'eo las cercanías Se desea comprar los tres tomos t°,…</t>
  </si>
  <si>
    <t>Sagarvinaga, Manuel Felipe</t>
  </si>
  <si>
    <t>Manuel Felipe Sagarvinaga</t>
  </si>
  <si>
    <t>ta de todos estos sngetos es como sigue: Per la villa de Madrid. $r. D. Juan Manuel Xaramillo y Sr. D. Juan Matía de Satini, por el ayuntamiento: Sr. D. Manuel Felipe Sagarvinaga, por el cuerpo de ti no­ bleza: Sr. D. Domingo Alvarez, presbítero, por el estado eclesiástico: el P. abad de S. Basilio¿ por el estado regular: Sr.…</t>
  </si>
  <si>
    <t>Sagasta, Francisco Asende</t>
  </si>
  <si>
    <t>Francisco Asende Sagasta</t>
  </si>
  <si>
    <t>053 rs. en la calle Mayor de esta corte, núm. 12, manz. 194, Quien quisiere hacer postura acuda ante el Sr. D. León que pertenece á Ja memoria dd Dr. D. Francisco Asende Sagasta, teniente corregidor de esta villa, por la es­ sío de ia Pena, la que cumple ia real cengregacion d« criban;;: de su número, que excrec D. Juan López…</t>
  </si>
  <si>
    <t>Sahtlc</t>
  </si>
  <si>
    <t>eneral Lauriston de Merse hácia Papa ; y el virei divisó des­ con su cuerpo de observación, sostenido de una altura á todo el exército enemigo por el general Sahtlc, formaba el extremo en orden de batalla. El general de división izquierdo , y observaba la plaza de Raab. Montbrun , general de caballería y oficial A las dos de …</t>
  </si>
  <si>
    <t>Saiazar, Francisco</t>
  </si>
  <si>
    <t>Francisco Saiazar</t>
  </si>
  <si>
    <t>511</t>
  </si>
  <si>
    <t>o gobierno, le remitan proclamas y gazetas.— í;La comisión en vista de unas operaciones tan gloriosas acordó dar las gracias en nombre del gobierno á D. Francisco Saiazar ; que se remita su oficio original á la superioridad ; que se le escriba envie los fusiles y prisione­ ros á la mayor brevedad , y que llegados se den en re…</t>
  </si>
  <si>
    <t>Saifz, Miguel</t>
  </si>
  <si>
    <t>Miguel Saifz</t>
  </si>
  <si>
    <t>. Juan Josef de Land* y García, D. Andrés Raboso y D. Francisco Reció. •"•••’*; * v-: -;-f; r - - : • .. ^ .... Por la contaduría de rentas decimales D. Miguel Saifz; *'■■■'"■ ■</t>
  </si>
  <si>
    <t>Sainr-Cir</t>
  </si>
  <si>
    <t>4 de febrero de 1809</t>
  </si>
  <si>
    <t>Gaceta de Madrid n.º 35</t>
  </si>
  <si>
    <t>go de todas las alturas, á pesar de las grandes talas de árboles que había hecho en todo el desfiladero de Trentopases. Aunque sobrevino la noche, el general Sainr-Cir, conociendo la necesidad que habia de que el exército todo pasase el desfiladero, mandó continuar la marcha. La van­ guardia de lacoluqa se adelantó, y vino á …</t>
  </si>
  <si>
    <t>Saint</t>
  </si>
  <si>
    <t>ia­ rios de París baxo el;art. Bayona , y de los que aquí no hemos^ ténido noticias antes», Eá los. de 21 d¿ marzo dixeron 99 se ha confirmado que el General Saint rCyr ha; deshecho entera­ mente el cuerpo de Redíng , y que está al pie de los mu-ros de Valencia.’5 Sabe vm. mi amigo que he viajado por esa * Península , y do en…</t>
  </si>
  <si>
    <t>Saint-Cir</t>
  </si>
  <si>
    <t>ya. Francfort 79 de diciembre. El general Oudinot llegó ayer aquí .con parre de su estado mayor. Co­ mió en casa del conde deBeust, corno también el general Saint-Cir, el gefé del estado mayor dé su división , el comandante de ía plaza &amp;c. Esta mañana ha salido para Maguncia el regimiento núm. 24.0 de infan-t téría ligera , y…</t>
  </si>
  <si>
    <t>ués ae haber dexado en el campo de batalla ;8ó hombres muertos. El general en gefe, sospechándose que el enemigo .destacaría aun más tropas contra el general Saint-Cir, el qual era de presumir, en vista de los movimientos de los enemigos, que venia ya adelantándose, resolvió atacar el día 16 las posiciones de Sarria, Hospital…</t>
  </si>
  <si>
    <t>e á diferentes partidas enemigas, que no habían pasado aun el Llobregat. Por los reconocimientos que hizo nuestra derecha se su,pQ que las tropas del general Saint-Cir habian dormido aquella noche en Moneada , y que estaban próximas á llegar. Con esta noticia el general Duhesme fue á verse con el general Saint-Cir, el qual ha…</t>
  </si>
  <si>
    <t>inmediatamente que recibió las dos cartas, vino á en­ tregármelas, y de ellas remito á V. A. una copia , y también la respuesta del general Lechi. El general Saint-Cir, que había dexado su artillería y sus caballos en Figueras, ha encontrado en Barcelona todos los recursos qu§ pueden desear­ se en una plaza de armas, pues ha …</t>
  </si>
  <si>
    <t>Saint-Cír</t>
  </si>
  <si>
    <t>dad que le prometía una dir el que los ingleses hayan sido arrojados unión tan acertada* (Correo de España.) vergonzosamente de nuestro suelo, que el general Saint-Cír llegue á Barcelona, ni Madrid p de marzo. que el duque de Bdiunc alcance nuevos triunfos ? Pero no : olvidemos memorias fao Extracto de una carta de Zaragoza d…</t>
  </si>
  <si>
    <t>la división reuni­ castigo será la confiscación del género de da executó grandes maniobras, mandadas ilícito comercio, ó que no hubiese pagado por el general Saint-Cir, y se echa de ver les debidos derechos en las aduanas. la unión mas perfecta entre las tropas de art. ir. En las aprehensiones de géneros las tres naciones fra…</t>
  </si>
  <si>
    <t>, habiendo sido sos­ sición de los insurgentes para cortarlos por tenido por tropas de refresco, supuso ei la derecha , apoderándose dé las alturas^ general Saint-Cir , que el proyecto del ene­ mientras que el tercer batallón del mismo migo era aventurar una batalla, y creyó regimiento, y el quarto del 3.® de infantería deber…</t>
  </si>
  <si>
    <t>Saint-Cir, Carra</t>
  </si>
  <si>
    <t>Carra Saint-Cir</t>
  </si>
  <si>
    <t>es­ escudos entre los mas necesitados y que te llegan ya á 1 j los batallones de infante­ mas perjuicios hayan sufrido. ría que tiene la divisioa del general Carra Saint-Cir, compuestos cada uno de i3 PRUSIA. hombres. En la semana próxima harán to­ jBerlín 16 de octubre. das estas tropas juntas evoluciones en graaHa Vuélto á …</t>
  </si>
  <si>
    <t>Saint-Cir, Gouvion</t>
  </si>
  <si>
    <t>Gouvion Saint-Cir</t>
  </si>
  <si>
    <t>precaución. no ha podido situarse bastante cerca de la No obstante esto tuvimos aviso de su mar­ plaza para comenzar á cañonearla. Los bu­ cha, y el general Gouvion Saint-Cir des­ ques ingleses que han querido aproximarse tacó algunas colimas á varios puntos para á Flesinga , subiendo el canal de Wielin- tener noticias positi…</t>
  </si>
  <si>
    <t>Saint-Cír, Gouviori</t>
  </si>
  <si>
    <t>Gouviori Saint-Cír</t>
  </si>
  <si>
    <t>as, se retiraron á la plaza, Barcelona 7 deJulfar.- ,:. ?J dónde las persiguieron nuestras cqlunas de ataque, las derrotaron y siguieron el alcan­ El general Gouviori Saint-Cír^ mandó ce hasta la orilla del mar ; y conio ya so él día .3 de este mes. al general Pírio que habían largado sus buques, casi todas fue­ ¿tacase con l…</t>
  </si>
  <si>
    <t>Saint-Cyr</t>
  </si>
  <si>
    <t>ancia de toda la España que vesiste tan iniquo poder , no se separará jamas este Partido de los nobles sentimientos que respeta la nación entera. El .General Saint-Cyr y sus dignos compañeros podrán tener la funesta gloria de no ver en todo este país mas que un mon­ tón 4e ruinas.; podrá gozarse , como los caníbales , de pa­ …</t>
  </si>
  <si>
    <t>Saint-Gyr</t>
  </si>
  <si>
    <t>Se han- llevado 14 piezas de artillería , y en algunos capuchinos se encontrarán riquezas de las muchas que han tomado con teda» desver­ güenza. •—El General Saint-Gyr y la muger de Lechi son los . que han salido mas bien' aforrados , porque es* muche eluíiuIlon que llevan. Aquí parece que no quedan sino Duhesras y Chabran.—L…</t>
  </si>
  <si>
    <t>Saint-Hilai</t>
  </si>
  <si>
    <t>vo ó arbotes frutales , y ¿ por cada hijo que En Berlín aguardan que llegue allí de tenga. Las municipalidades respectivas que­ un momento á otro el general Saint-Hilai- dan responsables á la execucion de en te de­ re, gobernador de Srtettn; y se presume creto. que formará un reglamento sobre los deser­ IMPERIO FRANCES. tores…</t>
  </si>
  <si>
    <t>Saint-Hilaire</t>
  </si>
  <si>
    <t>o y estimación hácia el Soberano y la nación. Firmado, el mariscal duque de Averstaedt, general en gefe del exército del Rin. Del $ de diciembre. .El general Saint-Hilaire al presentar á S. A. R. el príncipe Fernando las llavés de la ciudad:, leJdixo entre otras cosas: ,, En el momento de la evacuación definitiva de Berlin, e…</t>
  </si>
  <si>
    <t>dencia , debilitar vuestros recursos, y dis­ desde Franconia hácia la Baviera inferior. minuir vuestras posesiones , so color de li­ La división del general Saint-Hilaire se ha bertad. Los pueblos de la confederación sa­ dirigido á la orilla derecha del Danubio; brán defenderse del nuevo y peligroso Ín­ otra división ha tomad…</t>
  </si>
  <si>
    <t>Sainte-Croix</t>
  </si>
  <si>
    <t>el término de tres horas por el coro­ £1 22 á las qnatro de la mañana el du­ nel de artillería Auhrí. que de Rívoli fue el primero que entró en 'r El coronel Sainte-Croix , edecán del acción. EL enemigo dió sucesivamente mu­ mariscal duque de Rívoli, fne el primero chos ataques para recobrar el pueblo. En que pasó en un barco…</t>
  </si>
  <si>
    <t>o : están heridos los generales VVrede , Seras , Grcnier, Vignolle , Salruc , Frere y Defrance , los mayores de la guardia Dausmenil y Cortineau , el coronel Sainte-Croix , y el mayor D’aboville que mandaba la artillería dé la guardia ; el xefe de esquaclron Grenner ha perdido un brazo. En esta batalla se lian hallado la guar…</t>
  </si>
  <si>
    <t>SaintGyr</t>
  </si>
  <si>
    <t>quai á sn casa , que dexase las armas, y que no se le haría daño alguno; que si no , había una división al frente ; -otra venia por detrás; y que el General SaintGyr se presentaría con la suya : se ha quedado en que se daría parte á quien correspondiese , y que se contestaría en * escritos ó de palabra. Estos psysanos, que ti…</t>
  </si>
  <si>
    <t>Sal</t>
  </si>
  <si>
    <t>. Joan Dámelo,-D. Josef García Santa' María , D. Luisv Na vane te , D. Manuel de Luengas : á Al-* féreces de navio los de fragata D. Josef de Tiscar, D. Sal­ vador Spadafora , D. Manuel Díaz Herrera , D. Juan Du­ ran : á Alférez de fragata fl guardia marina D. Ignacio «egra.</t>
  </si>
  <si>
    <t>Sal, Josef Justo</t>
  </si>
  <si>
    <t>Josef Justo Sal</t>
  </si>
  <si>
    <t>pio. tengo aquí ningún ínteres personal; no ha­ art. 11. Nombramos ahora ademas por blo sino por vosotros ; desgraciado el que consejeros de Estado á D. Josef Justo Sal­ no me creyere : el tiempo acreditará que no cedo, teniente general de la reai arrn..da, tengo por objeto sino vuestra felicidad , y y decano del consejo de M…</t>
  </si>
  <si>
    <t>SalaLa, Diego Josef</t>
  </si>
  <si>
    <t>Diego Josef SalaLa</t>
  </si>
  <si>
    <t>del general Beaumont que está reuni­ do en AugsburgOj y en donde hai mas de Por reales decretos de ayer se ha servi­ 3© dragones. do el REI nombrar ¿ D. Diego Josef SalaLa rahia de los príncipes de la casa de zar, fiscal de lo civil de la chancillería da Lorena contra la ciudad de Viena puede Valladolid, para la plaza de alca…</t>
  </si>
  <si>
    <t>Salamanca, Marchdvd'én</t>
  </si>
  <si>
    <t>Marchdvd'én Salamanca</t>
  </si>
  <si>
    <t>al general francés |'t • qtiando publiquemos su contestación , se verá que sus palabras son tan enérgicas y patrióticas como sus hechos. Proclama del general Marchdvd'én Salamanca i 2H de setiembre. “ El general de división Marchínd , conde del imperio, gran cordon de la legión dé honor, caballero délas órdenes de VVurtemberg…</t>
  </si>
  <si>
    <t>Salanova, Juan Antonio</t>
  </si>
  <si>
    <t>Juan Antonio Salanova</t>
  </si>
  <si>
    <t>Manuel de Montoya, capellán :que ha sido de reales guardias de Cerps: para una capellanía de la real capilla de Reyes nuevos de la ciudad de Toledo á D. Juan Antonio Salanova, presbítero ; y para el préstamo de la villa de Cevico de la Torre, obispado de Palencia, á D. Salvador Negre de Marcer, presbítero, natural de la vi­ l…</t>
  </si>
  <si>
    <t>Salas</t>
  </si>
  <si>
    <t>a, que hajbíendo baxado algo las aguas y y echado el puente de Lies, determiné verificarla en la mañana del 29. Roto el fuego al rayar el alba por el capitán Salas en Eigueras, que seguti mis instrucciones era la señal del ataque general , lo emprendieron todas las columnas en</t>
  </si>
  <si>
    <t>á ciudad; la noche puso fin á la acción, dexando los franceses 41 hombres muertos, entre los qualesse-dice ser cómprehendido un sobri­ no del intruso intendente Salas , y 90 heridos , no habiendo-tenido pornuestra parte-rnas que 4 soldados heridos, 3 dispersos, un caballo muer­ to y 3 heridos. Causó tal sobresalto y confusión…</t>
  </si>
  <si>
    <t>Salas, Carlos</t>
  </si>
  <si>
    <t>Carlos Salas</t>
  </si>
  <si>
    <t>in­ gular conducta, de lps cadetes del batallón de Tarragona D. Josef Monguiot, D. Juan Guaze , D. Ignacio Urtet, D. Ráymundo Cortes , D. Juan Ixar , D. Carlos Salas, y D. Diego Rivagorda , que habiendo salido de guerrilla, escar­ mentaron bien al enemigo ; la del subteniente del mis­ mo cuerpo D. Josef de Moya que la mandaba…</t>
  </si>
  <si>
    <t>Salas, Josef</t>
  </si>
  <si>
    <t>Josef Salas</t>
  </si>
  <si>
    <t>. Francisco Solano , unos zapatos.= i). Francisco Sánchez , unos z pato?. —O.* Juan de la Cambra , una camisa.— &gt;. An­ tonio del Pozo , unos zapatos,—D. Josef Salas, Presbítero, doce sombreros.-L. Joaquin Fernandez , un poncho. =Dcña Rosa Rodríguez, unos zapatos, empaña Juana Lechano , un par de medias.— Lona Bernarda Acosfa …</t>
  </si>
  <si>
    <t>Salazár, José de las Doblas Jy</t>
  </si>
  <si>
    <t>José de las Doblas Jy Salazár</t>
  </si>
  <si>
    <t>teniente del de ^iafáfterw de Trapillo, al teniente B; Feliz Macháughlin , subteniente del *3»rear$ggppo d^jíigeaieros', destinádo á está división, y D. José de las Doblas •Jy Salazár, st^teniente del de infantería 2.50 de Sevilla , qué se mantuvieron ■íkjnstanteá mi lado y comunicaron mis órdenes con toda actividad. DÉW&amp;cr'"…</t>
  </si>
  <si>
    <t>Salceda, Manuel Tirso</t>
  </si>
  <si>
    <t>Manuel Tirso Salceda</t>
  </si>
  <si>
    <t>de Echarte. 15.000 D. José María Landa. 4.000 D. Domingo Llano Torre. 2.000 D. Ignacio Suarez. 9.000 El subteniente D. Gabriel Manuel Iturbe. io ooq D. Manuel Tirso Salceda. 2.ooo# D. José Gregorio Urbizu. 10.000 D. Baltasar Casanueva. 10.000 D. Teodoro Salazar del Puerto. 30.000 El capitán D. Ignacio García Saenz. 5.000 D. A…</t>
  </si>
  <si>
    <t>Salcedo</t>
  </si>
  <si>
    <t>ata­ trangero. llón del regimiento Real Extrangero. Upategui (D. Manuel Maríi). Sait ( D. Luí-.) , intendente de Cuenca. Urbina (D. Francisco María), intendente Salcedo ( D. Josef Sixto) , consejero de Es­ de Valladolid. tado. Uriz (D. Joaquín Xavier), prior de Ron— San Adrián (marques), primer maestro de cesvalles. ceremonia…</t>
  </si>
  <si>
    <t>Salcedo, Josef Justo</t>
  </si>
  <si>
    <t>Josef Justo Salcedo</t>
  </si>
  <si>
    <t>subsistencia está librada en sueldos, sino de Moría, y por sus individuos al marques de propietarios y de vecinos agricultores, ga­ las Amarillas , á D. Josef Justo Salcedo, á naderos é industriosos. La ribera del Tajo, D. Josef Navarro Sangran y al conde de que ahora contiene quizás mas de 20 millo­ Casa-Valencia. nes de árb…</t>
  </si>
  <si>
    <t>Salgado, Benito</t>
  </si>
  <si>
    <t>Benito Salgado</t>
  </si>
  <si>
    <t>de Ingenieros , y á D. José Boado , capitán del mismo :.á D. Félix Prat, comandante del 1.° de Barcelo­ na : á D. Manuel Herrero , í). Pedro Perez y D. Benito Salgado, coronel y tenientes del regimiento de la Corona; i D. Pedro Linares y D. José Carrion, coronel y teniente coronel del regimiento de infantería de línea de León…</t>
  </si>
  <si>
    <t>Salgado, Joaquín</t>
  </si>
  <si>
    <t>Joaquín Salgado</t>
  </si>
  <si>
    <t>apoleón por la gracia de Dios y por la constitución del es­ tado , REI de las Españas y de las Indias. ,, Hemos decretado y decretamos lo siguiente: -D. Joaquín Salgado , coronel que fue del regimiento dle infantería de lí­ nea de Cantabria , está nombrado comandante general de la provincia de Tui,. dependiente del capitán ge…</t>
  </si>
  <si>
    <t>Salha</t>
  </si>
  <si>
    <t>mos testimonios de amor, .bien recíproco nuestro cuidado y sobresal­ «de respeto y de reconocimiento!” to ea medio de los movimientos y manio­ Por el general Salha: *» ¡Oxalá que la paz bras de los tres exércitos que nos han ro­ «y la tranquilidad de la Europa sean el re- deado durante ocho ó diez dias. •* saltado del armisti…</t>
  </si>
  <si>
    <t>Salinero, Cipriano</t>
  </si>
  <si>
    <t>Cipriano Salinero</t>
  </si>
  <si>
    <t>Xoriega ar­ chivero. Por decreto de 30 de agosto lia nombrado en el ministerio de negocios eclesiásticos á D. Juan Ceaii Bermudez xefe de división; á D. Cipriano Salinero , D. Nicolás María Bremond, D. Mariano Garrido y D. Pedro Alfaro y Remon oficiales segundos; y á D. Jo­ sé Julián Diez archivero. Por decreto de 31 del mism…</t>
  </si>
  <si>
    <t>Salva, Fernandez</t>
  </si>
  <si>
    <t>Fernandez Salva</t>
  </si>
  <si>
    <t>e este regimiento. Por S. M. su ministro secretario de Esta­ Él mismo dia se ha dignado S.,M. ad­ do Mariano Luis de .Urquijo.” mitir á su servicio á D. Fernandez Salva­ dor * sargento mayor que fue de caballería Don Josef Napoleón por la gracia de de línea, en,su misma clase y con el suel­ Dios y por iá constitución del esta…</t>
  </si>
  <si>
    <t>Salvad, Antonio</t>
  </si>
  <si>
    <t>Antonio Salvad</t>
  </si>
  <si>
    <t>de Sta. María; Don Pablo Camino, id. de S. Pedro; D. Felipe Fraile Ramino, id. de S. Mi­ guel; D. Gregorio Nuñez Gamarra, id. de S. Nicolás el Real; D. Antonio _ Salvad ios, id. de Sto. Domingo; D. Manuel Ciílan, id. de S. Salvador; Fr. Félix de la Soledad, teniente de S. Juan; Fr. Bernardino del Pozo, guardián de S. Francisc…</t>
  </si>
  <si>
    <t>Salvador</t>
  </si>
  <si>
    <t>rville (D. Frutos) , comandante de cs- campo, y nuestro «dedat». - quadroo, y ayudante de palacio. Le Capitaine , coronel de granaderos de Darrigol ( D. Salvador ), pagador de la co­ nuestra guardia. ’ ■ ' rona./- .. . -Llórente (D. Juan-Antonio)» consejero de Livenc ( D. Carlos de), escudero. .Estado , y-director de bienes n…</t>
  </si>
  <si>
    <t>Salvador, Estanislao Sánchez</t>
  </si>
  <si>
    <t>Estanislao Sánchez Salvador</t>
  </si>
  <si>
    <t>es D. Valentín Ampudia , D. Miguel Ugarte, D. Juan Donoso y D. Jo­ sé María Ampudia, todos del real cuerpo de Ingenieros. A los ayudan­ tes generales D. Estanislao Sánchez Salvador , teniente coronel del regi­ miento de infantería del Principe, y á D. Calixto García de Burunda, espitan del mismo : al ayudante de campo del may…</t>
  </si>
  <si>
    <t>Salvador, Fernandez</t>
  </si>
  <si>
    <t>Fernandez Salvador</t>
  </si>
  <si>
    <t>Madrid; del teniente del rey José, D. Joaquín Magallon, pa­ ra capitán de su caballería de línea; de D. Francisco Fogueras, para otra capitanía; de- D. Fernandez Salvador, para sargento mayor de caballería de línea;'de D. Bernando Casamayor y •D. José Muntaner, para comisarios de guerra de primera cla«e; y de D. Gerónimo Miro…</t>
  </si>
  <si>
    <t>Salvani, Francisco</t>
  </si>
  <si>
    <t>Francisco Salvani</t>
  </si>
  <si>
    <t>orario de la real cá­ exótica y desconocida en estas regiones has­ mara D. Franciíco Xavier de Balmis, y á ta la conquista de los españoles; pero por D. Francisco Salvani en calidad de subdi­ desgracia el texido de la cutis y los humo­ rector. Estos dos profesores llenaron com­ res de los americanos eran de una comple­ pletam…</t>
  </si>
  <si>
    <t>ida y propagada gene­ llagomez ; la vara de alcalde mayor de la ralmente por el subdirector de la expedi­ villa de Manzanares á D. Pedro Segundo ción D. Francisco Salvani en todos los do­ García Ximenez» regidor de la ciudad de minios de la América meridional, dexando Toledo; y la de la villa de Villalpando á instruidos en el…</t>
  </si>
  <si>
    <t>Samper, Antonio</t>
  </si>
  <si>
    <t>Antonio Samper</t>
  </si>
  <si>
    <t>nde de Noblejas. —Marques de Camarasa. — Conde de Gásteifiorido. — Duque deL Parque. —Marques del Portago.—Marques de Lazan. — Con­ de del Montijo. — D. Antonio Samper. —D. Ramón ViJlaiba. — D. Lorenzo Caivo. — D. Antonio Valdés. — D. JoséRaniirez. — Marques de Revilla. — D. Luis Gonzalo. —- D Manuel de la Pe­ ña.— Dt Ignacio…</t>
  </si>
  <si>
    <t>San</t>
  </si>
  <si>
    <t>D. Ramón Gayan , coman­ dante del batallón de cazadores de Cariñena , ' su sargento ma­ yor D. Juan Fraxno, con- la partida de guerrilla al c,.“go de D San­ tiago Manuel Perez , se situase en diferentes puntos .. ’a krejitter*da de la venta de Morata , camino de la Almunia , con ''O honi-bres de su batallón y 50 caballos : el…</t>
  </si>
  <si>
    <t>Sán, Juan</t>
  </si>
  <si>
    <t>Juan Sán</t>
  </si>
  <si>
    <t>ñoles que los franceses podían recibir pocos socorros de Europa , y determinaron que, á toda cos­ ta aquella hermosa posesión volviese á la corona. — D. Juan Sán­ chez Ramírez , vecino de la isla y uno de los españoles mas ricos y bien quistos., con acuerdo de los demas nacionales, pidió socor­ ros al mariscal de campo D. Tor…</t>
  </si>
  <si>
    <t>San, Miguel</t>
  </si>
  <si>
    <t>Miguel San</t>
  </si>
  <si>
    <t>n de la cavilosidad, precisar á que cisco. Xavier Vidarte: y se han conducido todos declaren abiertamente su buena ó mala mui bien los gefes.de trozo D. Miguel San­ voluntad de servir' al estado baxo el pre­ tos de Ulloa y D. Francisco Martínez: se­ sente gobierrto y y sépase de una vez quien minaristas D. Tomas Henriquez, 'D…</t>
  </si>
  <si>
    <t>Sán, Pedro</t>
  </si>
  <si>
    <t>Pedro Sán</t>
  </si>
  <si>
    <t>ta su cabil­ do , al contado 4860, y 7290 al fiado : las que pertenecen en el mismo pue­ blo, el de Arrióla , Audicana y Zaiduendo á la capellanía de D. Pedro Sán­ chez de Vicuña , al contada 15708 , y 23 562 al fiado: diferentes heredades en el lugar de Mezquía, que pertenecen á su cabildo, al contado 2992 , y 4488 al fiado:…</t>
  </si>
  <si>
    <t>San-Juan</t>
  </si>
  <si>
    <t>xtra­ ordinarias que le sucedieron en la marcha de su exército desde el Escorial á Madrid, así por ia primera dispersión de las tropas del 'mando del general San-Juan que venían unidas á su exército , co­ mo la que luego tuvieron las suyas. — III. Que se'haga pública si* inocencia y buen proceder en los papeles públicos, y se…</t>
  </si>
  <si>
    <t>Sánchez</t>
  </si>
  <si>
    <t>s , como fueron de improviso , se pusieron al principia en confusión. Con todo, les oficiales cons-guieron reunirlos en Hayna , y capitaneados por el General Sánchez , obligaron pronto á los franceses á retirarse ai Fuerte de Saa Geróniinimo , que está á tiro de canon de la ciudad. La pérdida de los patriotas se reduce á 100 …</t>
  </si>
  <si>
    <t>542</t>
  </si>
  <si>
    <t>ses en la conquista y rendición de la plaza de Sto. Domingo ; y que son siempre acreedores á la gratitud española-, por los auxilios que prestaron al general Sánchez y á sus valientes soldados. La isla de Sto. Domingo fué la cuna de la dominación de Espa­ ña en el Nuevo-Mundo y aunque es verdad que últimamente, es decir , en …</t>
  </si>
  <si>
    <t>Sánchez, Antonio</t>
  </si>
  <si>
    <t>Antonio Sánchez</t>
  </si>
  <si>
    <t>Rafael de Buque , 20 rls. para dos pares de medias» D. Antonio Ahumada, 10 rls. para un par de medias» D. Tomas de Rueda , 30 rls* para dos mochilas. D. Antonio Sánchez , 10 rls. para un par de medias» D- Francisco Barrios , 30 rls. para dos mochilas» D. Matias García , 20 rls. para dos pares de medías. D. Antonio Ximensz, 20…</t>
  </si>
  <si>
    <t>Sánchez, José</t>
  </si>
  <si>
    <t>José Sánchez</t>
  </si>
  <si>
    <t>Pedro Yoldi. — D, José Unceta. — D. Fermín de Lusarreta. ~ D. Eulogio Espi­ no.— D. Francisco Barraneche. — D. Cipriano Iturraldé.— D. To­ mas Yoldi.—D. José Sánchez. — D. Luis Manuel de Benavides. — D. Lorenzo de Sobrecosas/ — D. Manuel Cárrica. — D. Venancio</t>
  </si>
  <si>
    <t>Sánchez, José Carlos</t>
  </si>
  <si>
    <t>José Carlos Sánchez</t>
  </si>
  <si>
    <t>nguas, racionero en la de Talavera : para una ración en la colegiata de Xerez de la Frontera , vacante por fallecimiento de D. F rancisco Saborido, á D. José Carlos Sánchez , capellán de coro en la misma iglesia : para las tres capellanías de coro vacan­ tes en la catedral de Granada por fallecimiento de D. Juan Ada­ me, de D…</t>
  </si>
  <si>
    <t>Sánchez, Josef</t>
  </si>
  <si>
    <t>Josef Sánchez</t>
  </si>
  <si>
    <t>­ ses de infantería con caballerías de carga para llevar co­ mestibles de la villa de Jaraiz: que dentro de ella fueron acometidos por el subteniente D. Josef Sánchez que habla acudido con su partida, y los arrojó del pueblo batiéndoles en su retirada, que dirigieron por el punto en que estaba apostado el referido Comandante:…</t>
  </si>
  <si>
    <t>Sánchez, Josef García</t>
  </si>
  <si>
    <t>Josef García Sánchez</t>
  </si>
  <si>
    <t>risdicción, v-' - ; Por el ayuntamiento D. Lorenzo de la Torre , regidor, D.Tomas Recio, idem, y Francisco de Huerta, escribano, , Por su iglesia Dr. D. Josef García Sánchez, abad de la santa iglesia magistral, Dr. Don Manuel Padura, canónigo, y D. Josef de la Peña y Padura, ídem. • Por su empleo Drt,p. Serafín Domínguez, ten…</t>
  </si>
  <si>
    <t>Sánchez, Juan</t>
  </si>
  <si>
    <t>Juan Sánchez</t>
  </si>
  <si>
    <t>Don cura ocultarlo y hacer del esforzado y del Escolástico Litran y D. Cayetano Pastera; valiente , pues por la desconfianza ninguno para tenientes á D. Juan Sánchez , D. Nar­ se atreve á decir francamente su sentir al ciso García, D. Juan Casamayor y Don vecino., Jaime Gailt; y para subtenientes á D. Bar­ ,, Los disturbios y…</t>
  </si>
  <si>
    <t>rjs y los dos corsarios francesas. — Tuvo cuidado también Mon­ tes desdo iui principio de enviar á D. Juan Sánchez todos los im­ presos de las proclamas recibidas de España , las gazetas do Puer­ to-llico , y ias noticias do ios progresos de nuestras armas, para que corriesen en Sto. Domingo , y alentasen aquellos naturales, …</t>
  </si>
  <si>
    <t>res, 300 fusiles ,66 artilleros con 2 oficiales , y 4 banderas.—■ Habiendo escrito el mismo al general de los negros Henrique Cristóbal , para que si D. Juan Sánchez le pedia algunos auxi­ lios de armas se los facilitase , y se pagarían después , lo executó Cristóbal pronta y generosamente , remitiéndole 300 fusiles cordpleto…</t>
  </si>
  <si>
    <t>Sánchez, Juliam</t>
  </si>
  <si>
    <t>Juliam Sánchez</t>
  </si>
  <si>
    <t>or la intrepidez y ardor con que les acometió dicho alférez. Tercera.. Moralita de Ciperez 25 de setiembre. A distancia de una legua de Ledesma atacó D. Juliam Sánchez a una partida de 20 caballos franceses , que conducian 4 prisioneros nuestros en caballerías menores ; los libertó , mató 8 franceses , hizo 2 pri­ sioneros , …</t>
  </si>
  <si>
    <t>Sánchez, Matías de Soto</t>
  </si>
  <si>
    <t>Matías de Soto Sánchez</t>
  </si>
  <si>
    <t>ra dos mochilas y un par de medias» P. Josef Acosta , roo rls. para 6 mochilas y unas medias» D. Josef Antonio Amigo , 10 rls. para un par de medias. D. Matías de Soto Sánchez , 60 rls. para quatro mochilas» D- Josef Ruiz , ao rls. para dos pares de medias. Doña Eduarda Ordoñez , 10 rls. para dos pares de medias» Doña María B…</t>
  </si>
  <si>
    <t>Sánchez, Rafael</t>
  </si>
  <si>
    <t>Rafael Sánchez</t>
  </si>
  <si>
    <t>egimiento núm. i.“ mas bien que el deber, inspira á todos ha­ de la brigada Irlandesa, á los subtenientes cia vuestra sagrada persona. Para colmo :de D. Rafael Sánchez, D. Julio Dufort Dannuestra dicha nos falta ver cumplido uu so­ tist, D. Pedro Felnai, D. Francisco Meor, lo deseo. Aunque tengamos el dulce con­ D.’Pedro Cros…</t>
  </si>
  <si>
    <t>Sánchez, Sebastian</t>
  </si>
  <si>
    <t>Sebastian Sánchez</t>
  </si>
  <si>
    <t>D. Severo Bernal Moran; Don Segundo Revilla; D. Pedro Revilla* D. Narciso Holgado; D. Juan Solís Martin ; D. Valentín Perrino ; D. Ignacio Burguillo; D. Sebastian Sánchez; D. Juan Manuel Bazan; D. Marcelo Meló. Del estado eclesiástico secular y regular asistieron D. Angel Josef de Huecas j cura de S. Martin; D. Pedro Villafañ…</t>
  </si>
  <si>
    <t>Sánchez, Vicente</t>
  </si>
  <si>
    <t>Vicente Sánchez</t>
  </si>
  <si>
    <t>Ciudad-Rodrigo: á D. Rafael Cano, capitán del regimiento del General, y á los ayudantes de campo D. Ramón Rey, teniente de dragones de la Reyna , y á D. Vicente Sánchez , capitán del regimiento de Lovera. El general de la primera división: i los ayudantes generales Don Francisco Albanel y D. Salvador Valencia , el primero , c…</t>
  </si>
  <si>
    <t>Sancho</t>
  </si>
  <si>
    <t>ión de los negocios mas graves de tronomía, en las matemáticas, en la medi­ Ínteres general. En los mismos concilios se cina y en la botánica. El Re¡ D. Sancho, el fulminaban penas severísimas contra los se­ Gordo, que se vió precisado á pasar desde ñores que se atreviesen á cometer alguna León á Córdoba para ponerse eo manos…</t>
  </si>
  <si>
    <t>Sanciago</t>
  </si>
  <si>
    <t>nte del bal¡. , trador del guardamuebles de la corona, ha llr.n de infantería ligera núra. i.° visitado tod..s las habitaciones. Se han pues­ Arias ( D. Sanciago), gobernador interino^ to reverberos en los patios y en las calles. Santander. En fin, tanto lo interior como lo exterior Ariza ( D. Nicolás ) , ayudante del baral j…</t>
  </si>
  <si>
    <t>Sandels</t>
  </si>
  <si>
    <t>a y 4® hombres, que tomaron pecie de víveres y artículos de comercio. una posición al rededor de Soedermsole. El La derrota del exército austríaco en general Sandels se adelantó; y aunque no­ Wagram ha encendido el odio entre los ge­ tó que las circunstancias eran ya favorables nerales austríacos, que se echan unos á otros i …</t>
  </si>
  <si>
    <t>Sandely</t>
  </si>
  <si>
    <t>. Stockohno ii. de Noviembre* S, M. ha recibido un oficio del general en xefe del exdrcito de Finlandia, en que venia incluso e-i siguiente parte del coronel Sandely. „ Luego qae se dio por espira­ do el armisticio, que se celebró entre los ejércitos , llegó un oficial ruso despachado por el teniente general Jutochkoff con el…</t>
  </si>
  <si>
    <t>Sandoval, Ignacio</t>
  </si>
  <si>
    <t>Ignacio Sandoval</t>
  </si>
  <si>
    <t>ondelet. “Confor­ me á la orden que recibí de ponerme en marcha con las guerrillas de mi mando , sostenidas por la caballería que tenia á sus órdenes D. Ignacio Sandoval, comandante del regi­ miento de Calatrava, y de dirigirme hacia Talayera de la Revira para llamar la. atención délos enemigos por este ladOj mientras el gene…</t>
  </si>
  <si>
    <t>Sangr, Josef Navarro</t>
  </si>
  <si>
    <t>Josef Navarro Sangr</t>
  </si>
  <si>
    <t>nte, de D, Pidro de Estála , de D. Francisco Gallardo Ferna ndez , del Duque de ; Mahon , de D. Francisco Xavier Duran, de D. Francisco Amorós , y de D. Josef Navarro Sangr án , cuyos sugeto?, por notoriedad, son tenidos y reputados por reos de alta tracción. II. Qualquíéra de eilos que sea aprehe ndrdo será entrega­ do como …</t>
  </si>
  <si>
    <t>Sangran, Josef Navarro</t>
  </si>
  <si>
    <t>Josef Navarro Sangran</t>
  </si>
  <si>
    <t>ública , de economía y órdetten nuestras provincias; hemos decretado y decretárnos lo siguiéfit¿t ^ - articuló d.® Nombramos ; ai mariscal &lt;íe&gt; cSmpo D. Josef Navarro Sangran, nuestro consejero de Estado, por presidente dé nuestra real chan­ cille ría áeVal lado lid, y nuestro comisario "regio en aquella provincia y la* de Av…</t>
  </si>
  <si>
    <t>de Toledo, quía , que por el efecto de vuestro mismo nombrados por decreto de 25 de julio del carácter, por la diversidad de intereses dé año último; D. Josef Navarro Sangran , ma­ vuestras provincias, por las enemistades y riscal de campo de los reales exércitos, y las venganzas, inundaría la España de san­ presidente de la …</t>
  </si>
  <si>
    <t>uos al marques de propietarios y de vecinos agricultores, ga­ las Amarillas , á D. Josef Justo Salcedo, á naderos é industriosos. La ribera del Tajo, D. Josef Navarro Sangran y al conde de que ahora contiene quizás mas de 20 millo­ Casa-Valencia. nes de árboles, ¡ quinto no rendiría si sus Nuestro ministro secretario de Estad…</t>
  </si>
  <si>
    <t>Sanjurjo, Josef</t>
  </si>
  <si>
    <t>Josef Sanjurjo</t>
  </si>
  <si>
    <t>. Mau-in, coronel de infantería de línea, co­ dama .fiscal -de lo civii'de ¿la- misma chan-' ronel del regimiento de infantería Real Ex- «¡Hería; y á D. Josef Sanjurjo fiscal de l» trargeto; i D«i.. Hcuccie, mayor del,mis-. criminal. ÉN LA IMPREMIA REAL</t>
  </si>
  <si>
    <t>Santa-María, Juan</t>
  </si>
  <si>
    <t>Juan Santa-María</t>
  </si>
  <si>
    <t>D. Juan Antonio Melón y D. Andrés Benito Quintana xefes de di­ visión; á D. Juan Joséfde Aspiróz, D. Cristóbal Fernandez'Cuesta, D. Serapio Saviñac , D. Juan Santa-María , D. Josef Antonio Ibarrela., D. Vicente Perez de Hervás, D. Manuel Celestino Carirasco., D. Juan Burand y D. Juan Teran oficiales primeros ; á ©. Mateo Brav…</t>
  </si>
  <si>
    <t>Santana, Pedro</t>
  </si>
  <si>
    <t>Pedro Santana</t>
  </si>
  <si>
    <t>caxas de guerra que se le han cogido.” ,, Luego que volví á reunir mis tropa*, y formarlas en buen drden, despaché un trozo de caballería al mando de D. Pedro Santana, que hacia de segundo^comandante del cuerpo, para que fuese al alcánce del general Fer­ rand , y de los que le acompañaban; y a poco mas de una legua hallaron q…</t>
  </si>
  <si>
    <t>Santatíder, Mariano</t>
  </si>
  <si>
    <t>Mariano Santatíder</t>
  </si>
  <si>
    <t>do D. Benito Semprun, D. Josef Gómez de Villavedon, D. Josef Sacrista* y D. Tomas Moyano. Por la Ciudad D. Vicente Martin Gómez, D. Cayetano Alonso , D. Mariano Santatíder, D. Simón Durango, D. Francisco Berzosa y D. Tomas Rodríguez. Por S. Basilio P. D. Ignacio Reyezo y P. D. Luis Estevez. Por los Agustinos recoletos Fr. Leo…</t>
  </si>
  <si>
    <t>Santiago</t>
  </si>
  <si>
    <t>40© reales de sueldo. Para de Estado. la de Navarra á D. Mateo Barbería, con 22© En nuestro palacio de Madrid á 26 de reales. Para la de Guipúzcoa á D. Santiago agosto de 1809. Ay ala , con igual sueldo. Para la de Ala­ D0.1 Josef Napoleón por la gracia de va á D. Joset Fernandez -de la Cuesta , con Dios y por la constitución…</t>
  </si>
  <si>
    <t>ra no perecer, sino que se requiere Carrasco, ex-religioso de S. Cayetano , y tranquilizar los ánimos, disipar los temores D. Pedro del Rio; capellán D. Santiago y las preocupaciones , atraer los cultivado­ Delgado, ex-religioso escolapio, y médico res errantes por los bosques á sus hogares D. Luis Guarnerio. y á sus heredade…</t>
  </si>
  <si>
    <t>rador gene­ miento ruím. 2.0, infantería de línea. ral de correos. Mna de la Roca ( D. Joset Ramón). 1-Iid.lgo ( D. Gregorio), subteniente del M lot (D. Santiago), escudero del Rei. regimiento de ioíantería iúm. i.° Monncret , tnav or de granaderos de la guar­ H u^o ( D. Josef Leopoldo), general. dia real. Hugo (D. Luis), com…</t>
  </si>
  <si>
    <t>) , sargento z.° del bata­ Vilfalba ( D. Luis ) , espitan del regimiento llón nú n. i.®, infantería ligera. núm. 2.0 , infantería de línea. Romero" ( D. Santiago ) , consejero de Es­ Villaytorre (D. Josef) , regente de la au­ tado. diencia de Aragón. Roederer, coronel y edecán del Reí. Virselet, tirador del regimiento Real Ex…</t>
  </si>
  <si>
    <t>é Es¡tado. — Angulo ( D. Francisco ) id. — Aranza ( D. Blas ) id. — Ardanaz (D. Cleto) comandante del batallón de infantería ligera, núm. 1. — Arias (D. Santiago) gobernador interino de San­ tander. — Ariza ( D. Nicolás) ayudante del batallón de in­ fantería ligera , núm. 1. — Arribas ( D. Francisco) arcediano de Burgos. — As…</t>
  </si>
  <si>
    <t>isión en el ministerio de Hacienda.—Mena (D. Tomas) granadero del regimiento núm. 2 infantería de línea. — Mila de la Roca (D. Jo­ sé Ramón). — Miot (D. Santiago) escudero del rey. — Monnerer , mayor de granaderos de la guardia real. — Montehermoso (marques) primer gentilhombre de cámara. — Monval, xefe de esquadron de la art…</t>
  </si>
  <si>
    <t>afael) cabo pri­ mero del regimiento núm. 1 infantería de línea. — Romero (D. José) sargento segundo del batallón núm. 1 infantería ligera. — Romero (D. Santiago) consejero de Estado. — Roederer, coronel y edecán del rey. — Rutiman (D. José) comandante de batallón del regimiento real extrangero.” “Sait (D.Luis) intendente de …</t>
  </si>
  <si>
    <t>dan encargados de Mata Linares (D. Benito), consejero de la execucion del presente decreto. = Firma­ Estado. do = EL REI. = Por S. M. el gran Maurin (D. Santiago), coronel del regi­ canciller de la Orden duque del Campo de miento Real Extrangero. A Unge.” I EN LA IMPRENTA R1AX.</t>
  </si>
  <si>
    <t>Santisteban, Rafael</t>
  </si>
  <si>
    <t>Rafael Santisteban</t>
  </si>
  <si>
    <t>ue habiendo anochecido dispuse la retirada á ocupar la posición de Dos-Barrios que me es­ taba destinada. El esquadron de cazadores francos que manda D. Rafael Santisteban , se me reunió en la inmediación de Ocaña,</t>
  </si>
  <si>
    <t>SantMarc, Felipe</t>
  </si>
  <si>
    <t>Felipe SantMarc</t>
  </si>
  <si>
    <t>, y lo* terribles efectos de las granadas enemigas» peto nu ft-o General» acompañado del Teniente General D. Juan O-NeyÜe, y de! Mariscal* de Campo &gt; D. Felipe SantMarc se metió entre ellas con el sable en la mano» y usan­ do de toda su energía» valor y severidad tan precisa en aquel caso, logró poner el órden que dió la vict…</t>
  </si>
  <si>
    <t>Santmez, Francisco</t>
  </si>
  <si>
    <t>Francisco Santmez</t>
  </si>
  <si>
    <t>D-. Sebastian dé Tor­ res. — Di Luis García Puerta. — D: Manuel Quintana.D. Ig­ nacio Gardoqui. — Marques de Villamonte. — D Bernardo Gon­ zález. -— D. Francisco Santmez. — D. Luis A ntentas.—&lt; D. Fer­ nando.Gninan-—D. Luís de Qm*~- D.-Félix Colon. — D.Ma*-</t>
  </si>
  <si>
    <t>Santos, Francisco Ruano</t>
  </si>
  <si>
    <t>Francisco Ruano Santos</t>
  </si>
  <si>
    <t>Por la ciudad de Toledo. El Sr. conde de Lerena; D. Manuel Bernardo Roldan; D. Julián Gon­ zález Saez; D. Gil Antonio Laguna; D. Diego María Gallar; D. Francisco Ruano Santos; D. Joan Manuel Martínez;. D. Santiago Felipe Barrundos y D. Félix Lorenzo Sanz. Comunidades. R. P. Fr. Domingo Coronado y Fr. Josef Sánchez , dominicos…</t>
  </si>
  <si>
    <t>Sanz, Alexandro</t>
  </si>
  <si>
    <t>Alexandro Sanz</t>
  </si>
  <si>
    <t>ort Dannuestra dicha nos falta ver cumplido uu so­ tist, D. Pedro Felnai, D. Francisco Meor, lo deseo. Aunque tengamos el dulce con­ D.’Pedro Crosal, D. Alexandro Sanz; y á suelo de ser presididos por el excelente D: Miguel de Belgrano y González comipríncipe que nos gobierna y que nos, ama, iado- de guetra de segunda cíate. …</t>
  </si>
  <si>
    <t>Sanz, Juan</t>
  </si>
  <si>
    <t>Juan Sanz</t>
  </si>
  <si>
    <t>uan de la Cruz García Carpizo, procurador del comuh. De agregados á junta de municipalidad concurrieron D. Ignacio de Ta­ pia, conde de Valdeláguila; D. Juan Sanz; D. Severo Bernal Moran; Don Segundo Revilla; D. Pedro Revilla* D. Narciso Holgado; D. Juan Solís Martin ; D. Valentín Perrino ; D. Ignacio Burguillo; D. Sebastian …</t>
  </si>
  <si>
    <t>Sanz, Ventura María</t>
  </si>
  <si>
    <t>Ventura María Sanz</t>
  </si>
  <si>
    <t>Gpmez Maestro; D. Diego Antonio Esmeras; D. Antonio López Nuñez y D. Miguel Alonso Conejo. Diputación de S*. Ildefonso. D. Manuel Matías de Jáuregui; D. Ventura María Sanz; D. Francisco Paula Guarnerio y D. Luis Guarnerio. Diputación de Villafranca del Vierzo. D. Simón Rentería y Reyes Abad; D. Francisco Villegas y D. Josef A…</t>
  </si>
  <si>
    <t>Saornil, Gerónimo</t>
  </si>
  <si>
    <t>Gerónimo Saornil</t>
  </si>
  <si>
    <t>correos que pasasen de su gobierno , traté de reu­ nir tropa de infantería y caballería , y convidándoseme á ir Á esta acción el segundo Quadriliero D. Gerónimo Saornil con la compañía de á caballo de su mando, y con el nú­ mero de infantes que á bien tuviese darle , accedí á coLfiirle este servicio, y á medio dia de ayer áat…</t>
  </si>
  <si>
    <t>tado sus órdenes tanto los individuos de su 'compañía como el sargento primero de tiradores Francisco Martin , y lo* soldados de su partida. El mismo D. Gerónimo Saornil ha entregado en esta Plaza treinta y dos prisioneros, y trece caballos de los to­ mados á los mismos, y ha hecho igual entrega de catorce fusiles , seis cara…</t>
  </si>
  <si>
    <t>Sar, Manuel Juez</t>
  </si>
  <si>
    <t>Manuel Juez Sar</t>
  </si>
  <si>
    <t>e guiente : ser útiles ,1 'os médicos y cirujanos , que articulo i. Nombramos regidores de muestran también un celo infatigable. la villa de Madrid á D. Manuel Juez Sar­ miento, D. Francisco Bringas, D. Diego Amberes iS de setiembre. Barreda y D. J *scf Carranza. S. A. el prín. ipe de Pontecorvo ha vi­ art. 11. Nuestro minist…</t>
  </si>
  <si>
    <t>Sarasa, Miguel</t>
  </si>
  <si>
    <t>Miguel Sarasa</t>
  </si>
  <si>
    <t>504</t>
  </si>
  <si>
    <t>504 NOTICIAS DE ESPAÑA. Lérida 14 de noviembre. — Noticias de los progresos del céle­ bre patriota D. Miguel Sarasa , comandante de los tercios del par tido de Jaca. — D. Miguel Sarasa , comandante de los tercios! del partido de Jaca , sorprehendió en las cercanías de Ayerve á fines de octubre , una parti</t>
  </si>
  <si>
    <t>de ellos á la ciudad de Jaca paTa reunirse con y00 que allí habia de la frontera, y ata­ car el punto de S. Juan de la Peña, que de su orden cu­ bría D. Miguel Sarasa con y00 hombres, al que reforzó al momento con 300, quienes después de una larga resk-</t>
  </si>
  <si>
    <t>. Hemos tenido también nosotros algunos muertos y heridos. Nuestras tropas han ocupado sus anti­ guas posiciones. Lérida 7 de diciembre. Respuesta de D. Miguel Sarasa, comandan­ te militar en las montañas del N. de Aragón á la carta de D.Juan Azeon en la qual este mal español, residente en Jaca , solicitaba pervertir su patri…</t>
  </si>
  <si>
    <t>Saravia, José</t>
  </si>
  <si>
    <t>José Saravia</t>
  </si>
  <si>
    <t>de Artillería : al coronel D. Matías de Ferrar, y al de igual clase agregado al estado mayor D. Joaquín Ovalle : á los capitanes D. Francisco Masia, D. José Saravia , D. Antonio Loriga y D. Joaquín Domínguez, y al subteniente D. José de Ponte. Finalmente recomiendo muy particularmente á V. E. á los maríscales de campo , mi se…</t>
  </si>
  <si>
    <t>Saravia, Manuel</t>
  </si>
  <si>
    <t>Manuel Saravia</t>
  </si>
  <si>
    <t>cinco plazas que resultan vacantes en la sala de Corte nombra­ mos á D. Diego Cosío, fiscal de la chancillería de Valladolid, á D. Fran­ cisco Remon, D. Manuel Saravia, D. Laureano Jado y D. Domingo Ri­ co Villa de Moros, abogados del colegio de la corte; y para la fiscalía de Valladolid, que resulta también vacante, á D. Dom…</t>
  </si>
  <si>
    <t>Sardina, Vicente</t>
  </si>
  <si>
    <t>Vicente Sardina</t>
  </si>
  <si>
    <t>una descarga para pasar por baxo los tiros á otro punto , y en efecto s.olo pasó , y pudo conseguir la derrota de los fortificados en el cementerio. D. Vicente Sardina desde su peligrosa posición á cuerpo descubierto , hizo un vale­ roso frente á los que disparaban desde las ventanas. — De parte á parte fué excesiva la defens…</t>
  </si>
  <si>
    <t>os y otro caballo : de mi partida el sargento Saturnino , como llevo relacionado , perdió la mano izquierda , y un caballo el mejor de la partida : á D. Vicente Sardina le hirieron un caballo y un soldado — Ayer al anoche­ cer se nos din aviso por uno de Málaga , que habian venido 180 franceses á Fuente-la-higuera .- luego se…</t>
  </si>
  <si>
    <t>Sarnaniego, Juan Nieto</t>
  </si>
  <si>
    <t>Juan Nieto Sarnaniego</t>
  </si>
  <si>
    <t>oriosamente su sangre, y poco después di6 su vida por la defensa de la patria. “Suplico á vmd., decía en sus últimos alientos al consultor de cirugía D. Juan Nieto Sarnaniego , suplico á vmd. sea intérprete de mis últimos sentimientos con nuestro general D. Mariano Alvarez, diciéndole que yo le fe­ licito y doy la mas cordial…</t>
  </si>
  <si>
    <t>Sass</t>
  </si>
  <si>
    <t>opas ocuparon la for­ fe asista. El ministró "danés Mr. de Blomé taleza de; Isakschi. salé hói de aqui para asistir en nombre dé ,,E1 13 de agosto el general Sass tomó su corte á las negociaciones de paz que se posesión de la fortaleza de Tultscha, que los tienen con la Suecia én Friederichsam, y tarcos habían abandonado tamb…</t>
  </si>
  <si>
    <t>Ndm. 336. 1469 GAZETA DE MADRID DEL VIERNES x.« DE DICIEMBRE DE 1S09, RUSIA. ruso de la partea do acá del Danubio. El • .í general Sass ha enviado á Pctersburgo los Petersburgo 11 de octubre. gefes y principales habitantes de Ismail.” La gazeta ministerial de hoi contiene lo Estas brillantes victorias han sido cele­ siguiente…</t>
  </si>
  <si>
    <t>Sastre, Juan Francisco</t>
  </si>
  <si>
    <t>Juan Francisco Sastre</t>
  </si>
  <si>
    <t>de Tala-jera. rs. rn« D. Patricio Wkeman , del comercio de esta ciudad. . . 1,500 I). Juan Brull , dueño del café de la calle de Francos. . . 400 Dr. D. Juan Francisco Sastre, vecino de Toledo.............. 200 2,100 LIBRO. Nueva canción patriótica dirigida á los soldados españoles con motivo de las victorias de los austríaco…</t>
  </si>
  <si>
    <t>Satis, Alonso</t>
  </si>
  <si>
    <t>Alonso Satis</t>
  </si>
  <si>
    <t>ud ia línea que ocupaba la división para evitar algún desorden si le ha­ llaba : todo Señor, ha contribuido á elogiar el mérito de este buen oficial. D. Alonso Satis,capitán y comandante de la artillería que hacia su servicio en la batería de los ingleses, en el centro, se portó con heróyeo valor, hacienda terrible destrozo a…</t>
  </si>
  <si>
    <t>Saturnino</t>
  </si>
  <si>
    <t>La pérdida por nues­ tra parte consistió en 6 heridos, y 3 caballos muertos de D. Ma­ riano : de Berdugo 4 heridos y otro caballo : de mi partida el sargento Saturnino , como llevo relacionado , perdió la mano izquierda , y un caballo el mejor de la partida : á D. Vicente Sardina le hirieron un caballo y un soldado — Ayer al …</t>
  </si>
  <si>
    <t>Sauveur</t>
  </si>
  <si>
    <t>l camino real por Peggau. Hasta ahora se han traido ya 789 prisioneros , y entre ellos al general de brigada Pouget, al xefe de batallón y ayu­ dante general Sauveur , al mayor Serrier , y otros 11 oficiales. El general conde 1’Espine , destacado á conservar la comuni­ cación con Laibach , participa que el conde Orsich había …</t>
  </si>
  <si>
    <t>Savari</t>
  </si>
  <si>
    <t>uque de Paque los exótcitos rusos habían formado una dua; el mariscal Lannes , duque de Mora— línea en toda la extensión de las fronteras tebello; el general Savari» duque de Robide Hungría, para suspender la comunicación go; los generales Lauriston, Walter, Grandentre los estados austriacos y la Turquía. jean &amp;c. ; muchos se…</t>
  </si>
  <si>
    <t>Savarí</t>
  </si>
  <si>
    <t>as ha dado nuevas pruebas de lá dre imperial y benigno unos hermanos nues­ intrepidez que le caracteriza. tros, gue le han sido arrancados. No hai El general Savarí, duque de Robigo, nada que nos resista; nadie hai que pueda con tanta voluntad como denuedo , ha atra­ vencernos desde que nos unimos para nues­ vesado muchas vec…</t>
  </si>
  <si>
    <t>e incógnito el dia de su santo también tropas del gran ducado de Berg. las calles deVíena,que iba acompañado del Escriben de Copenhague con fecha del general Savari y del duque de Friul, y que 16 lo que sigue : S. M. quedó mui contento de los vienes es, ,, Quatro de nuestras lanchas cañoneras, los quales se esmeraron á porfía…</t>
  </si>
  <si>
    <t>Savary</t>
  </si>
  <si>
    <t>por ei bergantín español Continencia que ha entrado ayer en este puerto, zr Ha habido cartas de México, y se dá por irmy cierto, que habiendo ido el General Savary, quien tantas veces engañó á nuestro amado Rey Fernando para llevarlo á Bayona , á entrar desde la América del norte por la Provincia de Texa , fue descubierto por…</t>
  </si>
  <si>
    <t>Saviñac, Serapio</t>
  </si>
  <si>
    <t>Serapio Saviñac</t>
  </si>
  <si>
    <t>co Perez del Rivero, D. Juan Antonio Melón y D. Andrés Benito Quintana xefes de di­ visión; á D. Juan Joséfde Aspiróz, D. Cristóbal Fernandez'Cuesta, D. Serapio Saviñac , D. Juan Santa-María , D. Josef Antonio Ibarrela., D. Vicente Perez de Hervás, D. Manuel Celestino Carirasco., D. Juan Burand y D. Juan Teran oficiales prime…</t>
  </si>
  <si>
    <t>SAXONIA</t>
  </si>
  <si>
    <t>ese una expedición por trarió' habrán de sufrir las mayores des­ mar, y al mismo tiempo destacó algunas gracias.** tropas de tierra á las órdenes d„l general SAXONIA. Pantschuiicdsew. El mayor general Burssack recibió ta nbie» orden de pasar el Kuban í Júresete 18 de agosto. la cabe ¿a de dos colunas. Dícese que hai gran desu…</t>
  </si>
  <si>
    <t>Schauruth</t>
  </si>
  <si>
    <t>El parecía posible resistir; pero bien presto 5 de este mes un cuerpo de 8 á io© hom­ ha conocido lo que puede la fuerza del va­ bres, mandado por el general Schauruth, lor, guiado por un gefe tan valiente y tan intentó acercarse á Ja plaza ; pero fue re­ hábil como nuestro ministro de la Guerra el chazado con una pérdida con…</t>
  </si>
  <si>
    <t>Schekler</t>
  </si>
  <si>
    <t>tropas que ha de mar­ en la Pomerania prusiana. char á las orillas del lago de Constanza , á Según las noticias recibidas por mar se las órdenes del general Schekler, y cubrir reúnen en el fondeadero de las islas de la parre meridional del reino de Wurtem- Aiand muchos beques rusos, y se cree que berg; este cuerpo está formad…</t>
  </si>
  <si>
    <t>Schelli, Miguel</t>
  </si>
  <si>
    <t>Miguel Schelli</t>
  </si>
  <si>
    <t>mcl á D. Guillermo Balestriet; para mayor los mandones de Sevilla no se atreven á ma­ á D. Miguel Schelli; para capitanes á Don nifestarse tan abiertamente. El desaliento Miguel Chacoletti, D. Luis d’Elorme y es ya general, por mas que cada uuo pro­ T&gt;. Luis Gregorio; para ayudantes á Don cura</t>
  </si>
  <si>
    <t>Scheschukow</t>
  </si>
  <si>
    <t>precios mui subidos. el Drina. Esperamos con ansia las particu­ El Emperador ha promovido al grado laridades de aquella jornada. de vice-almirante al capitán Scheschukow, No les ha sido igualmente propicia la comandante del puerto de Riga, y al mayor snerte á los servios en las márgenes del general Sablin comandante del de Sv…</t>
  </si>
  <si>
    <t>Schill</t>
  </si>
  <si>
    <t>rzas. Pero no son los exércítos del Austria los únicos funda­ mentos de nuestras buenas esperanzas. La insurrección dél Tiro! , y las operaciones del Coronel Schill son ciertamen­ te síntomas de un espíritu y patriotismo mucho mas pode­ roso $ y no podemos menos de esperar que el exemplo de los españoles sea imitado por los h…</t>
  </si>
  <si>
    <t>cree, qiie ha reunido, muchos miles de partidarios, y se halla po­ niendo aquella isla en el mejor estado dé defensa. .. Gotemburgo 30 de mayo.zzRl- coronel Schill ha hecho pa­ sar á la isla de Rügen 4000 hombres, y toda la isla so halla ya baxo sus órdenes.» Hambürgo %de siguiente noticia acaba de lle­ gar por una estafeta..…</t>
  </si>
  <si>
    <t>a decretado una conscripción de 400$ hombres , lo qual •tiene alborotado aquel país. Ya se quejan de la conducta del Rey de Prusia, pues dicen que el coronel Schill obra con su consentimiento. El dia 20 no tenían tropas en Perpiñan, ni las esperaban. Villanova de Sítjes 9 de julio.: Los que vienen de la costa de levante asegu…</t>
  </si>
  <si>
    <t>Schilt</t>
  </si>
  <si>
    <t>ren bombardear la ciudad y Bergopzoom 12 de agosto. Las esqua- la escuadra rusa que hai en el puerto. El drillas inglesa, francesa y holandesa se han general Schilt, comandante de Trieste, y avistado delante de Batz. Hasta ahora no el almirante ruso hacen preparativos para ha habido sino algunos combates entre Las rechazar qu…</t>
  </si>
  <si>
    <t>Schmid</t>
  </si>
  <si>
    <t>1413</t>
  </si>
  <si>
    <t>, Gluck, Feuerbach , Sehnanberr, Malblanc y Hofacker: Berlín 14 de octubre. entre los historiadores á Gattercr, Spíttler, El almirante Tschitschagow, ministro Schmid , Breyer , Muller , Eichhorn y Schde la marina del imperio de Rusia , ha llega­ ioezer; y entre los inventores célebres los do aquí de Petcriburgo, y pasa á Fran…</t>
  </si>
  <si>
    <t>Schncider</t>
  </si>
  <si>
    <t>ldes , acostumbrados al pios hogares. robo, al pillage y á la ociosidad, no quiere ,, Rntre tanto se estaba preparando con oir hablar de sumisión. El doctor Schncider, ostentación en los puertos de Inglaterra que hasta ahora ha sido su oráculo, está se­ una grmde expedición; pero sea que nues­ guro de ser víctima de su luror.…</t>
  </si>
  <si>
    <t>Schnei</t>
  </si>
  <si>
    <t>res, que es­ taban allí cerca, las traxeron á remolque Schafkousa 31 de julio. hasta ponerlas baxo el fuego de las baterías Escriben de Lindan que el doctor Schnei- de la costa , las quales, habiendo hecho al­ der, comisario austríaco en el Voralberg, gunas descargas, obligaron á los ingleses á ha hecho í los generales comand…</t>
  </si>
  <si>
    <t>Schneider</t>
  </si>
  <si>
    <t>entregan por todas partes las tinado contra el Voralberg. armas. . . . _ Ayer tarde pasó par aqui el famoso, Hai aqni en la actualidad cerca de 24VJ doctor Schneider, ge fe de los insurgente* hambres de tropa». Ayer pasó revista el del Voralberg , el qual va conducido á la, duque de Dantzick al cuerpo de tropas del ciudadela …</t>
  </si>
  <si>
    <t>noche ha llegado aquí con pueblo y Flesinga. Nuestras baterías hacen una escolta de tropas wurtembergnesas el un fuego terrible contra estos buques. doctor Schneider, caudillo de los insurgen­ Parece que el enemigo no está en áni­ tes del Voralberg. Hoi ha sido trasladado mo de intentar un desembarco en la isla de por orden d…</t>
  </si>
  <si>
    <t>e Znaim. alli. Dícese que el señor mariscal MacdoBAVIERA. uald, duque de Tarento, va á mandar en el Tirol. Augsburgo 2j? de agosto. Se asegura que el doctor Schneider ha sido trasladado de la fortaleza de Asperg Tenemos en el dia la satisfacción de po­ á Ulma. der anunciar al público que está ya-entera- La guarnición de Linda…</t>
  </si>
  <si>
    <t>ndo, despees de evacuarla Gallitzia, ha entrado en Bohemia c-on un cuerpo de 123 hombres. Stuttgardt 12 de agosto. Ayer tarde pasó por aquí el famoso doctor Schneider, xefe de los insurgentes del VVoralberg, el qual va conducido á la ciudadela de Asperg en calidad de reo de estado. (Gazeta de Madrid 2 de setiembre) (1).. Trie…</t>
  </si>
  <si>
    <t>ntre todos pertenecen al cuerpo de ingenieros f los Soberanos en cuyos estados se encon­ de artillería. traban. Los príncipes apjyab,n sus preten­ El doctor Schneider, después de haber siones en el exemp'o d 1 sistema adoptado sufrido varios interrog rtorios, ha solicitada unánimemente en el imperio germánico des­ y conseguid…</t>
  </si>
  <si>
    <t>e setiembre.’ En Zurich ta sociedad de beneficencia Continúan con suma actividad los in­ ha abierto una escuela en donde los ciegos terrogatorios del doctor Schneider. Se dice pobres podrán aprender urt oficio de prime­ que en el papel que ha hecho , todas sus mi­ ra necesidad. El número de estos desgracia­ ras han sido mui p…</t>
  </si>
  <si>
    <t>oralberg, están en el día no tengan despachos ó cédulas de servicio, completamente probadas por confesión del deberán salir hoi mismo á mas tardar de doctor Schneider y de otros gefes de los Vtena y de sus arrabales, y marchar á insurgentes. S trasburgo. ,,Se asegura que S. M. el Emperador de La corte de Austria se ha vestido…</t>
  </si>
  <si>
    <t>Schnetdo</t>
  </si>
  <si>
    <t>su voluntad, pero únicamente en aque­ libremente dirigiéndose por Memmingen y llos objetos, para los quales las ha acorda­ At. gkburgo i Bohemia. El doctor Schnetdo la dieta. Si el Rei obrare contra esta re­ der está prisionero. gla, el consejo de Estado, baxo la pena de responsabilidad, le hará las representaciones REINO DE …</t>
  </si>
  <si>
    <t>Schramm</t>
  </si>
  <si>
    <t>zanja pasase un batallón, el qual se oficial dejaran bizarría, y de muchísimo mé­ apoderó de una poterna, y ia abrió introdu­ rito. Ha sido herido el general Schramm, ciéndose por ella en la ciudad. Quantos in­ y muerto en un ataque el coronel del 14.0 tentaron hacer resistencia fueron muertos á de cazadores. Por punto genera…</t>
  </si>
  <si>
    <t>Schu</t>
  </si>
  <si>
    <t>Wrede. Algunas tropas francesas, ma. Hemos cogido 22 piezas de cañón , qua- los depósitos de los regimientos bávaros y tro banderas y un almacén. Ei general Schu- los batallones de reserva ocuparán las posi­ walovv ha recibido en recompensa la cruz ciones de la división Deroi. sie 5. VVcíodimir de segunda clase. Se están leva…</t>
  </si>
  <si>
    <t>Schulthe</t>
  </si>
  <si>
    <t>o-r en sU$ estados, ínterin se daba una provi­ lieí * de Bivicra etí el Tirol meridional , el dencia definitiva con respecto á ellos. De allí cé.ebre profesor Schulthe, de Iuspruck. &amp;c.; á poca se supo que S. M. 1. había cedido al losquales han sido presentados ai Reí, que Rei'de YVírremberg el antiguo principado los ha recib…</t>
  </si>
  <si>
    <t>Schusteck</t>
  </si>
  <si>
    <t>combates , que han ocurrido en este intermedio, han demostrado de nuevo el espíritu y valor que anima á las tropas de S.M. En Frente de Krems pasó el general Schusteck á la derecha del Danubio con una división, é hizo prisio­ neras algunas tropas Francesas. El enemigo procuró ven­ garse con un Fuerte cañoneo contra la ciudade…</t>
  </si>
  <si>
    <t>Schuwalow</t>
  </si>
  <si>
    <t>estra guarnición ha quedado ahora re­ raciones del exército que obra contra la Sue­ ducida al j.° regimiento de infantería westcia. El t8 de abril el general Schuwalow faliana , á dos compañías de artilleros westse encaminó de Tornea hacia Pitea, en don­ falianos, y á algunos centenares de solda­ de entró el 26. La coluna del…</t>
  </si>
  <si>
    <t>Schwalow</t>
  </si>
  <si>
    <t>erpo enemigo,de 8co hcm-, ridad en el número de enemigos. bres ha sido hecho prisionero en Ostrobot- Se teme que el pequeño cuerpo del te­ nia por el general Schwalow, que le ha niente coronel Furumark haya sido cortado» cogido también 12 piezas de cañón. y caído en poder del enemigo. El señor de Speranski, consejero de Es­ t…</t>
  </si>
  <si>
    <t>Schwerin</t>
  </si>
  <si>
    <t>e una familias tu rías. proclama dirigida por el mariscal duque de Hace poco que ha vuelto á Suecia el D antzick á los habitantes , en la qual se di­ general Schwerin , enviado aquí por el du­ ce entre otras cosas lo siguiente: que de Sudermania, sin haber logrado au­ „ No volvereis jamas á la dominación diencia del Emperador…</t>
  </si>
  <si>
    <t>Sckill</t>
  </si>
  <si>
    <t>se ha pre­ sentado en Secbufen , Ost?*botirg , Arendaa , y Salzwedei. Leipzich 8 de mayo.—-I#a ciudad de Wittemberga ha re* ci b id o una visita del Coronel Sckill al frente de $00 hombres* Brttnswlck 10 de mayo.—Sckill ha tenido ya na comba­ te cerca de Dvlendorf. La guarnición de Magdeburgo se au­ menta coa tí opas holandes…</t>
  </si>
  <si>
    <t>Scoot</t>
  </si>
  <si>
    <t>to á Washington. Dorsei, abogado de Mr. Wood, pidió que Del iG. El martes pasado se presentó se le concediese algnn tiempo para exami­ una demanda al juez Scoot pidiendo la li­ nar las leyes; y dixo que estaba pronto á bertad de siete hombres presos y detenidos probar que estos hombres eran desertores por el xerif, en virtud …</t>
  </si>
  <si>
    <t>Scuart</t>
  </si>
  <si>
    <t>en acusan hoi de ha­ berlos engañado, diciéndoles que tenia na ESPAÑA. gran partido en el pais. Lo que hai de cier­ Madrid j/ de agosto. to es que el general Scuart se ha indispues­ to abiertamente con el príncipe Leopoldo, Extracto de las minutas de la secretaría hijo segando del Rei Fernando, en pí cor­ de Estado. tísimo ti…</t>
  </si>
  <si>
    <t>Sé, Francisco de Süveíra Pinto SEVIDLA</t>
  </si>
  <si>
    <t>Francisco de Süveíra Pinto SEVIDLA Sé</t>
  </si>
  <si>
    <t>citos de Nsy y de Soulr. „ Dios guarde á V. JE. muchos año?» = A. las &amp; de ía¡ mañana del 23 de mayo d^ iSog.zzzManuel de Urfa y L¿s&amp;* «o^=Excmo. Sr. D. Francisco de Süveíra Pinto» SEVIDLA» Sé han recibido por conducto dé la mayor confianza fas; siguientes copias de algunos partes de nuestros Generales e» Gaíicia , los quales…</t>
  </si>
  <si>
    <t>Se, Francisco Xavier Vidarte</t>
  </si>
  <si>
    <t>Francisco Xavier Vidarte Se</t>
  </si>
  <si>
    <t>Walonas, D. Félix Palacios, D. Pedro han fallecido 11727; y se han celebrado Cendeja, É&gt;. Joaquín de Osés , D. Matías 3337 matrimonios. de la Torre, D. Francisco Xavier Vidarte Se ha hecho en todo el reino con la y D. Fermín de Labastida. Ganó el premio mayor celeridad posible el alistamiento de extraordinario de instrucción …</t>
  </si>
  <si>
    <t>Se, Pedro Calzan</t>
  </si>
  <si>
    <t>Pedro Calzan Se</t>
  </si>
  <si>
    <t>. -- D. Andrés Nuñez de Haro.-~ D. Mateo Cortés.— D. Cos­ me Laredo. — D. Francisco López Pelegrin. — D. Salvador Cam­ pillo. — D. Eusebio Ximenez. — D. Pedro Calzan Se ha publicado en Lóndres un quaderno con el título de Suggestions on the cortes (Ir) Su autor es el Lord Holland; caballero tan (1) Lleva este epígrafe Los súb…</t>
  </si>
  <si>
    <t>Se, Rampa</t>
  </si>
  <si>
    <t>Rampa Se</t>
  </si>
  <si>
    <t>de 'AVribas, arce­ mé dirigió en seguida á S.M.el discurso diano titul arde Bú rgos; D. Manuel Frayle- que sigue : _-yPrior, canónigo penitenciario; D. Rampa „Se»or : Tenemos la honra de presen­ María de Adurriaga , canónigo; D. Vicen­ tar á V.-M, 4 nombre de. la ciudad de Bur­ te Ramírez, ídem; y D.,Martin Ramírez gos y su c…</t>
  </si>
  <si>
    <t>Sebassí</t>
  </si>
  <si>
    <t>no podría renunciar estas ventajas qué Consuegra; pasó revista al qnarto cuerpo goza muchos siglos há¿ sin descargar ióbré de exército mandado»por el general Sebassí misma un golpe fatal. Los sentimientos y tíani, y acaba de llegar á esta villa, donde los deseos de S. M. van de acuerdo con las Se halla lioi el quartel general…</t>
  </si>
  <si>
    <t>Sebastian</t>
  </si>
  <si>
    <t>s-! íes, 53002 francos : el mariscal Lannes , duque deMontebello, unja parte de los bailiages de Wilhíemsburgo, Harburgo y Winsen , 50001 francos: el general Sebastian! el bailiage dé Bleckede, 40015 francos; y el general Junot, duque de Abrantes , el de Agatenburgo, 3 5 008 francos de renta. GR AN BRETAÑA. . Londres 8 de dic…</t>
  </si>
  <si>
    <t>r I&gt;. Rodrigo Rsqueltne. .......... \ Exc. Siñor D. Luis Funes y Salido. 1ae r Exc. Señor D. Francisco Castañedo. *****.... *.••••••«•'•• j7Xe. Señor D. Sebastian de . Jócano. León.... i . y Exc. Señor Baylio Fr. D. Antonio Váidas. ........................ \ Exc. Señor Vizconle de Quíntaniila. Mallorca..................fBxc. …</t>
  </si>
  <si>
    <t>reales órdenes que versan en el lle de AtoGha, como cumplidores de la capellanía fun­ asunto se admitirán ; cuyas ventas se cxectitarán por dada por D. Sebastian de ia Cruz y.Agramóme, tasa­ ante el escribano del número D. Ramón García Xidas una y otras en 339038 rs. Quien quisiere hacer menez. postura á ellas acuda, á la nom…</t>
  </si>
  <si>
    <t>dad, y cuya elección nos habia indicado D. Tomas de Moría, marques de Branci— la opinión pública;• reuniendo en fin á los forte , marques Caballero y D. Sebastian antiguos consejeros de Estado, destinados á -Piñuela; y de los nombrados por S. M. pa­ componer una parte del senado constitucio­ ra su consejo de Estado marques de…</t>
  </si>
  <si>
    <t>os Camaristas de Castilla: y ha nombrado S. M. para , esta Comisión á D. Manuel de Lardizabal, al Con­ de del Pinar , á D. Josef Pablo Valiente, y á ,D. Sebastian ,de Torres. Y para la comisión particular que ha £de conocer de to­ dos los asuntos eclesiásticos y religiosos relativos á las Or­ denes militares , concursos &gt; ele…</t>
  </si>
  <si>
    <t>la, izquierda del rio bian ocupado coii gran parte de sus fuerzas; Guadarrama y 1 do% leguas de Toledo, El empezaron su defensa con un fuego de fusi­ general Sebastian! tuvo orden de replegarse lería .'mni'vivo y sostenido ; pero la divi­ á marchas forzadas sobre Toledo, donde sión del general Lapísse los acometió con tal</t>
  </si>
  <si>
    <t>e 7 del cor­ „ El exército enemigo, reunido asi, se riente (i): componía del cuerpo del mariscal Víctor, „Poco despnes de haber sido rechaza­ del-del general Sebastian! y de 7 á 8® hom- do el enemigo, que habia empleado todas brer df la guardia de Josef Bonaparte, y-de sus tropas, principió á retirarse en buen la guarnición d…</t>
  </si>
  <si>
    <t>Sebastián</t>
  </si>
  <si>
    <t>lón del regimiento núm. 2.0, infantería Pereira (D. Luis Marcelino), de la junta de línea. civil. Salcedo ( D. Basilio ), ¿apellan de honor. Piñuela (D. Sebastián), consejero de Estado. Tascher, coronel y edecán del Rei. Pitel, gefe de esquadron de los caballos li­ Tellechea (D. Antonio), gefe de esqua­ geros de la guardia re…</t>
  </si>
  <si>
    <t>, regimiento infantería de línea núm. 1.—Perez (D. Antonio) sargento pri­ mero del mismo. — Pereyra (D. Luis Marcelino) de la junta ci­ vil.—Piñuela (D. Sebastian) consejero de Estado. — Pitel, xefe de esquadron de los caballos ligeros de la guardia real. — Ponce de León (D. Juan) coronel de infantería. — Porlier (D. Antonio)…</t>
  </si>
  <si>
    <t>a, que Pardo (D. Benito) i nuestro ministro en tenemds á la vista, hai varios artículos que Rusia. nos parece oportuno ¡asertar en nuestra gaPiñuela (D. Sebastian ), consejero de Es- aétáu ‘ t ' ■ . tado. ■ ,, Gazeta del gobierno del jueves 7 de Salcedo (D. Josef Justo), teniente general diciembre de 1809. . de nuestra real a…</t>
  </si>
  <si>
    <t>Sebastiana</t>
  </si>
  <si>
    <t>hubiesen réuni- del lugar dcAlcabon , la atacó-y arirolló do. El 4.* cuerpo del exército mandado por con tál’precipitacion , que este general,-sorel general Sebastiana, se hallaba en la Man­ prehéndidO , -no tuvo tiempo de formar su cha , situado,^ orillas del rio Guadiana ¿ en línea , y. hubo de replegarse con" él mayor obse…</t>
  </si>
  <si>
    <t>Sebastiani</t>
  </si>
  <si>
    <t>rador ha pasado hoi revista mas allá dél puente de •Segóvii' áq todas las tropas reunidas del cuerpo del mariscal duque de iDantzick, La división del general Sebastiani ha salido para Talavera! de la Reina. 1 L? división polaca del general Valence es hermosísima. - *&lt;- : - Continúa en todas partes la disolución de. las tropas…</t>
  </si>
  <si>
    <t>311</t>
  </si>
  <si>
    <t>rio de Estado Mariano Luis de Urquijo:" Los duques del Infantado y de Alborquerque y que estaban eñ Consue­ gra y en Madridejos, no, han. esperado al general Sebastiani, que recibió or­ den de marchar contra ellos. Este supuesto exército, qúe el enemigo habia exagerado tanto para mantener en la provincia de la Mancha el espír…</t>
  </si>
  <si>
    <t>18 de abril de 1809</t>
  </si>
  <si>
    <t>Gaceta de Madrid n.º 108</t>
  </si>
  <si>
    <t>s ar­ Estos son , Señor , nuestros votos y tículos , si la relación tan extraordinaria pu­ nuestros sentimientos,que manifestamos sin­ blicada por el coronel Sebastiani sobre los ceramente á V. M. la primera vez que te­ sucesos de Egipto no hubiera llamado la nemos el inapreciable honor de acercarnos atención de sus ministros…</t>
  </si>
  <si>
    <t>atacado por los pola­ tal. S. M. I. quiere dar nuevamente á cono­ cos del cuerpo de exército que manda el cer con esto los sentimientos de que estaba general Sebastiani, y ha quedado casi del penetrado quando se decidió á la guerra: todo destruido. sentimientos que serán invariablemente el Se acaba de recibir la noticia posit…</t>
  </si>
  <si>
    <t>oles gran, núme­ del Interior, el señor Schimmelpenninck, ro de prisioneros , y se ha unido ya al cuer­ antiguo gran pensionado de la Holanda, po del general Sebastiani. con su familia; el señor barón de Strogo- Del 11. El i.°y 5.0 cuerpos han alcanza­ noff , ministro plenipotenciario de S. M. I. do mas allá del puente del Ar…</t>
  </si>
  <si>
    <t>ó ” con el arma al brazo , y sin responder con ninguna facilidad á sus movimientos. »&gt; un solo tiro al terrible fuego que les hu­ ,, El REI mandó al general Sebastiani ndamos: nada les detiene.” que atacase ; las divisiones alemana y pola­ ,,Puede decirse, sin que parezca exa­ ca se dirigieron contra la izquierda de la lí­ ge…</t>
  </si>
  <si>
    <t>ue determinado para el amanecer de este día por eí exér­ cito aliado , consiguió reunirse en las inmediaciones de Tokdo con él cuerpo de exército del general Sebastiani , y 83 hombres de la guar­ dia del rey intruso , quien íomó d orando de todo él, ayudado de los mariscales Jourdaa y Vietor , y dd general Sebastiani. Conside…</t>
  </si>
  <si>
    <t>á las de Sebastiani las tropas que conduxo de Madrid, y un des­ tacamento del cuerpo del mariscal Víctor , con las quales as­ cendía el exército del general Sebastiani á 283 hombres. Su in­ tención era atacar el cuerpo de Venegas; pero este se retiró á Sierra-Morena, y el coronel Lacy al frente de su vanguardia, acometió á un…</t>
  </si>
  <si>
    <t>, se echó de ver que el enemigo se Labia retirado á Sta. Olalla á la una de la noche, y de allí á Torrijos, probablemente para reunirse al cuerpo del general Sebastiani.” “ No he podido seguir al enemigo corno hubiera deseado, em; atención á los pocos medios de transporte que hay en España. In­ cluyo la copia de una carta que…</t>
  </si>
  <si>
    <t>España, n« dexando en Toledo mas que un cuerpo de 20 hombres.” “ El exército enemigo reunido así se componía del cuerpo del mariscal Víctor, del del general Sebastiani, y de 7 á 83 hombres de la guardia de José Bonaparte , y de la guarnición de Madrid: mandaba el todo José Bonaparte, teniendo á sus órdenes á los mariscales Ví…</t>
  </si>
  <si>
    <t>, sino qiSe consfernadbs por ral Morlet, y que haya sido herido el general^ la pérdida que habjan sufrido en los dias 17 y Boulet. Por ío que hace al general Sebastiani, 38, abandonaron a. Talavera y tedas sus posi­ los habitantes todos de Madrid son testigos abo­ ciones. Pero io que hai de extraño y singular nados de la fals…</t>
  </si>
  <si>
    <t>Sébastiani, Horacio</t>
  </si>
  <si>
    <t>Horacio Sébastiani</t>
  </si>
  <si>
    <t>«nenie me tratáis , seguró cíe' la consideración que os pro-feso. Sevilla .24 de abril de 1809, = Gaspar de ^-ovellanoj.e=i 4¿xcmo. Sr. General Horacio Sébastiani.3J o 3 Al Exento♦ Sr* D. Francisco de Saavedra* „ Señor : Os halláis animado por el amor de la patria; querefe su felicidad; estáis Jéxos de desear padezca por mas …</t>
  </si>
  <si>
    <t>Sec</t>
  </si>
  <si>
    <t>dirigirse á su destino. El Emperador, conservación de su honor, á su soberanía y por su decreto de 17 de diciembre del mis­ á su dignidad? Soi señor ministro Sec.—Fir­ mo ano, ha declarado los buques, cuya mado, el conde Champacsi." bandera hubiese sido violada, degradada ó atropellada, como no pertenecientes á aque­ ESPAÑA. …</t>
  </si>
  <si>
    <t>Seguier</t>
  </si>
  <si>
    <t>haber sido reemplazados por cade­ cios.’’ nas. Vuestras legiones, Señor v volverán á pasar al otro lado del l’irineo: Ja anarlqnía Discurso del señor barón Seguier, primer que oprime á Sevilla ha temblado al oir presidente del tribunal de Apelación. vuestras nuevas hazañas. Esta furia alimen­ Seííor i tada por la Inglaterra v…</t>
  </si>
  <si>
    <t>Segundo</t>
  </si>
  <si>
    <t>r.............. x x bién los donativos que U caridad de los par­ Mariscal primero.................. x x ticulares hiciete p.ra socorro de los pobres. Mariscal Segundo.................. X X La sociedad esta autorizad i para recibir di­ Maestro armero.................... 1 chos donativos sin necesidad de dar parte a ________ Si…</t>
  </si>
  <si>
    <t>Segura, Andrés</t>
  </si>
  <si>
    <t>Andrés Segura</t>
  </si>
  <si>
    <t>er, á D. Juan Bautista Cortiella , racionero de la misma: para la.de la metropolitana de Tarragona, vacante por fallecimiento de D. .Josef Urquía , á D. Andrés Segura, cura párroco en aquella ciudad; y para otra canongia vacante de la propia iglesia, por muerte de D. Buenaventura Canals, á D. Joaquin Tarin , vicario general d…</t>
  </si>
  <si>
    <t>Segura, Germán</t>
  </si>
  <si>
    <t>Germán Segura</t>
  </si>
  <si>
    <t>antilla, los de di­ visión D. Domingo Gali y D. Josef Falcon, el del Quartel Maestre del Exército de observación D, Manuel de Plaza, y el Subteniente D. Germán Segura, con seis Or­ denanzas de Carabineros Reales; y con efecto , á tiro de pistola del principal trabajo de los enemigos, pude afian­ zar mis determinaciones , para…</t>
  </si>
  <si>
    <t>Sehill</t>
  </si>
  <si>
    <t>as noticias que acerca de ios progresos de este hombre célebre se han. po« dido recoger, son las siguientes. PRÜSIA. Berlin 29 de abril* El . célebre Coronel Sehill ha partido de aquí inopinada­ mente con su regimiento , sin tener órden para ello. Hamburgo 8 de mayo.—Parece cierto que Sehill partió do Berlin coa 500 hambres ,…</t>
  </si>
  <si>
    <t>o para una feliz revolución que restablezca la independencia y la libertad en el norte de la Europa. „ Hablo de la extraordinaria - determinación del coronel Sehill ; hombre ciertamente el mas á propósito para la empre­ sa en que se ha empeñado. Porque al mismo tiempo que to­ dos ¡os demás commdantej militares tienen perdida …</t>
  </si>
  <si>
    <t>Seimont</t>
  </si>
  <si>
    <t>ata francesa la 2&gt;/¿r, de'44 cañones, que salió hace poco de Lorient para la Martinica. Se rindió á; la fragata inglésala Ametistede;36:caño­ nes, su capitán Seimont, deíspuesdeuncoiiibatc mili reñido, que duró des’f de las 10 hasta las 12 y media :de lai noche. La Tetis quedó enteramente^ desarbolada y acribillada, con 135 h…</t>
  </si>
  <si>
    <t>Semprun, Benito</t>
  </si>
  <si>
    <t>Benito Semprun</t>
  </si>
  <si>
    <t>ila, de Arévalo y de Aranjuez. Los diputados de la ciudad de Valladolid son Por la Chancillería D. Manuel Cambronero y D. Diego Cosío. Por el Cabildo D. Benito Semprun, D. Josef Gómez de Villavedon, D. Josef Sacrista* y D. Tomas Moyano. Por la Ciudad D. Vicente Martin Gómez, D. Cayetano Alonso , D. Mariano Santatíder, D. Simó…</t>
  </si>
  <si>
    <t>itud. Madrid jz de abril. Ultimamente, para que á la mayor bre­ El REI ha venido en nombrar al doc­ vedad se verifiquen las benéficas intenciones tor D. Benito Semprun , canónigo de la ca­ de S. M., mandamos que todos los habitan­ tedral de Valladolid , para el deanato de la tes de estas provincias, de qualquier clase y misma…</t>
  </si>
  <si>
    <t>Señalado</t>
  </si>
  <si>
    <t>e pretexto á tantos crímenes. ,-i que V. EE. mismos1/ que conocen el arte _r. jS&gt;Encanecjdo.qn^flwrvjcio militar, y de la guerra, la superioridad del soldado Señalado con algunas cicatrices honrosas, veterano sobre el visoño, el corto número .presumí? qpe,V. EJ§¡.0d¡sUnularáii la .fran­ de estos que las prqvtaciás no sometida…</t>
  </si>
  <si>
    <t>Senarmont</t>
  </si>
  <si>
    <t>luego que se vieron cortados, mudaron de direccion, y quisieron abrirse paso por un desfiladero, donde a la s .zon estaba metido con su artillería el general Senarmont con una pequeña escolta; pe-</t>
  </si>
  <si>
    <t>Séptimo, Fernanda</t>
  </si>
  <si>
    <t>Fernanda Séptimo</t>
  </si>
  <si>
    <t>a 93 EDICTO En nombre del Rey, nuestro. $r. ? D. Fernanda Séptimo , y de la Junta Suprema Central Gubetüatiya del Rey no ; el Tribunal de seguridad pública &amp;c. Españoles: El enemigo de ía humanidad, N^poleon Bowaparte, ha conocido ya que no puede conquista</t>
  </si>
  <si>
    <t>Séptimo, Fernando</t>
  </si>
  <si>
    <t>Fernando Séptimo</t>
  </si>
  <si>
    <t>as de mano, bombas rodadas, barriles fulminantes , y demás mixtos que los defensores les arrojaban , coronándose de gloria las armas de nuestro amado Rey Fernando Séptimo. En dia tan dichoso, y quando no resonaban otras voces que las del triunfó conseguido , la suerte, ó por mejor decir , la casualidad , vino á amargar algún …</t>
  </si>
  <si>
    <t>Sepúlveda, Josef</t>
  </si>
  <si>
    <t>Josef Sepúlveda</t>
  </si>
  <si>
    <t>Sepúlveda ; por ayudante de grabador á D. Josef Macazaya; por primer discípulo á D. Isidro Merino; El día 2 del corriente pasó el REI ¿ por segundo á D. Josef Sepúlveda ; por ter­ visitar la real biblioteca: exXninó S. M. to­ cero á D. Tomas Cruz; por quarto á Don do el edificio, deteniéndose particularmente Podro Sepúlveda ,…</t>
  </si>
  <si>
    <t>Seria</t>
  </si>
  <si>
    <t>eberes ho¡ en su eminente dignidad. S. E. ha pro­ de un estado neutral con la mas e'crupulo— nunciado con este motivo en la cámara de sa imparc¡alid.&lt;d. Seria preciso desterrar del los representantes un discurso, del qual ci­ mundo la sinceridad , si pudn se parecer du­ taremos los pasages mas notables. dosa ¿ nuestros contem…</t>
  </si>
  <si>
    <t>Serra, Josef</t>
  </si>
  <si>
    <t>Josef Serra</t>
  </si>
  <si>
    <t>o si­ con igual sueldo. Para la de Segovia á guiente : D. Jaime Amar, con el propio sueldo. Para ,,Por consecuencia de la supresión de la de Toledo á D. Josef Serra, con el mis­ las órdenes de religiosos en nuestros domi­ mo sueldo. Para la de Guad.ilaxara á Don nios , tolas las comunidades de religiosas, Gerónimo Paez Xarami…</t>
  </si>
  <si>
    <t>Serrano, Francisco</t>
  </si>
  <si>
    <t>Francisco Serrano</t>
  </si>
  <si>
    <t>569</t>
  </si>
  <si>
    <t>quadrou del regimiento de caballería de perseguidores dé Anda­ lucía á D. Felipe Sorronriegui, sargento mayor del mismo, cuer­ po , y esta resul'.a á D. Francisco Serrano, capitán del de Calatrava. Atendiendo á los singulares méritos,servicios y distinguida ca­ lidad de D.Benito Sotelo de Novoa, señor jurisdiccional de Santás…</t>
  </si>
  <si>
    <t>Serrano, Geróniinu</t>
  </si>
  <si>
    <t>Geróniinu Serrano</t>
  </si>
  <si>
    <t>os y en la forma que prescribe cHeho de­ dó Doña María de León, y tierra de los herederos de creto. Quien quisiere hacer postura acuda ante dicho se­ Doña Geróniinu Serrano, con el canon de 3 fanegas y ñor el insinuado dia i, de doce á una de su mafrana: 8 celemines de -ebada, que regulada esta á razón de 30 con prevención de…</t>
  </si>
  <si>
    <t>Serrano, Manuel</t>
  </si>
  <si>
    <t>Manuel Serrano</t>
  </si>
  <si>
    <t>o­ renzo de Lezana , escribano de ayuntamiento, dos casas : la una en la pri­ mera vecindad de la calle de la Correría de dicha ciudad, en que habita D. Manuel Serrano, perteneciente á las obras pías que administra el ilustre cabildo de beneficiados de ella, por la cantidad de 16940 rs.de las veinte y dos rentas al contado, y…</t>
  </si>
  <si>
    <t>Serrano, Martin</t>
  </si>
  <si>
    <t>Martin Serrano</t>
  </si>
  <si>
    <t>ncisco Vera , 20 rls. para, dos pares de medias. D. Manuel Martin , 10 rls. para un par de medias. D. Josef Perez , 20 rls. para dos pares de medias. D. Martin Serrano, 10 rls. para un par de medias. D. Juan Tomates , 10 rls. para un par de media?. D. Bernardo García , lo rls. para un par de medias. D. Francisco Rodríguez , 1…</t>
  </si>
  <si>
    <t>Serraríer</t>
  </si>
  <si>
    <t>, al que cargado del despacho el marques deTraver- concurrieron SS. EE. el ministro de lo In­ se , comandante de la esquadra del mar Ne­ terior, y el mariscal Serraríer , gobernador gro, á cuyo fin ha llegado ya áesta capital. de la casa de los] inválidos , y comandante La esquadra inglesa que anda cruzando de. la guardia nac…</t>
  </si>
  <si>
    <t>Serras</t>
  </si>
  <si>
    <t>io del lu­ gar de Ronco para proteger su retirada. Quedaron entre muertos , heridos , y prisioneros mas de aoS hombres. Sa­ lió herido el Virey, y el General Serras fue hecho pri­ sionero con muchos coroneles y oficiales de principal gra^* duacion. El regimiento italiano de los Vélites rindió las armas ; mas fue forzado despu…</t>
  </si>
  <si>
    <t>Sesma, Alexandro</t>
  </si>
  <si>
    <t>Alexandro Sesma</t>
  </si>
  <si>
    <t>. P. D. —-Excrno, Sr. —— Por un olvidó natural lie de­ xado. de recomendar al capitán y subteniente del regimiento de Santiago D. Valentín Martinez y D. Alexandro Sesma, dignos de elogio por lo bien que se portaren.” “■Lo que traslado á V. E. para que se sirva elevarlo k, noticia de S» M. — Dios guarde á V. E* muchos anos.Qua…</t>
  </si>
  <si>
    <t>Sevaroli</t>
  </si>
  <si>
    <t>ulos de Trieste y cartas particulares de Viena la noticia de Fiume. También han llegado á esta ciudad haberse prolongado el armisticio. Se aguarda el general Sevaroli, que ha sido nombrado de un instante á otro el ajuste de la paz. comandante de la Carniola, y los señores Escriben de Viena qne el cuerpo aus­ Fargues , Cochele…</t>
  </si>
  <si>
    <t>Seve</t>
  </si>
  <si>
    <t>ndezas y títulos que no se hayan con­ drés Piñuela , D. Víctor Moreno, D.Juan cedido 6 confirmado por S. Al. reinante, Ribera, D. Francisco González, D. Seve— y d la confiscación de los bienes embar­ riño Riezu y D. Eusebio Heros oñciales gados d las personas fugitivas y que segundos; á I&gt;. Juan Esteban Trlcio ar­ residen en …</t>
  </si>
  <si>
    <t>SEVILLA, Antonio Comél</t>
  </si>
  <si>
    <t>Antonio Comél SEVILLA</t>
  </si>
  <si>
    <t>do en Madrid.” “ Dios guarde á V. E. muchos anos. Quartel general de la Ca­ rolina 22 de agosto de 1809. —Excmo. Sr. —Francisco Venegas. — Excmo. Sr. D. Antonio Comél ” SEVILLA : EN LA IMPRENTA REAL.</t>
  </si>
  <si>
    <t>SEVILLA, PalafQxJ</t>
  </si>
  <si>
    <t>PalafQxJ SEVILLA</t>
  </si>
  <si>
    <t>con toda stencion en el único ienguage qne conozco, y asegurarle mis sagrados deberes. Qua^tíl general de Zarago­ za 22 de diciembre de 1S08. =s 22/ General PalafQxJ* SEVILLA. La Suprema Junta Central Gubernativa del Reyno * eis nombre del Rey nuestro Señor D. Fernando VII (que Dios guarde} acaba, de recibir por extraordinari…</t>
  </si>
  <si>
    <t>Seymour</t>
  </si>
  <si>
    <t>órden de embarcarse. La Tetis, fragata francesa, apresada por la Ametista, será comprada por el Gobierno, y se alistará para serví* ció. El intrépido capitán Seymour será su comandante. 10 de dicho, es Ayer se celebró junta de los habitan*1 tes de esta capital en London Tavern , en virtud de avi­ so público , para abrir subsc…</t>
  </si>
  <si>
    <t>que no tardará en Ir á Trieste á embarcarse. GRAN-BRETAÑA. Plimouth 13 de abril. r "Esta maSaoa lia llegado aquí la fragata Ametisto, de 3® callones, capitán Seymour, de -cruzar delante de Bur­ deos, á cuya altura avistó el 6 del corriente á la fragata francesa la Niemen de 44 cañones y ,300 hombres de tri­ pulación; la dió c…</t>
  </si>
  <si>
    <t>Shearman</t>
  </si>
  <si>
    <t>uiente ? oficial tí, y quedaban en los hospitales 8600 „ Los derechos de la guerra podían au&lt;enfermos. torizar á S. E. el general Peiri, comandan­ El capitán Shearman y otro* mucho* te del Ti rol italiano , á tratar con el mayor empleados en los quarteles de Harwich van rigor á esta ciudad tomada por asalto; pe­ á embarcarse …</t>
  </si>
  <si>
    <t>Sherbreoh</t>
  </si>
  <si>
    <t>onaparte que las calamidades que su baxeza atrae á sus súbditos. La mayor parte de los transportes que tienen á bordo la» tropas de la expedición del General Sherbreoh han entrado en los puertos del mediodía de Irlanda: luego que se reúna* todos marcharán á su destino* Parece que la expedición proyectada contra la Martinica</t>
  </si>
  <si>
    <t>Sherbroke</t>
  </si>
  <si>
    <t>á Santa­ en los .espíritus. Ha sido inmenso el con— ren, en donde va á establecerse el qoartel curso de ciudadanos de todas clases que ha general. El general Sherbroke tiene el man­ asistido á la parada qne ha habido el dia do. del exército por. ausencia de-lord We- del aniversario de la coronación de S. M. lhngton.” { Mornin…</t>
  </si>
  <si>
    <t>Sherbrook</t>
  </si>
  <si>
    <t>amente de Ingla­ y de ellos resulta que puede suplir á la le­ terra con algunas tropas al mando del ma­ ña para la fundición de metales , lo qual yor general Sherbrook ha sido dispersada proporcionará incalculables ventajas. Se han enteramente por una tempestad. El general dado á Dios solemnes acciones de gracias Sherbrooke h…</t>
  </si>
  <si>
    <t>Sherbrooke</t>
  </si>
  <si>
    <t>cha de la linea convenida, y el suyo toda la izquierda. La vanguardia inglesa permaneció esta noche éá Casalegas y sus alturas, al mando del teniente general Sherbrooke; pero debía retirarse también de la parte de acá del citado rio, como lo verificó en la mañana del 27. Es de advertir , que habiéndose retirado al amanecer dé…</t>
  </si>
  <si>
    <t>la española, Ja artillería enemiga. En el mis­ ino instante que esto sucedía, el enemigo atacó vivamente el centro del exército ingles que mandaba el general Sherbrooke : el ataque fué recibido con exiraordinaria gallardía , y batido el enemigo por tedala di v¡son inglesa á bayoneta calada j pero la brigada de guardias in­ gl…</t>
  </si>
  <si>
    <t>neral Cuesta fue atacada cerca de Tor­ rijos , y tuvo que retroceder : el general se retiró con su exérci­ to á la orilla izquierda del Alberche : él general Sherbrooke con­ servó su posición en Casalegas , y el enemigo la suva. en. Sta. Olalla.” “Era evidente que el enemigo proyectaba dar una acción ge­ neral , para la qual …</t>
  </si>
  <si>
    <t>se retiró con su exér­ que la nuestra. Todas las relaciones hacen cito á la orilla izquierda del Alberche. El subir su pérdida á 10® hombres. Los ge­ general Sherbrooke conservó su posición en nerales Lapisse y Morlet Fueron muertos, Cazalegas, y el enemigo la suya en Santa y Sebastiani y Boulet heridos (3). Olalla. ,, Siento…</t>
  </si>
  <si>
    <t>Sherhrooke</t>
  </si>
  <si>
    <t>a del 24, hi­ ce solamente .pasar el Alberche en Casalcgas á 2 divisiones de infantería , y á una brigada de caballeril, baxo el mando del te­ niente general Sherhrooke. Mi intención era conservar mis comu­ nicaciones con el general Cuesta , y con el cuerpo de Sir R. VVil­ son , apostado en Escalona.” “ El general Venegas no …</t>
  </si>
  <si>
    <t>Siempre</t>
  </si>
  <si>
    <t>Gaceta de Madrid n.º 49</t>
  </si>
  <si>
    <t>rovin­ cias que hubiese otorgado su poder, aunque se halle presentado y verifi­ cado en la secfetaría i tendrá 'facultad de asistir por sí á la justa general Siempre que acuda á dicha oficina en tiempo hábilesto es, antes del tér­ mino preftxadó para la exhibicion deacc iones y poderes, á reeoger el que hubiére otorgado, entr…</t>
  </si>
  <si>
    <t>Sierra, Lázaro</t>
  </si>
  <si>
    <t>Lázaro Sierra</t>
  </si>
  <si>
    <t>339</t>
  </si>
  <si>
    <t>entos de los franceses por la parte de Herencia, que estos se disponían á baxar á Villafranca. á exigir raciones ,.dispuso que el-teniente de Montesa D. Lázaro Sierra, con-30 hombres-pasase á situarse en el 'camino de Camuñasá Villafranca,. por donde el enemigo luego que fuese amenazado; por el frente debía seguir su retirada…</t>
  </si>
  <si>
    <t>Sierra, Manuel</t>
  </si>
  <si>
    <t>Manuel Sierra</t>
  </si>
  <si>
    <t>no pa­ Don Josef Napoleón por la gracia de ra cura ecónomo de la parroquia de S Mar­ Dios y por la constitución del estado , REI tin de esta corte: á D. Manuel Sierra r&gt;ara de las Españas y de las Indias. teniente de S. I&gt;d¡-fonso su anexo; y á Don «Nombrarnos por rector de la casa en­ Francisco Tomas Torrecilla para teniente…</t>
  </si>
  <si>
    <t>Sierra, Ramón</t>
  </si>
  <si>
    <t>Ramón Sierra</t>
  </si>
  <si>
    <t>esa de Pontejos.—D. Bernardo Mozo Rosales.—D. Juan Antonio Quin­ tana.--D. Juan Orni.—Í); Jacinto Velandia.—D. Juan Noriega.—D. Manuel de Echaverria.—D. Ramón Sierra.—D.Antonio Guillelmi.— Duque de Rivas.— Conde de Sástago.—D. José Obispo.—D. Ig­ nacio Lopez.-=-'D. Vicente Lisa.—D. Narciso Meneses.— D. Fe­ lipe Perena.— D. Ma…</t>
  </si>
  <si>
    <t>Sievers</t>
  </si>
  <si>
    <t>1141</t>
  </si>
  <si>
    <t>de corta duración. \ i;r que se hallan diseminadas en varios puntos El cuerpo de,tropas rusas que, manda el de la provincia se reúnan para formar un general Sievers evacuará uno de estos dias solo exército, que deberá marchar á socor­ la ciudad de Cracovia y sus inmediacio­ rer á Semendria y Schabach , cuyas plazas nes___ Díc…</t>
  </si>
  <si>
    <t>kovvski una legión intitulada del Danubio , que se compondrá de prisioneros austríacos nacidos en Polonia. — El cuerpo de tropas rusas mandado por el general Sievers, evacuará muy pronto la ciudad de Cracovia y sus inmediaciones. Se espera que todo el exército ruso compuesto de 253 hombres,, saldrá de Gallitzia. . Es ya basta…</t>
  </si>
  <si>
    <t>Sigasta, Ca</t>
  </si>
  <si>
    <t>Ca Sigasta</t>
  </si>
  <si>
    <t>nte el Sr. D. León de Sagasta, teniente corregidor casa, en 297464 rs., acuda ante el Sr. D. León de df esta villa, y por la escribanía del número de D. Ca­ Sigasta, teniente corregidor de esta villa, por la escri­ simiro Amonio Gómez, en el término de 30 días, con­ banía del número que exercc D. Tomas de Sancha y tados desde…</t>
  </si>
  <si>
    <t>Siiveyra</t>
  </si>
  <si>
    <t>és de la Romana se dirigió á la alta Galicia para unirse á los patriotas de aquel reyno, ó tal vez al exército de Asturias : y que en conseqüencia el Brigadier Siiveyra no juzgó prudente conservarse en la llanura ó vega de Cha­ ves , y se vino á apostar en sitios mas montañosos. El valero­ so Pizarro entró en Chaves con ánimo…</t>
  </si>
  <si>
    <t>Silfversparre</t>
  </si>
  <si>
    <t>yendo ijiu cabeza .al ouriscaLde la corte- „En este caso, qualquier otro general Silfversparre, quien, dixo; Señor, se os di&amp; menos diestro, impelido de buscar y com­ vuestra espada para serviros de ella con­ batir con los ingleses, hubiera marchado en tra los enemigos de la patria »</t>
  </si>
  <si>
    <t>Silvestre</t>
  </si>
  <si>
    <t>ntería ligera. geros de la guardia real. Serbert (D. Lorenzo),' capitán del Real Paquiu, escudero del Reí. Extrangero. Pardo de Figueroa (D. Benito), ministro Silvestre (D. Josef) , tirador del regimien­ en Rnsia. to núm. i.°, infantería de línea. Paroise , primer médico de cámara. Soto-Mayor (duque), maestro de cere­ Pazos (…</t>
  </si>
  <si>
    <t>Silveyra</t>
  </si>
  <si>
    <t>por aquella par­ te , y que habían cargado casi con toda su fuerza hacia la .Provincia del Miño, dexandp pocas fuerzas en Chaves, y que el cuerpo del Brigadier Silveyra se adelantaba para aquel lado. Se acaba de saber que la plaza de. Chaves , que fue ocu­ pada por los enemigos ei dia 14 del corriente, ha sido re­ cobrada por…</t>
  </si>
  <si>
    <t>POR T U G A L. Lisboa 6 de abril• El general Silveyra, después de la recuperación de Cha­ ves , ha obligado al enemigo á evacuar á Braga, de donde huyeron unos mil. franceses al presentarse sus fuerzas. De los enemigos que intimaron la rendici</t>
  </si>
  <si>
    <t>in­ mediación de Lamego, y avisa con fecha del 11 á este Ministro de la Guerra los movimientos desús tropas. Hí, hecho adelantar hasta Villarreal al General Silveyra parr observar el camino de allí á Amarante, y ha enviado a. General Barrelar contra los enemigos que se dirigían des de Mezanfrio á Pizo de 'Regra con intención …</t>
  </si>
  <si>
    <t>Simón</t>
  </si>
  <si>
    <t>. Ya no habrá mas misterios in­ de dicha colegiata, para una ración de la accesibles á los ciudadanos: no habrá ya esos misma, vacante por ascenso de D. Simón -estados parciales, tan pronto exagerados co­ Diez á canongía de ella: á D. Pedro Josef mo diminutos, siempre faltos, siempre in­ de Echevarría , presbítero, para la ab…</t>
  </si>
  <si>
    <t>iidacido á Francia se le den prue­ D- Josef Mamerto Gómez Hermosilla gefe bas de satisfacción por la buena conducta de división ; á D. Josef Montero, D. Simón que ha usado conmigo , y se le faciliten to­ del Castillo, D. Cándido Revet ga , D. Si­ dos los medios necesarios para la entrada món Fernandez Gallardo , D. Manuel Ma­…</t>
  </si>
  <si>
    <t>n del te, ó por medio de apoderados, se presenten regimiento núm, i.° brigada Irlandesa. con los documentos que acrediten sos cré­ Perez de Cevallos (D. Simón ). ^ ditos en la jauta qne se celebrará en la casa Pina y Ruiz (D. Juan de), intendente de consular del Imperio francés el 1j de mar­ - exército. zo del año próximo de …</t>
  </si>
  <si>
    <t>Sinol</t>
  </si>
  <si>
    <t>ue con una expresión i publica de mi esti­ mador., „ En nombre de S.. M* nombro Comandantes de. la Or­ den de María Xeresa al Barón de Wi&lt;npfen,*, ai Coronel Sinol’a &amp;c* = El Archiduque Carlos, Generalísimo.5* Caria del Emperador de Austria -al Archiduque Cí;&lt;/osv ,, Mi querido hermano : aunque ayer o» he dado en persona mis …</t>
  </si>
  <si>
    <t>Sintzbcirn</t>
  </si>
  <si>
    <t>Gaceta de Madrid n.º 142</t>
  </si>
  <si>
    <t>s el gran rabino Cologna, do hacer el bien uo lo hiciésemos, y si sa­ individuo del consitorio; y el presidente biendo que todo lo bueno que tenemos, D. Sintzbcirn recitará la oración acostum­ viene de lo alto y desciende del Padre de brada por la salud de SS. MM. II. y RR. las luces , descuidásemos de sus preciosos y de su a…</t>
  </si>
  <si>
    <t>Siriague, Valerio</t>
  </si>
  <si>
    <t>Valerio Siriague</t>
  </si>
  <si>
    <t>tenientes á los se­ akt. ni. Todo corredor que negocie ñores Bourdillon, Millard, Tomas, Tufaestos efectos ya nulos, ó todo esci ibano no, Forestier, D. Valerio Siriague, y se­ que otorgue una escritura en que se'esti­ ñores Chappe, Dupplan y Toppi. En la pule pagar con ellos y recibirlos , perderán gendarmería escogida á ten…</t>
  </si>
  <si>
    <t>Sixt, Manuel</t>
  </si>
  <si>
    <t>Manuel Sixt</t>
  </si>
  <si>
    <t>onte hermoso , de D¿ Manuel Romero , de D. Pablo de Ar ribas , de' D. Josef Marquina y Galindo , del Marqués de San Adrián, de D. Tomás de Moría , de D. Manuel Sixt o Espinosa, de D.Luis Marcelino Péreyra, de D* Juan Llórente, de D, Pidro de Estála , de D. Francisco Gallardo Ferna ndez , del Duque de ; Mahon , de D. Francisco…</t>
  </si>
  <si>
    <t>Sixto, José</t>
  </si>
  <si>
    <t>José Sixto</t>
  </si>
  <si>
    <t>coronel y edecán del rey. — Rutiman (D. José) comandante de batallón del regimiento real extrangero.” “Sait (D.Luis) intendente de Cuenca.— Salcedo (D. José Sixto) consejero de Estado. — S. Adrián (marques) primer maes­ tro de ceremonias. — S. Anastasio ( conde) secretario de gabi­ nete. — Santibanez (D. Angel) secretario de …</t>
  </si>
  <si>
    <t>Sixto, Josef</t>
  </si>
  <si>
    <t>Josef Sixto</t>
  </si>
  <si>
    <t>el regimiento Real Extrangero. Upategui (D. Manuel Maríi). Sait ( D. Luí-.) , intendente de Cuenca. Urbina (D. Francisco María), intendente Salcedo ( D. Josef Sixto) , consejero de Es­ de Valladolid. tado. Uriz (D. Joaquín Xavier), prior de Ron— San Adrián (marques), primer maestro de cesvalles. ceremonias. art. ii. Nuestro g…</t>
  </si>
  <si>
    <t>Sixto, Manuel</t>
  </si>
  <si>
    <t>Manuel Sixto</t>
  </si>
  <si>
    <t>conde de ción. Este momento Será aquel en que el Casa-Valencia, el conde de Melito,'el egoiímo de algunos Individuos no pueda, conde de S. Anastasio, D. Manuel Sixto para defender sus intereses , arrastrar pneEspinosa, D. Santiago Romero y D. Blas de blcs enteros á su antojo ; aquel, en que no Aranza; no habiendo asistido otr…</t>
  </si>
  <si>
    <t>regimiento. mero 2.° Chelli (D. Miguel), gefe de batallón. Espert, coronel y mayordomo del Reí. Chevallier, gefe de batallón de la guardia Espinosa ( D. Manuel Sixto ), consejero de real. Estado. Choisseul (D. Augasto) , comandante de Estala (D. Pedro) , canónigo de Toledo. esquadron. Franceschideloue, general y edecán del Ch…</t>
  </si>
  <si>
    <t>primero del regimiento núm. 1 , infantería de línea. — Escudero (D. José) subteniente del núm. 2. — Espert, coro­ nel y mayordomo del rey.—Espinosa (D. Manuel Sixto ) con­ sejero de Estado. — Estala ( D. Pedro) canónigo de Toleda” : Franceschidelonne, general y edecán del rey. — Franco' (D. José) mayor del regimiento de infan…</t>
  </si>
  <si>
    <t>Sloissevich</t>
  </si>
  <si>
    <t>adchatz, Giurgesvo , mientras que un exército de ob­ del Lieca y de Octachatz , y se ha cogido servación avanzaba hacia la Bulgaria con prisionero al general en gefe Sloissevich. el fin de proteger el sitio. Todos los esfuer­ El duque de Ragusa llegó el 28 á Fiuzos de los turcos para libertar esta plaza me, y de este modo ha …</t>
  </si>
  <si>
    <t>ropas que han peleado, á saber : el 8.° de los prisioneros hai muchos oficiales , de cu­ infantería ligera, ii.° y *3.° de línea, y á yo número es el general Sloissevich , co­ los valientes y dignos coroneles de estos re­ mandante en gefe. Las fuerzas del exército gimientos Bertrand , Bacheln y Minal: este enemigo consistían …</t>
  </si>
  <si>
    <t>Smir</t>
  </si>
  <si>
    <t>retirada,- y gunas embarcaciones; pero seguí mi rumbo nuestros volteadores cogieron algunos pri­ con los demás buques, y llegué á Wemel- sioneros. El sargento Smir, del tercer bata­ diog! á las 5 de la tarde. El enemigo, que llón provisional del 8.® regimiento, hizo ¿1 esr,,ba al ancla como á tiro y medio de ca­ solo'quatro p…</t>
  </si>
  <si>
    <t>Smith</t>
  </si>
  <si>
    <t>or el Teniente Carrol , edecán del Sr. Sidney Smitli , que sa­ lió del Brasil á principios de noviembre. A este tiempo se sabia ya allí por medio del capitán Smith , que los despachos de España enviados á Buenos-ayres por el rey Josef, ha bian sido interceptados, y arrestados sus emisarios. Saciar­ se también haberse abierto …</t>
  </si>
  <si>
    <t>e nuestras desavenencias con la Gran Bretaña , está como loco dé furor é indigna­ ción. ¿Es posible, dice uno de sus emisarios, que Mr. Maddison y el Secretario Smith -sean traidores? Aun se nos asegura que el General trata de salir inmediatamente de los Estados-Unidos, y nosotros celebramos su determi­ nación y le deseamos m…</t>
  </si>
  <si>
    <t>encia el pre­ A todos se les hará justicia. sidente, antes de partir para su .asa de cam­ ,, La paz va á restituir el exército á sui po, dio órden al secretario Smith para que hogares: co'nfio que él sabrá conservar , co­ fuera á Washington á recibir á Mr. Jacfc-</t>
  </si>
  <si>
    <t>Smíth</t>
  </si>
  <si>
    <t>tmaum de sembrados; que Zaragoza ha sido purifica­ Mascar. La expedición de Bombai debía ir da y'descombrada, y que dentro de poco i las órdenes del coronel Smíth, del regi­ la vereis provista de agua coa dos magnífi­ miento 6}.®, el qnal llevaría consigo dicho cas fuentes, cuyos planes están levantados regimiento, y on desta…</t>
  </si>
  <si>
    <t>Smperisl</t>
  </si>
  <si>
    <t>43* ; se asegura que el Conde ae StocÜon ,. Ministro Smperisl en Munich , será el' Comisario general del exército. En confor­ midad á Jas disposiciones adoptadas por la Diera de Hun­ gría , los húngaros aumentan á sus expensas una quinta parta mas ios catorce re</t>
  </si>
  <si>
    <t>Sna</t>
  </si>
  <si>
    <t>r, S.ñor , testigo de tantas y tan Roma , compuesta de los señores duque do famosas empresas , y de tamas .liciones geneBrasehi, principe GaUrielli , príncipe Sna- tos.is,a¡za ahora aiegre su frente delame de da, duque de Bracciano, caballero Fulco- vos, su nuevo y poderoso mimen tute­</t>
  </si>
  <si>
    <t>Snchet</t>
  </si>
  <si>
    <t>el que había escapado de la derrota de Tudela. Monte Torrero y otros puntos importan­ La ciudad estaba ademas defendida por 20o tes , la división del general Snchet los arro­ «monís, y Labia en ella almacenes inmen­ jó el 21 de diciembre de los altos de Sala</t>
  </si>
  <si>
    <t>Soberano, Chistesu</t>
  </si>
  <si>
    <t>Chistesu Soberano</t>
  </si>
  <si>
    <t>amigos de la patria han visto con sado por aquella ciudad a tomar una fuerte gran satisfacción que los hdurantes líeles á posicioi en el Tirol.----El general Chistesu Soberano no se han dexado seducir por ler inanda el cuerpo dirigido contra las fron­ las proclamas del ene.migo , aunque por otra teras del l irol; y el archi J…</t>
  </si>
  <si>
    <t>Sobral, Ou</t>
  </si>
  <si>
    <t>Ou Sobral</t>
  </si>
  <si>
    <t>ra guar­ Por S. E. Mr. de Champagni , ministro nición se halla en el mismo caso. de relaciones exteriores, Mrs. Braamcamode El cuerpo de exército del general Ou- Sobral, el coronel Alburquerque y el conde dinot, que ocupa las dos orillas del Mein, de Sabugal, portugueses; y el barón de Gaha empezado ya á marchar á las del Lec…</t>
  </si>
  <si>
    <t>SoEl</t>
  </si>
  <si>
    <t>iguiente: nos é implacables de tos rusos, envió con­ tra ellos al coronel Solorowski con orden MINISTERIO DE LA MARINA. de perseguirlos vivamente. El coronel SoEl comandante en gefe de nuestra es- lotowski batió y dispersó un cuerpo de 1 2Q quadra del mar Negro acaba de dirigir al hombres que le había atacado ; y los circa­ m…</t>
  </si>
  <si>
    <t>Soeren-Bille</t>
  </si>
  <si>
    <t>an en adelante una patente real rior para todos los negocios, y señalada­ 'para este efecto. mente para la guerra; y los otros niegan ab­ El teniente capitán Soeren-Bille, gefe solutamente que esté dotado de .estas quade la esquadrilla de Frederikwaern , ha da­ lidades. Él archiduque Juan es quien mas do parre que el dia 10 p…</t>
  </si>
  <si>
    <t>Sokolniki</t>
  </si>
  <si>
    <t>zo! Teneis mucha razón en creer que mi sido completamente batidos los austríacos deseo es que la Suecia di frute del reposo, cerca de Sandomir por el general Sokolniki. de la felicidad y. de la paz con sus vecino?. La pérdida del enemigo consiste en 2® La Rusia , la Dinamarca y Yo no hemos muertos y heridos , y en 1300 prisio…</t>
  </si>
  <si>
    <t>Solana, Pedro</t>
  </si>
  <si>
    <t>Pedro Solana</t>
  </si>
  <si>
    <t>o La muerte de Abel, ó el fratricidio, poema en pro­ 324104, y al fiado 486156. Otras 5 en ia calle de la sa de Gesner: un tomo en 8.°, traducido por D. Pedro Solana, barrios de la Paloma, contiguas, núm. 24, Lejeusne , teniente de caballería de los reales exércitos. manz. 111, cuyo producto anual es 2520 rs., y con Este poem…</t>
  </si>
  <si>
    <t>Solanot, Valentín</t>
  </si>
  <si>
    <t>Valentín Solanot</t>
  </si>
  <si>
    <t>un decreto, por el que se mandan sequestrar todos los bienes y pertenencias de algunos patriotas aragoneses ; entre ellos el Sr. D. Martin de Garay, D. Valentín Solanot, D. José Obispo, conde de Sastago, D. Ignacio López, D. Vicente Lisa, D. Narciso Meneses, D. Fe­ lipe Perena y D. Ramón Gayan.</t>
  </si>
  <si>
    <t>uque de Rivas.— Conde de Sástago.—D. José Obispo.—D. Ig­ nacio Lopez.-=-'D. Vicente Lisa.—D. Narciso Meneses.— D. Fe­ lipe Perena.— D. Martin Garay.— D. Valentín Solanot.— D. Ra­ món Gayan. — D. Gerónimo Castillon. — D. Antonio Laspuertas.— D. Narciso Laclara. — D. Mariano Ciria. — D. José Pons. — D. Antonid' Buil. — D. Pedro…</t>
  </si>
  <si>
    <t>Soler, José</t>
  </si>
  <si>
    <t>José Soler</t>
  </si>
  <si>
    <t>José Ponte.— D. Mariano Olaso.—D. Juan Mallada. — D. Mi­ guel Porte. — D. Jacinto Garisa. — D. Bruno Huici. — D. Manuel Larruga.— D. Ventura Ateza. — D. José Soler.— D. Miguel Echinique. — D. Antonio Lajíeña. — D. Baltasar Barragan. — D. Joa­ quín Palacios.— D. Baltasar Val. — D. Mariano Ramírez.-- D. Lo­ renzo Puchol. — D. V…</t>
  </si>
  <si>
    <t>Soler, Josef</t>
  </si>
  <si>
    <t>Josef Soler</t>
  </si>
  <si>
    <t>or muerte de D. Juan Lozano, á D. Alfonso Rovira Galvez , racio­ nero de la misma : para la canongia de Solsona que ha renuncia­ do D. Joaquin Rey, á D. Josef Soler , vicario general de aquella diócesi : para la de Lérida , vacante por fallecimiento de D. Joaquin Lacambra, á D. Antonio Pastoret, canónigo de Vich : pa­ ra la d…</t>
  </si>
  <si>
    <t>Solinski</t>
  </si>
  <si>
    <t>p de setiembre. acaba de fundar un gimnasio destinado á la Ha pasado por esta -ciudad para Stras- educación de los niños católicos , el qual burgo el príncipe Solinski, coronel y ede­ se abrirá solemnemente el 16 de octubre cán general' de S. M„ el. Emperador de próximo, dia de Saint- Gall, patrón del Rusia, pais. Lindan 14 d…</t>
  </si>
  <si>
    <t>Solís, Antonio</t>
  </si>
  <si>
    <t>Antonio Solís</t>
  </si>
  <si>
    <t>ría manda­ da por los coroneles X). Manuel del Rio y D. Francisco Esquerra, el te­ niente coronel D. Antonio Moñsalve , oficiales del mismo cuerpo, y D. Antonio Solís, teniente de navio, jugó con el mayor acierto sin la me­ nor intermisión, y constante en su posición, mereciendo los dignos elogios -áqae los ge fes, oficiales …</t>
  </si>
  <si>
    <t>Solis, Francisco</t>
  </si>
  <si>
    <t>Francisco Solis</t>
  </si>
  <si>
    <t>de vocada en España) es el verdadero origen Felipe iv en 1634 ; los de Felipe v en 1709, de tantos matrimonios como Ja historia nos y'particularmente D. Francisco Solis , obis­ presenta contraídos por los Reyes de Caspo de Córdoba y virei de Aragón, con tilia , Navarra y Aragón , por los príncipes otros muchos mas posteriores…</t>
  </si>
  <si>
    <t>Solis, Josef Fernandez</t>
  </si>
  <si>
    <t>Josef Fernandez Solis</t>
  </si>
  <si>
    <t>Hernández Pé­ rez, cabildo. D. Josef Mintegui; D. Juan Justo García; D. Josef Espailiar y í). Tomas González , universidad. Diputación de Benavente. D. Josef Fernandez Solis; D. Guillermo Gpmez Maestro; D. Diego Antonio Esmeras; D. Antonio López Nuñez y D. Miguel Alonso Conejo. Diputación de S*. Ildefonso. D. Manuel Matías de…</t>
  </si>
  <si>
    <t>Solomero</t>
  </si>
  <si>
    <t>o. — Marques de Palacio.— D. Manuel López Araujo.— D. José Gar­ cía de León y Pizarro. — Marquesa viuda de Fontanar. — D. Ra­ món Beliran y Sarraiz.— Conde Solomero.— D. José Davila. — D. José Sta. María. — D. Pasqual Quilez. — Marques de Ruena. — Duquesa del Arco y Monteilano. — Condesa de Superunda. — D. José Almendariz. — …</t>
  </si>
  <si>
    <t>Solorowski</t>
  </si>
  <si>
    <t>a ministerial contiene hoi el ar­ man hecho juramento de ser enemigos eter­ tículo siguiente: nos é implacables de tos rusos, envió con­ tra ellos al coronel Solorowski con orden MINISTERIO DE LA MARINA. de perseguirlos vivamente. El coronel SoEl comandante en gefe de nuestra es- lotowski batió y dispersó un cuerpo de 1 2Q qu…</t>
  </si>
  <si>
    <t>Soltylk, Estanislao</t>
  </si>
  <si>
    <t>Estanislao Soltylk</t>
  </si>
  <si>
    <t>s;dos estaaos. — A Varsovia habia llegado una orden de Dresde para que se pusiese en el mejor estado posible aquel palacio real.— Por instigación del conde Estanislao Soltylk, los habitantes de-la Gallitzia han dado por suscripción la suma de 10f&gt;2 florines po­ lacos para gastos de un monumento en honor de Napolepn^r^ Un arti…</t>
  </si>
  <si>
    <t>Songis</t>
  </si>
  <si>
    <t>consejo de indagación ó de guerra , que forma­ rán el conde de Abevilíe . secador, el conde de Rampon, sena­ dor ; el vice-almirante Te renard , y el conde Songis, primer inspector general de todo el exército. Todas quantas piezas ó documentos se hallaren en vuestro ministerio , en el de marina, del interior , de policía , ó …</t>
  </si>
  <si>
    <t>Sonlt</t>
  </si>
  <si>
    <t>ranceses pueden todavía desmentir á vmd. «que no seria atacado, le dex&lt;S de este mo- «con un hecho que tienen ep su favor,, y « do para dar tiempo al mariscal Sonlt i «es que tres cuerpos de exército subsisten n qoe acabase sos movimientos, y cortase «sobre el inismo terreno desde que vmds. »los dos caminos militares , que po…</t>
  </si>
  <si>
    <t>Sorbier</t>
  </si>
  <si>
    <t>6©, compuestos de las reliquias re­ siempre en lo mas recio de la refieea. l a unidas del cuerpo de Jellachich y otras co­ artillería mandada por el general Sorbier ha tanas del Tirol, que escaparon á los movi­ sostenido su reputación. mientos del exército por las gargantas de la El enemigo había reconocido mucho Carintia; y …</t>
  </si>
  <si>
    <t>Soria, Manuel</t>
  </si>
  <si>
    <t>Manuel Soria</t>
  </si>
  <si>
    <t>D. Manuel Vélaseos—D Jo­ sé Olatte. — D. Francisco y D. Manuel del Valle. — Duque de Yiilahermosa.— D. Felipe Vallejo. — Marques de las Horma­ zas.— D. Manuel Soria. — D. Ramón Arascot.—D. Antonio Komanilios. — D. Francisco PritnauL — D. Francisco Romano. —► D. Antonio Cano Manuel. — Conae de Bondad Real. — Conde de Sta. Colo…</t>
  </si>
  <si>
    <t>Soriie, Juan</t>
  </si>
  <si>
    <t>Juan Soriie</t>
  </si>
  <si>
    <t>si­ so det Rincón, D, Meiiton Rico, D. Cir­ guiente : ios Ermeler, D. Cirios D'aiguebelles , Doa articulo 1. Cedemos al comercio de Francisco Brost y D. Juan Soriie. Madrid para establecer la bolsa el edificio del hospital del Buen-Snceso, y las casas adyacentes que le son propias. art. 11. Para la construcción de la bol­ En …</t>
  </si>
  <si>
    <t>Sorronriegui, Felipe</t>
  </si>
  <si>
    <t>Felipe Sorronriegui</t>
  </si>
  <si>
    <t>e húsares Espa­ ñoles , al brigadier D. Juan Caro; la comandancia del tercer esquadrou del regimiento de caballería de perseguidores dé Anda­ lucía á D. Felipe Sorronriegui, sargento mayor del mismo, cuer­ po , y esta resul'.a á D. Francisco Serrano, capitán del de Calatrava. Atendiendo á los singulares méritos,servicios y di…</t>
  </si>
  <si>
    <t>Sosana</t>
  </si>
  <si>
    <t>s del comandaste de la división del Llobregat, que ha remitido á la misma secretaria de guerra el teniente ge­ neral marques de Coupigny , consta que Doña Sosana asistió des­ de el principio de la presente guerra , con su marido , en los so­ matenes. Se halló con dios en muchas ¿acciones ., y en una de ellas cercada por los c…</t>
  </si>
  <si>
    <t>Sotelo, Joaquín María</t>
  </si>
  <si>
    <t>Joaquín María Sotelo</t>
  </si>
  <si>
    <t>de ayer me dice el Sr. Secretario de Estado y de dicha Suprema Junta lo siguiente. ,, Excmo. Señor. = Al ver la Junta Suprema la carta es­ crita por D. Joaquín María Sotelo &amp;c. Lo* que sin retardó comunico á V, S. per medio de mis. avanzadas para que enterado del contexto, tóme el partido que gusté, no teniendo que añadir por…</t>
  </si>
  <si>
    <t>. ,, Excmo. Señor. =r Se han leído en ía Junta Suprema Gubernativa del Reyno las ciartás qué para su Presidente y 0 para V. E. ha di­ rigido de nuevo D. Joaquín María Sotelo^ y constante la Junta siempre en sus prin­ cipios y en sus resoluciones , ha acordado que V* E. responda á Sotelo copiándole á la letra la contextacion h…</t>
  </si>
  <si>
    <t>encarga­ dos de examinar las solicitudes relativas á la conservación de títulos de grandeza y nobleza; y que han sido nombrados conse’eros de estado D. Joaquín María Sotelo, marques de Casa calvo, D. Juan Melendez Valdés, D. Benito de la Mata Lina­ res , y D. Luis Marcelino Pereira. La del 7 trae el nombramien­ to de D. Joaqu…</t>
  </si>
  <si>
    <t>Soto, Antonio</t>
  </si>
  <si>
    <t>Antonio Soto</t>
  </si>
  <si>
    <t>nos , entre muertos y heri­ dos, como lo verá V. S. por el estado que le incluyo. En estas acciones se ha distinguido el Mayor del tercio de Igualada D. Antonio Soto, que salió herido gravemente; por cuyos nierv os y conocido valor le ccr.sn.Uro digno de que V. S. tenga la bondad de recomendarlo al Sr. Capitán General. Asi­ m…</t>
  </si>
  <si>
    <t>Soto, Juan</t>
  </si>
  <si>
    <t>Juan Soto</t>
  </si>
  <si>
    <t>vieiosa : al coronel D. Xavier Rivas'-, coman­ dante de esquadron del regimiento del Rey í á D. Manuel Rosales , á D. Joaquín de Mera y Pereyra , y á D. Juan Soto , capitanes y teniente* de las partidas de guerrilla. El comandante general de Artillería : al coronel D. Matías de Ferrar, y al de igual clase agregado al estado m…</t>
  </si>
  <si>
    <t>, 8 muertos , entre ellos" el teniente D. Anto­ nio Zalameda, 21 heridos, entre ellos el capitán teniente coronel D. Ig­ nacio Irigoyen y el teniente D. Juan Soto, contusos el teniente D. Antonio Rey 3 4 caballos muertos y 1 5 heridos 3 pérdida total 4 oficiales , 26 hom­ bres y 19 caballos. Total de las dos brigadas 3 2 ofic…</t>
  </si>
  <si>
    <t>Sotomayor, Rodri</t>
  </si>
  <si>
    <t>Rodri Sotomayor</t>
  </si>
  <si>
    <t>acción de Ocaña , re­ San Adrián ( marques de), primer maestro solvió la junta suprema qne los Excmos. de ceremonias. ■ SreS. marques de la Romana y D. Rodri­ Sotomayor (duquede)» maestro de cere- go Riquelme se trasladasen al quariel gene­ ’ mottias.’ " • ■ &gt; r;i-&gt;. - - - »’ -í ral de la Carolina , para que en unión con Stro…</t>
  </si>
  <si>
    <t>Sou</t>
  </si>
  <si>
    <t>ortar su ala derecha, donde tenia un crecido número de infantería. El general en gefe determino atacar al siguiente dia, para lo qual la división dei general Sou­ ham vadeó el rio por S. Juan, las 2 brigadas de la del general Pino por S. Feliu , y la división del general Chabot por la derecha de este pueblo, son orden de flan…</t>
  </si>
  <si>
    <t>Souham</t>
  </si>
  <si>
    <t>6o la división del general Souham. El regimiento t.° de infantería ligera y el 4.0 batallón del 3.0 de la misma han sostenido solos el choque del enemigo, y le han rechazado persiguiéndole hasta el otro,lado del Fluvia , y</t>
  </si>
  <si>
    <t>siguiente volvió á ponerse en movimiento todo el .exército, y á las 8 de la noche se situó la división italiana en Cristina de Aro , la división del general Souham y el quartel general en Qastell de Aro, y la reserva en Calonja. El partidario Claros se empeñó en defender con neo á 1500 hombres los desfiladeros que hai entre L…</t>
  </si>
  <si>
    <t>uar la marcha. La van­ guardia de lacoluqa se adelantó, y vino á situarse á las 8 y media de la no­ che á media legua de Trentopases: la división del general Souham llegó al mismo parage á las 10 de la noche, y la reserva se quedó en S. Celoni. (Se continuara) ESPAÑA. Madrid 3 de febrero. Se'han recibido despachos del marisca…</t>
  </si>
  <si>
    <t>liana para que formase en batalla, y atacase con firmeza él cen­ tro y ala derecha del enemigo, y lo executó con la mayor intrepidez. La división del general Souham, que seguía inmediatamente en colima á la di­ visión del general Pino, recibió también orden de cargar á tos enemigos por la derecha, la qual hacia un fuego terri…</t>
  </si>
  <si>
    <t>as alturas de Santa za. Entonces esperábamos vencer pronta­ Coloma y de Santa Hacia. Entonces se dió mente los últimos obstáculos, y poder á orden al general Souham para que fuese á pocos días penetrar en la ciudad, que se atacarlo en aquella posición ; y sobre las je­ hallaba ya en la mayor penuria. Creíamos suítas de esta j…</t>
  </si>
  <si>
    <t>Soult</t>
  </si>
  <si>
    <t>sustancial es el siguiente: El cuer­ po dirigido por la Romana ha sido batido completamente en Mansilia por la,caballería del exéreito del cargo del .mariscal Soult, que estaba mandada por el general■ Frasícescht D^lsuoev Los franceses habían- entradlo ea León;, y marchaban sobre Astorga. Los ingleses se retiraban precipitada…</t>
  </si>
  <si>
    <t>alburgo y de Óesén,66012;francos: el mariscal Davoust, duque de Auerstaedt^ una gran parte de los bailiages de Hoya y de Neinburgo, 60021 francos: el mariscal Soult, duque de Dalmacia, una parte de los bailiages de Hoya y de Wes-! íes, 53002 francos : el mariscal Lannes , duque deMontebello, unja parte de los bailiages de Wil…</t>
  </si>
  <si>
    <t>ña. El 15 ya se habia presentado la caballería ligera en. Valladolid. Pasó el Duero todo el exército ingles, y llegó el 23 á Saldaña en presencia del mariscal Soult. Asi que llegó á noticia del Emperador tan inesperada determinación de los rugieses , salió de Madrid con. ánimo de cortar su exército, situándose á espaldas del …</t>
  </si>
  <si>
    <t>se les hizo fuego todo este día y noche. El 19 á las 11 de la mañana llegó un trompeta á ta puerta de la Torre de abaxo, anunciando proposiciones del mariscal Soult por medio de no. edecán y .un oficial; de graduación. ¡Franqueada esta puerta, y habién­ dose oido, examinado y consultado por el señor .gobernador de esta: ¡plaz…</t>
  </si>
  <si>
    <t>corbeta de guerra el Gleaner aguarda do perseguida vivamente nuestra retaguar­ los pliegos, que nos darán la noticia del re­ dia nacía la Coruña, el general Soult, du­ sultado final de esta deplorable expedición. que de Dilmaeia , que acaba de ser re­ ¡ Quiera el cielo que con los pliegos no forzado por Junot , duque de Abran…</t>
  </si>
  <si>
    <t>zo. segunda paralela; de forma que esta parte de la línea no dista mas que 50 toesas del Acaban de recibirse noticias de que el convento de S: Josef. mariscal Soult, duque de Dalmacia, ha ,A1 frente de la primera paralela se ha -derrotado completamente &gt;en los confines principiado á trabajar en una batería de re­ del Portugal…</t>
  </si>
  <si>
    <t>, intentando su ataque después de derrotado el exército del Marqués de ia Romana que lo contaban co­ mo cosa segura. El cíia 4 del corriente mandó el Mariscal Soult intimar al dicho General español su rendición por evitar el derrama­ miento de sangre. JLa respuesta fue conforme al insulto de semejante proposición. Este aconte…</t>
  </si>
  <si>
    <t>ndose á aquella villa para ver si pueden sujetar aquellos habitantes. Ei dis 4 del corriente un postillón gallego que venia da Orense co i cartas del Mariscal Soult para el General la Martíniere , que está en Tuy , inducido por otros gallegos patrio­ tas , pasó por se i frente de Monzon , pidiendo le couduxesen é nuestro Gene…</t>
  </si>
  <si>
    <t>8 de abril de 1809</t>
  </si>
  <si>
    <t>Gaceta de Madrid n.º 98</t>
  </si>
  <si>
    <t>iera , el exército de sir asistencia: os hemos visto en Alemania, Juan Moore avanzó hasta Sahagun para en Holanda, en Francia, en España, y atacar al general Soult, adonde llegó el 2t de todas partes habéis huido'i Sin embargo, de diciembre. El Emperador de los france­ siempre que nuesrros soldados se han bati­ ses salió el 2…</t>
  </si>
  <si>
    <t>nsideraciones: ría, ;pues dónde están los cañones de la que una carta interceptada del mariscal segunda brigada ? Mas sea qual fuere nues­ Bertier al mariscal Soult le habia deter­ tra pérdida, es cierto que no puede uno minado á avanzar para atacar al general menos de convencerse del estado deplora­ Soult antes que recibiera…</t>
  </si>
  <si>
    <t>470</t>
  </si>
  <si>
    <t>ue,-ahora nos ocupa y lleva rlias particular cui­ dado, es la prontísima rendición de Tuy, por no dar lu­ gar á que se la socorra por el exército del Mariscal Soult, que rompiendo por Braga y Barcelos, se. halla dueño de la Ciudad de Oporto : para esto dispuse que ayer salie­ se el Capitjm Golombo con su tropa y paysanage, y …</t>
  </si>
  <si>
    <t>Gazeta del Gobierno n.º 29 (extraordinaria)</t>
  </si>
  <si>
    <t>LA. Santander está ocupado por nuestras tro­ pas. El exército inglés ha recobrado á Opor­ to el 12 , después de haber batido algu­ nas divisiones del General Soult , el qual quedaba rodeado y acosado por las tropas inglesas y Portuguesas, de tal modo que no podia escapar. Nota. Esta ventaja va sin duda alguna á producir otras…</t>
  </si>
  <si>
    <t>parage. ■ . ■ Excmo. Sr.zzrMuy Sr. mío : Tengo la satisfaceíoí? át anunciar á V. E. que los primeros encuentros de los exércitos combinados contra el mariscal Soult han sido fe­ lices. El General en Xefe SirArturo Wellesley , acaba de anunciar en una pequeña carta escrita muy de priesa á este Ministro inglés, que lo ha comuni…</t>
  </si>
  <si>
    <t>io, entre Villanueva y esta Ciudad; y forzando' el paso de este rio ayer por la ma­ ñana se dio lugar á un combate entre las tropas que mari­ daba el Mariscal Soult y las mías: el enemigo fue ente­ ramente destrozado, perdiendo cinco piezas de artillería y 8 carros de municiones y muchos prisioneros; retirándo­ se al mismo ti…</t>
  </si>
  <si>
    <t>;DEL MARTES 30 DE MAYO DEl8oq. ¡SEVILLA. Los franceses usando, según su costumbre* de sus ordinarios embustes han repetido en sus periódicos, que el mariscal Soult estaba consus : tropas en Lisboa , y en la .multitud de cartas interceptadas de seis semanas á esta parte querian engañar aun 4 sus mismos dependientes mandando qu…</t>
  </si>
  <si>
    <t>mbres, por te­ ner ya los regimientos muy poca fuérza á causa de las pér^ didas tan considerables*, que han padecido en Galicia. El día 2 entraría el Mariscal Soult en Zamora, y también lo habrá hecho, ó lo hará sucesivamente el resto de su exército. El coronel español D. Manuel García de Barrio, comi­ sionado por el Marqués …</t>
  </si>
  <si>
    <t>de junio. Dice que acababa de llegar á aquella cifudad con el General Dulanloy y bastante gente del segundo cuerpo: que se esperaba en pocos dias al Mariscal Soult : que hace {estremecer ia relación de lo mucho que han sufrido , y de }a multitud de víctimas que tuvieron» SEVILLA. Con fecha de 14 del corriente se comunicó á lo…</t>
  </si>
  <si>
    <t>ito de Bóhaparte , y la división de granaderos de Oudinot fueron enteramente destrozados* ‘ PORTUGAL. ! Lisboa 12 de julio. “Extracto de la carta del mariscal Soult al general Franceschi , fecha m la Puebla de Sanabria el 26 de junio. - Principia comunicándole que marcha con su división para Za~ inora pasando por ISJonbuey qu…</t>
  </si>
  <si>
    <t>eral Cuesta se sabe que el exército reunido Anglo-Hispano se halla en el J.'jeute del Arzobispo , á derecha é izquierda del j ajo , observando al del mariscal Soult. tj SEVILLA: EN LA IMPRENTA REAL.</t>
  </si>
  <si>
    <t>a y 200 caxones de sables. — Parece que Jourdan se ha desgraciado con Bonaparte. Le sucede en él empleo de mayor generalen el exér­ cito de España el mariscal Soult; y el mando del quarto cuerpo se ha conferido al general Laborde. Se asegura la salida de la esquadra francesa de Tolon, en nu­ mero de 17 navios de linea y 12 fr…</t>
  </si>
  <si>
    <t>se dice aumentadas con una división.” “Entretanto parece que el rey da disposiciones de reunir trom­ pas en este punto. Se ha presto una brigada del mariscal Soult á las órdenes del general Kellermann &gt; una brigada de la división de Dessoles marcha sobre Salamanca ,y todas estas tropas y las</t>
  </si>
  <si>
    <t>Soulti</t>
  </si>
  <si>
    <t>las tropas que los?' enemigos teniáu en el: punto de. Amarante iban retrocedien­ do algunas partidas hacia Oporto , de que se podía, inferir que, el Mariscal Soulti quería reunir, sus fuerzas*. A\ la misma, época, se hallaba el General; Wellesley á medio camino de Coimbra á Oporto esto es , á 9,leguas de esta ciudad. Según la…</t>
  </si>
  <si>
    <t>Sounrag</t>
  </si>
  <si>
    <t>edecán del prín­ mandó ocopar con fuerzas suñcientes los cipe de Orange, .con quien pasó á Inglater­ puntos de VoldenjSchnatz, Veeberg , Rat- ra. El general Sounrag manda las tropas temberg y Zillerbruck, para asegurar sus en Terveas. comunicaciones y Sus transportes. EL 5 de noviembre recibió ana carta de' IMPERIO FRANCES. A…</t>
  </si>
  <si>
    <t>Soust</t>
  </si>
  <si>
    <t>franceses con un pliego pa­ ra el Gobernador, y dispuso la Junta de Gobierno y Defensa lo recibiese en el campo un Ayudante español, y aquel era del Mariscal Soust intimando la,rendi­ ción. Se contestó interinamente á las once y media, citando para las quatro, á fin de deliberar mas. da espacio en la-junta, .la qual resolvió …</t>
  </si>
  <si>
    <t>SouwaEl</t>
  </si>
  <si>
    <t>867</t>
  </si>
  <si>
    <t>tecimientos. El exército es soberbio , y está pueblos de la Gallitzia, á las órdenes de los impaciente por llegar á las manos. peñérales Gorczakow y príncipe SouwaEl señor conde Cafarelli, ministro de la row. Guerra del reino de Italia , ha llegado al Los austríacos han dexado en Varsovia quartel general imperial. 3© hombres …</t>
  </si>
  <si>
    <t>Soxo, Miguel</t>
  </si>
  <si>
    <t>Miguel Soxo</t>
  </si>
  <si>
    <t>Ruiz. 3.000 Las quarenta y ocho partidas que anteceden, componen los 8502 pesos exhibidos por el Real Consulado. El Colegio de San Ildefonso. 10.00a D. Miguel Soxo. 3.000 El sargento mayor de esta Plaza D. Juan Noriega. 30.000 D: Antonio Recarey Caamaño , por el término de cinco me­ ses, conforme á las superiores órdenes de 2…</t>
  </si>
  <si>
    <t>Soyez</t>
  </si>
  <si>
    <t>n el 17 de abril, vidados á la función, que ha sido de las ha tenido varios encuentros con el enemi­ mas brillantes, ya por el gran número de go : el general Soyez, que estaba de obser­ señoras romanas que han concurrido , y por vación en Ervenich , lo ha batido y preci­ la elegancia de sus trages, como por el buen sado á ret…</t>
  </si>
  <si>
    <t>ento núme­ neral Su issevich, y del combate de Grads- ro 18.0 de infantería ligera, á cuyo frente charz. En cumplimiento de mi obligación marchaba el general Soyez, mientras que remito ahora ¿ V. M. la relación de las ope­ el regimiento 79.°, que manda el coronel raciones subsiguientes. Godard, y con el qual se hallaba el gen…</t>
  </si>
  <si>
    <t>Spada</t>
  </si>
  <si>
    <t>o. -presidente, príncipe Aldobrandini, prínci­ pe Colohna de Avelia , príncipe Gabriel!/, Las providencias tomadas hasta el día príncipe santa Croce, príncipe Spada, duponen á nuestras tropas en disposición de ique de Bracciano , conde Maréscolri, cabaobrar, contra el enemigo en las orillas del J.'tro'Falconieri, marqués Bagl…</t>
  </si>
  <si>
    <t>Spanocchi</t>
  </si>
  <si>
    <t>, es puso furioso, y creyendo que era culpa del Gobernador y de los habitantes el no haber encontrado el rice botín que deseaba , hizo aprisionar al, Conde Spanocchi , que era el Gobernador, le tuvo bastantes dias en un calabozo obscuro, y después le envió atado á Florencia. Para cohonestar una violación tan odiosa del derech…</t>
  </si>
  <si>
    <t>Spencer</t>
  </si>
  <si>
    <t>spendiendo las calamidades de la guerra,:ha acarreado' ventajas tales que no se hubieran logrado con qualquier otra medida." Las respuestas del mayor general Spencer han coincidido conUa&amp;del bri­ gadier géneral Acland; solamente no adoptaba ia última parte dela&gt;opinión de este, por quanto la incertidumbre de los resultados de…</t>
  </si>
  <si>
    <t>Sradion</t>
  </si>
  <si>
    <t>con la Francia, el puente; que gran número de franceses ha­ dinero de la Inglaterra con que han ganado bia pasado á nado el rio, y que ya estaban al ministro Sradion, la ligereza é inconse­ en la otra orilla. Esta noticia estremeció á cuencia de unas 60 mugerzuelas, la hipo­ aquel príncipe furibundo; atravesó el pra— cresía y…</t>
  </si>
  <si>
    <t>St, Gcuvion</t>
  </si>
  <si>
    <t>Gcuvion St</t>
  </si>
  <si>
    <t>os mui gruesos. Este tiempo malo para el exército francés, será todavía peor para un* exército que marcha en retirada. Por lo que hace á Cataluña, el general Gcuvion St. Cir entró en Bar­ celona. . En Zaragoza los duques de Conegliano y de Treviso se han apoderado con poca pérdida del monte Torrero; han cogido i©? prisioneros…</t>
  </si>
  <si>
    <t>St, Gouvion</t>
  </si>
  <si>
    <t>Gouvion St</t>
  </si>
  <si>
    <t>ingleses, ya no existen en España ni los feudos, ni los franciscanos, ni la inquisición. Después de la rendición de Rosas se dirigió á Barcelona el ..general Gouvion St. Cir con el 7.0 cuerpo, poniendo en fuga á quantas tropas se halla­ ban en las cercanías de dicha plaza, y verificando su reunión con el general Duhesme; medi…</t>
  </si>
  <si>
    <t>ste es­ tado de crisis en que se encuentra el imperio. ESPAÑA. Valladolid 7 de enero de 1805) • En seguida de su entrada en Barcelona, se encaminó el general Gouvion St. Cir sobre el Llobregat, forzó al enemigo en su campo atrincherado, le cogió 2 5 cañones, y marchó sobre Tarragona, de la qual se ha apoderado. La toma de est…</t>
  </si>
  <si>
    <t>ión italiana sé .puso én marcha hacia Cardedeu. A la entrada dei paso angosto de Trentopases fue atacada su vanguardia por 4 batallones enemigos.' Él general en gefe Gouvion St. Cir mandó forzar el paso; y asi se verificó, no obstante la resistencia vivísima de los enemigos, y la noche no estorbó el continuar el movimiento ; …</t>
  </si>
  <si>
    <t>St-Cyr</t>
  </si>
  <si>
    <t>del 16 del cor­ riente que contiene las noticias siguientes.znCasi toda Es­ paña está ya sometida, y la mayor parte del reyno se halla tranquilo__ El general St-Cyr marcha contra Valencia «on un exercito formidable.-^-Xa Andalucía no puede opo­ ner una larga resistencia á los cuerpos de los Mariscales Duques de Belluno y de D…</t>
  </si>
  <si>
    <t>nvino al misnio tiempo uii átaque general de sus tropas contra las del enemigo , y qüando solo faltaba señalar el dia para obrar todos de acuerdo, el General St-Cyr , que había ido reconcentrando su exército, acometió con grandes fuerzas, el dia i5 del mismo febrero, diferentes puntos de la izquierda , obligándolos á replegar…</t>
  </si>
  <si>
    <t>Sta</t>
  </si>
  <si>
    <t>años. Sevilla 12 de marzo de 1809. = Excnio. Señor, rz Rafael L0B0.” Donaires de Aftiériea.\—Los caballeros Regidores D. Juan Crisóstomo Peñalver, el Conde Sta. PAaría de Loreto , y LL Tomas de la Cruz Muñoz, Procurador general de la Ciudad de la Havana , registraron en 16 de diciembre último, co­ mo Diputados del Ayuntamient…</t>
  </si>
  <si>
    <t>Sta, José</t>
  </si>
  <si>
    <t>José Sta</t>
  </si>
  <si>
    <t>López Araujo.— D. José Gar­ cía de León y Pizarro. — Marquesa viuda de Fontanar. — D. Ra­ món Beliran y Sarraiz.— Conde Solomero.— D. José Davila. — D. José Sta. María. — D. Pasqual Quilez. — Marques de Ruena. — Duquesa del Arco y Monteilano. — Condesa de Superunda. — D. José Almendariz. — D. Iginio Antonio Llórente; —• Fr. I…</t>
  </si>
  <si>
    <t>Stadion</t>
  </si>
  <si>
    <t>rtas que llevaban se ha encontrado n y que causaron á las artes y á las ciencias nna correspondencia seguida de Gentz con p» daños ir reparables.” el conde Stadion. Con lo qual queda proba­ Verdad es que algunos señores de entre da materialmente la influencia de aquel in­ los cruzados traxcron del oriente un corto feliz en la…</t>
  </si>
  <si>
    <t>rección húngara , ni los euerpos que permanecerán es Bohémia para hacer una diversión útil. No faltan medios para continuar la guerra con éñéfgia. El conde Stadion parece que hallándose con el archiduque Cárlos/luego que supo la conclusión del armisticio , tomó la de­ terminación de alejarse délos negocios hasta que el empera…</t>
  </si>
  <si>
    <t>Stahremberg</t>
  </si>
  <si>
    <t>312</t>
  </si>
  <si>
    <t>se 48 na\íos de linea: 27 fragatas : .3 corbetas : 6 berganti­ nes: una goleta- total “37'. — Total gt riera i , 1002. Dias pasados se aseguró que el-príncipe Stahremberg habia re­ cibido' despatilló:?de'stí corte, infórisándole que'el Austria* estaba detémiiñatta á continuar las hostilidades. — lías'cartas particula­ res de …</t>
  </si>
  <si>
    <t>Stediñgk</t>
  </si>
  <si>
    <t>. GRAN-BRETAÑA. Londres 31 de julio. Por el correo de Gottemburgo que llegó anteayer, hemos tenido noticias interesantes de Stockolmo hasta él 18. El conde Stediñgk ha salido para Petersburgo á concluir la paz entre Rusia y Suecia. El rey actual (Carlos xm) ha recomendado ála dieta.al prín(1) Quiere decir, que han preferido b…</t>
  </si>
  <si>
    <t>Stedmkde</t>
  </si>
  <si>
    <t>cr-se firmó en Frederickslum un tratado de paz perpetuo.entre la Rusia y la_Su.e,cia &gt;,por nuestro ministro plenipotenciario coutie Romanzovv , y «el barón Stedmkde parte de la Suecia.” “Toda^ las;grofg©siei«nes hechas ;p^ts nos relativas-á esta paz han sido aceptadas, y la incorporación del gran ducado de Finlan­ dia al impe…</t>
  </si>
  <si>
    <t>Stein</t>
  </si>
  <si>
    <t>altzburgo j pero este nú­ mero es sin duda alguna exagerado. (?) (4 ) Ta trata de prevenir la opinión , anunciando como li­ belos las Memorias del ex-Ministro Stein. ¡Como temen los mal­ vados que se descubran sus iniquidades ! ( f ) Hoy el número de 1 combatientes es sin duda exa­ gerado en boca de los franceses, y mañana , …</t>
  </si>
  <si>
    <t>Steiz</t>
  </si>
  <si>
    <t>teración ninguna en el precio: solo los al­ dos secretarios de ta academia son el con­ godones de levante han subido de io á tj sejero Schlosser y el doctor Steiz.</t>
  </si>
  <si>
    <t>Steward</t>
  </si>
  <si>
    <t>Turquía: nia superior, conocido ya por sus campa­ ,, La fragata inglesa el Caballo marino, ñas de Egipt^, sucederá, según se dice , á mandada por el capitán Steward , entró el Mehmick baxá en el empleo de gran visir; 27 de enero al medio dia en el puerto de pero todavía no se ha verificado su nombra­ Constantinopla, trayendo …</t>
  </si>
  <si>
    <t>Stewart</t>
  </si>
  <si>
    <t>acaso mucho mayor hacia de granadas; oero hemos vuelto X en­ que el que ha dicho un valeroso general trar en ella: se han colocado inmediatamen­ (el general Stewart), sin embargo que le te los hornillos; y se ¡es iia dado fuego pa­ regula de 4.1 hombres. Si una parte de ra destruirla, y sepultar al enemigo, que nuestro exérci…</t>
  </si>
  <si>
    <t>o á repetir que nuestro ministerio es un ducta de los ministros respecto de la Espa­ cuerpo sin cabeza.” ña y del Portugal. En seguida se procedió El general Stewart dixo que el go­ á la votación, en la qual hubo 127 votot á bierno no había tenido parte «n las mar­ favor de la propuesta, y 229 «u contra.</t>
  </si>
  <si>
    <t>Stipsiez</t>
  </si>
  <si>
    <t>nos de la mitad de su fuerza. Muchos regimientos de infantería y ca­ Lintz a de marzo. ballería han recibido racientemente la or­ El teniente de fe!d-mariscal Stipsiez ha den de marchar á Bohemia y al Austria tomado el mando en gefe del exército que superior. Aquí esperamos de un momento hai en las fronteras del Austria super…</t>
  </si>
  <si>
    <t>Stipsitz</t>
  </si>
  <si>
    <t>BEL VIERNES 5 DE MAYO BE l8og. • ' r ALEMANIA. ¿ Aliona si de marzo« .tv&gt;. . • * .. .. Escriben de Liníz con. fecha de z deí corriente, «que, el Feld-Mariscal Stipsitz ha sido nombrado Comandante en scefe de las fronteras del Alta-Austria. El quartel general lo tiene en Lintz , y la guarnición desaquella plaza y otros regimie…</t>
  </si>
  <si>
    <t>Stockhorn</t>
  </si>
  <si>
    <t>i de Wurtemberg ha nom­ Se cree que el ministerio de lo Interior, brado comendador de la orden del Mérito vacante por dimisión del conde de Dohoa, al coronel Stockhorn por los distinguidos se conferirá al señor de Gerlach, nuevo servicios que ha hecho en los ataques del i5 burgomaestre de esta ciudad, que merece y 17, donde l…</t>
  </si>
  <si>
    <t>Stoekfeorn</t>
  </si>
  <si>
    <t>411</t>
  </si>
  <si>
    <t>ta. Calsruhe 27 de setiembre. Han partido refuerzos’para el cuer­ po de badeses que se halla en Moraría.-Se cree que el que está baxa las órdenes del coronel Stoekfeorn en la Süabia superior, marchará también al .Austria, si las hostilidades vuelven á reno­ varse. Se hace con mucha actividad la recluta en el gran ducado de Ba…</t>
  </si>
  <si>
    <t>Strasburgo, Na</t>
  </si>
  <si>
    <t>Na Strasburgo</t>
  </si>
  <si>
    <t>llegó ante­ á la isla. ayer á esta ciudad desde Petersburgo, y IMPERIO FRANCES. sin detenerse salió para Munich, donde en­ contrará probablemente al Emperador Na­ Strasburgo 25 de octubre. poleón. Ayer entre 11 y 12 de la mañana he-</t>
  </si>
  <si>
    <t>Stuart</t>
  </si>
  <si>
    <t>neral cesor lo tenia en Berlin con la plaza de Kosinski , cuyo denuedo y patriotismo son cronista , y el Emperador Napoleón no de- bien conocidos. El coronel Stuart y el ge­ xó de discernirlo como una de las mas pre­ neral de brigada Miguel Dombrowski lian ciosas conquistas que había hecho en la Pru- contribuido mucho á sus t…</t>
  </si>
  <si>
    <t>ue se siderablemente, y según todas las aparien­ intenta hacer un desembarco en las cosra* cias sufrirá todavía mayor pérdida. Muchas' de Sicilia. El general Stuart, que manda personas están persuadidas que las cédulas en la isla , ha pedido refuerzos á la Ingla­ del banco naupodrán sostenerse, y que no terra , porque cree qu…</t>
  </si>
  <si>
    <t>Stutterheim</t>
  </si>
  <si>
    <t>791</t>
  </si>
  <si>
    <t>or mas tiempo, Se ha levantado la prohibición que ha- habían tomado e: partido de volverse aqui; bia en Suecia de introducir libros franceses pero el general Stutterheim ha mandado ar­ y daneses. restarlos , y van á ser juzgados como de­ PRUSIA. sertores. SANONIA. Se flirt 2&lt;f de mayo. Leipsick 28 de mayo. El .señor general d…</t>
  </si>
  <si>
    <t>as de haber au­ de pintura, cuyo asunto era el robo de las xiliado la deserción de Schill y de su cuer­ Sabinas y asunto que aunque tratado ya po. El general Stutterheim desempeña aquí muchas veces por los maestros mas céle­ las funciones de gobernador. El general bres , dio ocasión á que el joven artista des­ 1’ Estocq no es…</t>
  </si>
  <si>
    <t>Su, León</t>
  </si>
  <si>
    <t>León Su</t>
  </si>
  <si>
    <t>. Otra á la Puentecilla, de 2 fan., en 140 rs. teniente corregidor de esta villa, por la escribanía de Quien quisiere hacer postura acuda ante el Sr. D. León Su niunrro, que exerce D. Juan Raya, dentro de 30 de Sagasta, teniente corregidor de esta villa, por la dias contados desde el de la publicación. escribanía de su número…</t>
  </si>
  <si>
    <t>Suarez, Ignacio</t>
  </si>
  <si>
    <t>Ignacio Suarez</t>
  </si>
  <si>
    <t>.000 D. José Bernardo Baz 10.000 D. Juan Antonio Aristi. 2.000 D. Joaquín de Echarte. 15.000 D. José María Landa. 4.000 D. Domingo Llano Torre. 2.000 D. Ignacio Suarez. 9.000 El subteniente D. Gabriel Manuel Iturbe. io ooq D. Manuel Tirso Salceda. 2.ooo# D. José Gregorio Urbizu. 10.000 D. Baltasar Casanueva. 10.000 D. Teodoro…</t>
  </si>
  <si>
    <t>Subdelega</t>
  </si>
  <si>
    <t>eñalado el alcalde I/orenzo Gáray, Mosen Serafín Aranda,. Beneficiada de aquella parroquial , y D." Fermín Fernando Garay , Asesor del Ayuntamiento y Juez Subdelega­ do de la Real Caballería del . partidode Alcañiz.: S., M. , i m£s de que acordará las debidas recompensas, ha mandado se haga notorio ui hecho tan digno de la at…</t>
  </si>
  <si>
    <t>Súchel</t>
  </si>
  <si>
    <t>ientos, y puesto sus almacenes y depósitos de armas. Las tropas del tercer cuerpo de exérci­ El coronel Henriod , fiado en el valor to mandado por el general Súchel, des­ de sus tropas, dio las órdenes correspon­ pués de haber derrotado completamente en dientes para acometer á los enemigos, á pe­ el mes de junio, en las inmed…</t>
  </si>
  <si>
    <t>Suchet</t>
  </si>
  <si>
    <t>s tropas que tenían esparci­ das en diferentes puntos de la parte de acá del Ebro, vinieron á atacarme ayer en mi posición delante de ésta Ciudad; El General Suchet que acaba de suceder á Junot 9 queriendo sin duda señalar su en­ trada al mando con alguna ventaja nota­ ble ; no se proponía menos que ía entera destrucción del …</t>
  </si>
  <si>
    <t>do en su compañía á Wattier y otros Ge­ nerales. No tenia idea el General Suchet, según parece , del carácter animoso y fir­ me de las tropas españolas , y ha apren­ dido bien á su costa á conocerlas. Ni el fuego viva de su artillería , ni la superio­ ridad de su caball</t>
  </si>
  <si>
    <t>Gazeta del Gobierno n.º 38 (extraordinaria)</t>
  </si>
  <si>
    <t>DEN DE HOY. Eos exéreitos franceses mandados por Eon a parte en persona han sido completamente derrotados el dia 23 de majo. A el mismo tiempo que el General Suchet huia vergonzo­ samente de A lcañiz, rechazado por las valien­ tes tropas aragonesas y valencianas, los aus­ tríacos nuestros aliados .destruían á los fran­ ceses …</t>
  </si>
  <si>
    <t>entan 6 oficiales superiores y muchos ofi­ nacionales en todos los pueblos que han ciales particulares. dado pruebas de celo y de fidelidad, y se­ El general Suchet hace grandes elogios ñaladamente en la provincia de Toledo , con de sus generales , de la oficialidad y de sus la qual está contento; que á esta providen­ tropas …</t>
  </si>
  <si>
    <t>ar ESPAÑA. vuestro reposo. . r .i. • Ayudad mis intenciones;*llamad á-vtresZaragoza ? p de junio. trqs hijos, baxo el seguro de que no serán El señor generaL Suchet ha dirigido á inquietados; pero si es que tardan á obe­ dos habitantes de esta provincia la siguiente decer mi voz, me veié obligado á conside­ proclama: rarlos c…</t>
  </si>
  <si>
    <t>tre los agentes de Napoleón uno de aquellos delitos atroces que mere­ cen proscripción y confiscación de bienes.. Conformándose con este principio el general Suchet, que se titula gobernador de, Aragón y comisario regio por el rey José, ha expedido un decreto, por el que se mandan sequestrar todos los bienes y pertenencias de…</t>
  </si>
  <si>
    <t>uantps esfuerzos, hace para, extenderse por- el; reyno la. cohorte de bandidos qué guarnece; .4 Zaragoza, Copiármeos ahora la relación oficio qué el. general Suchet remitid últiriiamen te al ministro de guerra, de Bonáparte ,. y se ha. insertado en. eh Journal du soir de 5 de agosto. Es pieza digna por sus- impudentes mentira…</t>
  </si>
  <si>
    <t>n la nación por los aurores Madrid ¡8 de noviembre. de nuestra fatal revolución, y á impedir que se propaguen mas sus perniciosos efec­ El Excmo. Sr. general Suchet, gober­ tos. SUPLEMENTO</t>
  </si>
  <si>
    <t>las fronteras, han anun­ ciado en la provincia de Aragón el próxi­ Zaragoza i.° dé noviembre. mo fia de todas las calamidades de la Es-El Exsmo. Sr. general Suchet, conde paña por la pacificación de los dos imperios. dél Imperio, gobernador general de la pro­ En acción de gracias de este feliz suceso se vincia’de Aragón, hizo…</t>
  </si>
  <si>
    <t>l Roncal por un Buruehuri, que no ha nacido para hacer figura cerca de vos, ni de los de vuestro partido. Me empeño en apretares para satis­ facer al general Suchet en su demanda: para conseguir su so­ licitud, reúno la mía á la suya con el mismo objeto, como también el de que me enviéis 25 artilleros que desde el ca­ mino de…</t>
  </si>
  <si>
    <t>óxima ruina y total exter­ minio del rey José y sus exércitos de la España , á no servirles esta de sepulcro. — Seria un imprudente si con­ solase al conde Suchet viéndome salir del error en que me considera. Aprecio su interes y el vuestro por mi feli­ cidad ; pero esta no se encuentra en vuestro partido. Los escombros de la…</t>
  </si>
  <si>
    <t>ratamiento que Interior, encargado por el Reí de abrir la experimenta de parte del excelentísimo se­ sesión anual del cuerpo legislativo, ha pro­ ñor general Suchet, gobernador-de e$ta nunciado cón este'motivo el jueves 16 un provincia, parece se ha justificado del cri­ discurso, en el quai dixo á (os miembros men de haber he…</t>
  </si>
  <si>
    <t>imperial: también pasan por allí otras muchas tropas de todas armas, y se dirigen á lo interior de Francia. — Se ha publicado en París una carta del general Suchet, fecha en Zaragoza á 31 de octubre , en la qual 4a ojién? ta'de que sus tropas arrojaron ;el 26 del mismo: 4é 1&amp; posición &amp; nuestra señara de la 'Feemeniad til bri…</t>
  </si>
  <si>
    <t>Suchtelen</t>
  </si>
  <si>
    <t>mas oportunas para facilitar su subsistencia en los distritos poco fértiles y faltos de recursos por haber sido ya*dos veces teatro de la guerra. El general Suchtelen , gefe del estado mayor general, y uno de los oficiales mas acre­ ditados de Rusia, ha dirigido el repartimiento de las tropas en varios acan­ tonamientos. El g…</t>
  </si>
  <si>
    <t>Suchtelin</t>
  </si>
  <si>
    <t>el general Tutschakow, y eri donde encontró los destacamentos de la coluna derecha del general Kamenskoi. Según las nuevas disposiciones dadas por el general Suchtelin, gefé del estado mayor general del exército del conde de Buxhowden , las tropas que componen este exército se acantonan con grande extensión en las provincias …</t>
  </si>
  <si>
    <t>Sucksf</t>
  </si>
  <si>
    <t>de no pararse en la jornada.ctr ¡Esmuy posible que Bonaparte haya traído &amp; Fon' (,t) 1 La gaveta dé Madrid del'6 de diciembre copiando este paris del general Sucksf, desfigura tar. impudentemente la última parte de su rsiaci&amp;n , -que dice así s *Los habitantes de Aragón, y especialmente ios de tas fronteras de iíla'provincia'…</t>
  </si>
  <si>
    <t>Suden</t>
  </si>
  <si>
    <t>n salido quatro Los señores gefes del estado mayor pre­ destacamentos; el uno para BuikUoot, á las sentarán con la mayor brevedad posible órdenes del general Suden, que manda en listas en las que esten anotados ios nombres, la parte de Nord-Holbnd , inmediata á apellidos, edades, grados y pueblos de na­ Amsterdan ; el segundo…</t>
  </si>
  <si>
    <t>Suero, Vicente</t>
  </si>
  <si>
    <t>Vicente Suero</t>
  </si>
  <si>
    <t>e S.Román, viuda, con sus hijos. — El marques de Melgarejo. El marques de Camarera y su padre. -- El conde de Canillas.— El marques de Villamejqr. -- D. Vicente Suero. — D. Bartolomé Vincenti. — D. Juan Pedro Vincenti. *- D. Pedro Iglesias. — D. Francisco Ortega. — D. Manuel de la Quintana. — D. Juan Antonio López. — D&lt; Manue…</t>
  </si>
  <si>
    <t>Suerra, Pedro</t>
  </si>
  <si>
    <t>Pedro Suerra</t>
  </si>
  <si>
    <t>do el mayor valor, recomienda el comandante de la vanguardia las compa­ ñías de los granaderos de Saboya con sus capitanes D. Francisco Ce­ bollino y D. Pedro Suerra , y el teniente D. Manuel Ricart , de los quales han sido heridos el primero y tercero : igualmente recomienda dicho xefe de la vanguardia al teniente de granade…</t>
  </si>
  <si>
    <t>Sulli</t>
  </si>
  <si>
    <t>por un barco in­ que se piensa generalmente. gles , que le pidió el saludo; y quejándose La Inglaterra no tuvo por espacio de de semejante ultraje el ministro Sulli, !• iruchos años sino una marina de piiatas, y respondió el capitán ingles: ,,quc tenia órdesde luego manifestó sus designios de des­ „den de su gobierno para pre…</t>
  </si>
  <si>
    <t>Sutoli, Josef María</t>
  </si>
  <si>
    <t>Josef María Sutoli</t>
  </si>
  <si>
    <t>s , está {Sombrado subteniente en re­ En el,batallón de infantería ligeran. t.° emplazo de D. Pedro Lapeña. D. Francisco Callejas, subteniente de di­ D. Josef María &lt;Sutoli, teniente que cho cuerpo, está nombrado teniente de fue del regimiento de infantería de Navar­ Id primer, conipuñu. ra , está nombrado teniente. En caball…</t>
  </si>
  <si>
    <t>Suwarow</t>
  </si>
  <si>
    <t>e ha de presentar el señor de Met­ ternich al ministro de Relaciones exte­ Según varias noticias de oficio una co­ riores. lana rusa , mandada por el príncipe Suwarow, se habrá reunido el dia 9 con el cuer­ El infrascrito embaxidor remitió con la po del príncipe Poniatowski entre Sapdo- posible brevedad á la corte de Viena la…</t>
  </si>
  <si>
    <t>Tabeada</t>
  </si>
  <si>
    <t>los enemi­ gos , y á breve rato se dirigieron á reconocernos y atacar­ nos , pensando que no teniamos mas fuerzas que las que presentábamos ; pero el General Tabeada , comandaste de la segunda , había ocultado la mayor parte , de modo que á ' breve rato les caímos encima con todas las fuerzas , y los pers eguimos hasta las in…</t>
  </si>
  <si>
    <t>Taberner, José</t>
  </si>
  <si>
    <t>José Taberner</t>
  </si>
  <si>
    <t>lerena : á D. Juan Cas­ quero y i). Juan Ruiz, coronel y alférez de Borbon : al brigadier D. Cir­ ios Tasier, comandante de esquadron del Infante : á D. José Taberner, teniente coronel del de la Reyna: á D. Autolin Reguilon , comandante de esquadron del regimiento de voluntarios de Ciudad-Rodrigo: á D. Juan Yuste, á D. Ventur…</t>
  </si>
  <si>
    <t>Tablada, Jacinto Agúilar</t>
  </si>
  <si>
    <t>Jacinto Agúilar Tablada</t>
  </si>
  <si>
    <t>y tropa, que tiene á sus órdenes , desde su segusdo el capitán de fragata D. Miguel Peguera, su ayu­ dante de órdenes el teniente de la misma, ciase D. Jacinto Agúilar Tablada , el alferea de navio D. Miguel de Soto, y el de fragata D. Francisco Flores, hasta ei ultimo , inciu* yendo asimismo á los dél- ministerio D. Josef de…</t>
  </si>
  <si>
    <t>Tabora, Juan</t>
  </si>
  <si>
    <t>Juan Tabora</t>
  </si>
  <si>
    <t>*4a D. Joaquín Fernando de £ta. María So rls. para ¡guata» md» chiia» y dos pares de medias. Deña Catalina Hidalgo, 20 rls. para dos pares de medias» D. Juan Tabora , 10 rls» para un par de medias. D. Pedro R uiz, 20 rls* para dos pares de medias» D. Marcos U*loa , 40 rls. para dos mochilas y un par de medías» D. Juan Escobar…</t>
  </si>
  <si>
    <t>Tadeo</t>
  </si>
  <si>
    <t>igni (D. Francisco) , gefe de batallq, DE ESPAÑA- Bouvard , mayor de volteadores de la guai&lt; ' En nuestro palacio de Madrid á aj de día real. Bravo ( D. Tadeo), regidor de Madrid. octubre de 1809. Brousse , mayor de caballos ligeros de l| Don Josef Napoleón por la gracia de guardia real. Dios y por la constitución del estado,…</t>
  </si>
  <si>
    <t>cio). — Bigaré, general y edecán del rey. — Bouligni (D. Francisco ) xefe de batallón. -- Bouvard , mayor de volteadores de la guardia real. — Bravo (D. Tadeo) regidor de Madrid. — Brousse , mayor de caballos ligeros de la guardia real.” “Caamano (D. José ) ministro en Suiza. — Calvo (D. Ignacio) capitán de caballería. — Camb…</t>
  </si>
  <si>
    <t>Tafalla, Juan Miguel Perez</t>
  </si>
  <si>
    <t>Juan Miguel Perez Tafalla</t>
  </si>
  <si>
    <t>arreglo á las especiales -constituciones .de las dichas .Ordenes,, ha nombrado .$• M» a D. Miguel Alfonso Villagomez , á D. Luis Melendez Bru­ na , y D. Juan Miguel Perez Tafalla., ;• &gt; A beneficio de los- qúé /quieráirt^réorift'^létar ”_Ia pjpíeé^iqi» de los números del Semanario Tat^íóficó ‘ sé .reimpriman ( aunque no por c…</t>
  </si>
  <si>
    <t>ebastian de Torres,D. Ignacio Martínez de Villela , D. Miguel Alfonso Villagomez, D. Tomás Moyano, D. Pasqual Quiíez y Talón, D. Luis Melendez Bruna, D. Juan Miguel Perez Tafalla, y el Sr. Fiscal D.An­ tonio Cano Manuel. Luego que llegó eí Sr. Decano y dexó el co­ che en el zaguan de la referida casa , salieron á recibirle do…</t>
  </si>
  <si>
    <t>Tailor</t>
  </si>
  <si>
    <t>ue los ,, Las tropas italianas y francesas que ingleses desembarcaron en la Martinica el están en Trento han sido mui bien reci­ 30 del mismo mes. El capitán Tailor y bidas." otros oficiales han sido muertos; y heridos Tr evito 20 de abril. el teniente coronel Packenham y muchos El quartel general de nuestras tropas oficiales…</t>
  </si>
  <si>
    <t>Taimé</t>
  </si>
  <si>
    <t>pos de dragones ingleses al mando del general Anson , dirigidos por el teniente genefaiiPayne, y sostenidos per la brigada de caballería do línea del general Taimé.- Padeció* machó uno de los dos regimien­ tos de dragones ingleses; pero la' carga produxo el efecto de des­ concertar el plan del enemigo, y causarle tina horribl…</t>
  </si>
  <si>
    <t>Talleirand</t>
  </si>
  <si>
    <t>ausas t objeto &amp;c. (Véanse todos modos á Jos fieles á que se despojen las gazetas números 106y J07.) de aquel espíritu de partido que ulcera los ,,El ministro Talleirand no contestó corazones , é irrita los ánimos; á que re­ nada á la respuesta del lord; pero pidió nuncien á las divisiones intestinas que abor­ que se le decla…</t>
  </si>
  <si>
    <t>Tamayo, Joaquin</t>
  </si>
  <si>
    <t>Joaquin Tamayo</t>
  </si>
  <si>
    <t>588 ~ nuel Albuerrte. — D. José Palafox. — Condesa viuda de Llerena.— D. José Amarillas.— D. Francisco Xavier Ochoa.—-D. Joaquin Tamayo. — D. José Compani. — Marques de la Romana.— Conde de Cimera. —; D. Eusebio Bardaxi y Azara. — D. Evaris­ to Perez de Castro.— D. Tadeo Francisco Calomarde.— D. Cris­ tóbal de Góngora. — D.</t>
  </si>
  <si>
    <t>Taraire</t>
  </si>
  <si>
    <t>al cuerpo del que se halla en Bergopzoom , indignada de exército holandés que se reúne á las órde­ la conducta de este general, se ha negado nes del general Taraire. á recibirlo.” »»La esquadrijla al mando del almirante Ruich ocupa el puesto de Krammer. El IMPERIO FRANCES. mariscal Winter ha dado al Re! parte de la buena cond…</t>
  </si>
  <si>
    <t>Tarin, Joaquin</t>
  </si>
  <si>
    <t>Joaquin Tarin</t>
  </si>
  <si>
    <t>quía , á D. Andrés Segura, cura párroco en aquella ciudad; y para otra canongia vacante de la propia iglesia, por muerte de D. Buenaventura Canals, á D. Joaquin Tarin , vicario general de aquella diócesi : para la de Canarias, vacante por fallecimiento de D. Femando Hernández Zumbado , á D. Este­ ban Fernandez Salazar , racio…</t>
  </si>
  <si>
    <t>Tarraire</t>
  </si>
  <si>
    <t>a administración se.formará por la jun-, caminos de París á Amberes están cubiertos ta, y se pasará al ministerio de Hacienda, de tropas. El teniente general Tarraire con para qne. se incluya ep el general de este, 6® holandeses, de los quales hace parte la ramo para nuestra aprobación. guardia del Rei, sejia reunido al exérc…</t>
  </si>
  <si>
    <t>Tascher</t>
  </si>
  <si>
    <t>60 rs. vn. continuará.) iiBRO. ESPAÑA. Código Napoleón, ó sean las Leyes civiles Madrid 21 de marzo. que hoi gobiernan á la Francia , traducido al El coronel Tascher, edecán de S. M., castellano seguu la edición que contiene las va­ riaciones adoptadas por el cuerpo legislativo acaba de llegar de Truxillo, donde dexaba en 3 d…</t>
  </si>
  <si>
    <t>Tauenzien</t>
  </si>
  <si>
    <t>sobre este particular; y no tardará decreto, que concede á la nación sueca la en descubrirse la verdad. libertad de la imprenta con las limitacio­ El general Tauenzien desempeña inte­ nes siguientes: rinamente las funciones de gobernador de 1. a ,, Si después que el gobierno haya Berlin; pero se cree que no conservará por cen…</t>
  </si>
  <si>
    <t>Tavechemps, Francisco</t>
  </si>
  <si>
    <t>Francisco Tavechemps</t>
  </si>
  <si>
    <t>sa, capitán y ayudante de de Erfurt; hemos perdido un exército en segunda clase de la plaza de Madrid ; á España} hemos arrastrado al Austria al cam­ D. Francisco Tavechemps y á D. Josef po de batalla, y por dexarse gobernar de Valbuena, tenientes de caballería , capita­ nuestros consejos se la ve ahora reducida nes de la mis…</t>
  </si>
  <si>
    <t>Tavenzien</t>
  </si>
  <si>
    <t>edir harinas á una caxa de gran valor. S. M. I. ha con­ qualquier precio. decorado con la orden de S. Andrés de pri­ Aliona de febrero. mera clase al general Tavenzien; y ha re­ galado una caxa de oro con el retrato del El consejero íntimo barón de HammersEmperador guarnecido de brillantes al ge­ tein, ministro de Estado del …</t>
  </si>
  <si>
    <t>Taxis</t>
  </si>
  <si>
    <t>GAZETA DEL GOBIERNO 't ‘ ; 'v •. DEL LUNES IQ DÉ JUNTO DE l 8og. ALEMANIA. Relación Sel Teniente General Taxis al Emperador de Austria* ■ A. „ Se5«r. — Creo de mi «bligidan el hacer sabedor á V. M. í. dé i testimonio de valor y fidelidad que han: ;*les pie*gado los antiguos vasallos de V. M. en prueba dé su afee* to á vuestra a</t>
  </si>
  <si>
    <t>Taylor</t>
  </si>
  <si>
    <t>La defensa dé esta posición costó á los enemigos 'mas de 300 hombres , y nosotros tupimos algunos muertos y heridos * entre los primeros se cuenta el Teniente Coronel Taylor, y entre los segundos el Teniente Coronel Pakenham , y el Mayor Maxwell.—-El referido día 3 á las 8 de la noche rompió el fuego la batería. En pocas hora…</t>
  </si>
  <si>
    <t>de su propio gobierno; por cuya razón han sido arrestados, y se ha representado sobre esto i la corte de Dinamarca. A Plimouth ha llegado el Fénix , capitán Taylor, el qual á la altura de Santo Domingo avistó el bergantín la Tórtola , procedente de los Cayos * que la informó que loe franceses de Sto, Doiqingo se habían rendid…</t>
  </si>
  <si>
    <t>Tbeulié</t>
  </si>
  <si>
    <t>30 dé ju­ coodc.deSolms , oficial -saxon « enviado co­ nto serán trasladad aval - panteón las ceni­ mo correo por.el Emperador á S. M. el Reí zas del general Tbeulié, que fue muerto . de ■ Saxonia. Dicha oficial salió el dia ■* tsdeí '.gloriosamente por una bala de cañón éc él quartel general imperial de Wolkersdorf. sirio de…</t>
  </si>
  <si>
    <t>Teílo, Juan</t>
  </si>
  <si>
    <t>Juan Teílo</t>
  </si>
  <si>
    <t>ez, 10 rls. para un par de medias. IX Juan Diego de ia Peda, 20 rls. para dos pares dp medias. D. Francisco Pernia, 20 rls. para dos pares de medias. D. Juan Teílo , 17 rls. para unos zapatos* D. Josef González , 10 rís. para un par de medias. XX .Antonio de la Cruz,40 rís. para 2 mochilas y 2 pares de medias. D. Francisco B^…</t>
  </si>
  <si>
    <t>Tejada, Antonio</t>
  </si>
  <si>
    <t>Antonio Tejada</t>
  </si>
  <si>
    <t>á D. Fausto Foronda,Don primeros D. Josef de Hueros y D. Camilo Santiago. Torres, D» t Joaquín Cituentes,; Arroyo , según el asunto de que se trate. D. Antonio Tejada, D. Josef Marta £ar,-r: El gefe de división D. Rafael Tenorio, nerero y E&gt;. Manuel García Suelto oficia^ tiene ¿ su cargo lo perteneciente á lasr tro­ les segun…</t>
  </si>
  <si>
    <t>n ; á D. Joa­ quín Albaytua , D. Luis Bellocq y D. Pedro Isla , oficiales pri­ meros ; á D. Fausto Foronda, D. Santiago Torres, D. Joaquín Cifuentes, D. Antonio Tejada, D. José María Carnerero y D. Ma­ nuel.García Suelto oficiales segundos ; y á D. José Antonio Con­ de archivero y ■bibliotecario. Por decreto del citado dia ha…</t>
  </si>
  <si>
    <t>Tejada, Cirios García</t>
  </si>
  <si>
    <t>Cirios García Tejada</t>
  </si>
  <si>
    <t>pitanes D. Pedro Fernandez y D. Victor' Cordero, al subteniente y ayudante in­ terino D. Bartolomé de Luna, y al teniente -de la compañía de Lanzeros D. Cirios García Tejada. Dios, &amp;c. i Numero IEL Parte del teniente general duque de Alburquerque. Excmo. Sr. tez Las ocurrencias que han sobrevenido incesantemente des* de la ma…</t>
  </si>
  <si>
    <t>Tejada, Ignacio</t>
  </si>
  <si>
    <t>Ignacio Tejada</t>
  </si>
  <si>
    <t>de mandado publicar en el diario de esta ciu­ setiembre S- M. ha nonibrado en el rtiiñisdad la carta que el señor Duboís de Thain- terio de Indias á D. Ignacio'-Tejada gefe dé ville , cónsul general y encargado de Nego­ división; á^D.. Mariano Blancas oficia Ipricios de Francia en Argel, caballero de la mero , y á D. Josef No…</t>
  </si>
  <si>
    <t>isterio de marina ; y por archivero á D. Juan Sanz y Bamtell. Por decreto de 22 de agosto y l.° de setiembre ha nombrado en «1 ministerio de Indias á D. Ignacio Tejada xefe de división; k D. Mariano Blancas oficial primero , y á D. José Xoriega ar­ chivero. Por decreto de 30 de agosto lia nombrado en el ministerio de negocios…</t>
  </si>
  <si>
    <t>Tejada, Mariano</t>
  </si>
  <si>
    <t>Mariano Tejada</t>
  </si>
  <si>
    <t>detes de reales le eligió, y no diga que debe á otro go­ uardias Walonas, D. Francisco Xavier bierno lo que ha recibido del actual. Mani­ f Lzpeleta, D. Mariano Tejada, D. Juan ^íanuel Errazquin , y otros. fieste cada uno su modo de pensar y sus deseos, produzca los méritos y razones en t;:Él seminario sigue con toda tranquil…</t>
  </si>
  <si>
    <t>Telio, Josef</t>
  </si>
  <si>
    <t>Josef Telio</t>
  </si>
  <si>
    <t>JD. Juan Pinto, xo rls. para un par de medias, ii. Vicente Vázquez, 10 rís. para un par demedias. D. Fernando Manteca, 10 ris. para un par de medias. D. Josef Telio, 10 rls. para un par de medias. D. Juan Vázquez, 10 rls. para un par de medias. Doña María Rodríguez , 10 rls. para un par de medias. D. Liego Rodríguez , 10 r’s.…</t>
  </si>
  <si>
    <t>Tello, José de Espinosa</t>
  </si>
  <si>
    <t>José de Espinosa Tello</t>
  </si>
  <si>
    <t>con sú dilación y persuasiones, y VVan-Halen ha trabajado como es propio de su bello corazón.” Estas dos cartas hacen el elogio del xefe de esquadra D. José de Espinosa Tello, y del intendente D. Luis María de Salazar., ambos ministros del consejo de mari­ na , manifestando la firmeza con que se han resistido á dar ni aun la …</t>
  </si>
  <si>
    <t>Tello, Josef de Espinosa</t>
  </si>
  <si>
    <t>Josef de Espinosa Tello</t>
  </si>
  <si>
    <t>er­ nandez. Consejo de Querrá. Sr. marques de las Amarillas y Sr. marques del Norte. Consejo del Almirantazgo. Excmo* S. D. Josef Justo Salcedo y Sr. D. Josef de Espinosa Tello. Sala de Alcaldes de Corte. Sr. D. Luis Marcelino Pereira, Sr. D. Manuel María de Junco y Sr. Don Angel Alfonso Noreña. Consejo de Ordenes. Sr. D. Cri…</t>
  </si>
  <si>
    <t>Tenajas, Juan José</t>
  </si>
  <si>
    <t>Juan José Tenajas</t>
  </si>
  <si>
    <t>ento, de D. José de las Casas , á D; Simón Perez Aguirre , 'penitenciario en la de Jaén : para la canongía dé la misma iglesia, vacante pór muerte de D. Juan José Tenajas; á D. Joaquín Villa'nueva, capellán de honor en la real capilla: para la vacante en dicha iglesia por fallecimiento de D. Ramón de Oñate y Burgo , á D: Nico…</t>
  </si>
  <si>
    <t>Tengo</t>
  </si>
  <si>
    <t>la capitulación que se me ha propuesto. Tengo el honor de saludar á Vd. con una perfecta 'estimación , y con la mas alta consideración. — Chalote ’P. D. Tengo el honor de enviar á Vd; , Señor Coro­ nel, un oficial en clase de parlamentario , para saber de^ Unitivamente si las 24 horas que se me han concedido pa­ ra responder …</t>
  </si>
  <si>
    <t>Tenorio, Rafael</t>
  </si>
  <si>
    <t>Rafael Tenorio</t>
  </si>
  <si>
    <t>lo Santiago. Torres, D» t Joaquín Cituentes,; Arroyo , según el asunto de que se trate. D. Antonio Tejada, D. Josef Marta £ar,-r: El gefe de división D. Rafael Tenorio, nerero y E&gt;. Manuel García Suelto oficia^ tiene ¿ su cargo lo perteneciente á lasr tro­ les segundos; y ¿ D.»Josef Antonio Conde pas de casa real, estados may…</t>
  </si>
  <si>
    <t>16 á las 3 de la mañana (1). (Se continuará J NOTICIAS DE ESPAÑA. Madrid, lO de setiembre. Por decreto de 21 de agosto S. M. (losé) ha nombrado (2) á D. Rafael Tenorio, D. Domingo Vengoa y D. Gregorio del Castillo xefes de división en el ministerio de- guerra ; á D. José Perez de Nueros y D. Camilo Arroyo ofi­ ciales primeros…</t>
  </si>
  <si>
    <t>Tenreyro, Joaquín</t>
  </si>
  <si>
    <t>Joaquín Tenreyro</t>
  </si>
  <si>
    <t>l honor de no­ ticiarle haber pasado á reconocer los quatro mil paysanos que formaban el.cerco y sitio de Vigo al mando del ma­ yorazgo de este reyno D. Joaquín Tenreyro , y un ofi­ cial de infantería de Portugal, titulado General, y de va ríos Curas Párrocos, con quienes acordado lo conveniente ; á la mas pronta rendición de…</t>
  </si>
  <si>
    <t>Teodoro</t>
  </si>
  <si>
    <t>ey no. Quando el Teniente General 'Marqués de Coupigni did cuenta en 23 del mes último del fallecimiento del General en Xefe del exéfcito de Cataluña D. Teodoro .Reding, lo hizo en los términos siguientes: ,, Agobiado del trabajo, rendido á una inmensidad de fatigas, traspasado de dolor por las continuas urgencias del exércit…</t>
  </si>
  <si>
    <t>Teodoro, Josef</t>
  </si>
  <si>
    <t>Josef Teodoro</t>
  </si>
  <si>
    <t>rador del Ni debe ser menos uniforme el culto y común á D- Ramón de Angulo , y substi­ tojo el sistema religioso. Much s comuni­ tuto-de procurador á D. Josef Teodoro dades 6 repúblicas dentro de la república Santos. grande se oponen á los fines de ésta , y no art. Xil. Nombramos también escriba­ pueden seguir medios uniforme…</t>
  </si>
  <si>
    <t>Teoel</t>
  </si>
  <si>
    <t>manos , ¿ qué diremos respecto de dos pri­ vaba ocultos su hija Raquel ; de todo io mos? Tengo por impolítico, á lo menos, qual infiero que aunque el Emperador Teoel extender los impedimentos de"consangui­ dosio pusiera impedimento dirimente al nidad á los primos segundos y terceros, y matrimonio de un cristiano con uua ¡uJ:a…</t>
  </si>
  <si>
    <t>Terán, Francisco Alonso</t>
  </si>
  <si>
    <t>Francisco Alonso Terán</t>
  </si>
  <si>
    <t>ectado de sus fondos, y de los Individuas también' del Comercio que se expresa­ rán, 8$o0 pesos en la forma siguiente. De sus fondos. 5O.OOO El Prior D. Francisco Alonso Terán, y su hermano D. An.-</t>
  </si>
  <si>
    <t>Teresa</t>
  </si>
  <si>
    <t>, 2 huertas, una rain y 4 heredades en sus términos, y otras 42. en los de San Román, Mezquie, Eguilaz, Zuazo, Andoin é Ibargue»1', del patronato de Doña Teresa ligarte, ai contado 20250, y 30370 al fiado: otra casa en la calle Mayor de dicha villa de Salvatierra, 2 huertas y 17 heredades y me­ dia en sus términos de la funda…</t>
  </si>
  <si>
    <t>Terreros, Santiago</t>
  </si>
  <si>
    <t>Santiago Terreros</t>
  </si>
  <si>
    <t>ente de grande utilidad. Ultimamente, Sr., Excmo. recomiendo á V. E. á mi mayor de ordenes el coronel D. Gaspar Vigodet , á los tenientes coro­ neles D. Santiago Terreros, y D. Josef Lanzarote, al ayudan­ te del General de ella el capitán D. Juan Batres, y á mis ayu­ dantes IX Julián Poveda, y D. Nicolás Ortiz de Landazuri, i…</t>
  </si>
  <si>
    <t>Teüechea, Antonio</t>
  </si>
  <si>
    <t>Antonio Teüechea</t>
  </si>
  <si>
    <t>van á adornar las Hemos decretado y decretamos lo que funciones de la paz; y el magnífico arco sigue: triunfal, erigido delante del palacio de.las ,, D. Antonio Teüechea, comandante de Tullerías, verá pasar por debaxo de sus esquadron de callería de línea , está nom­ bóvedas i la Francia toda entera. brado comandante del prim…</t>
  </si>
  <si>
    <t>Teymer</t>
  </si>
  <si>
    <t>cia e* sus crueldades , ni reconoce las leyes de la guerra , si lo tiene por conveniente á sus intereses , publicaremos el siguiente hecho. Quando el coronel Teymer atacaba al enemigo en las alturas de Hoetting ,.. donde le tenia apurado , le hicieron señales con pañuelos blancos ; el tambor tocó' iavllamada , \ los enemigos …</t>
  </si>
  <si>
    <t>Thadeus</t>
  </si>
  <si>
    <t>Feldkirch á Pludentz, y el general ’Frocompoaen son el conde Ignacio Potocki» el mentz» que la manda» tiene su quartel ge­ general Bronikowski» y el conde Thadeus neral eo Feldkirch. Matusewiez. El general Bronikov^ski ha re­ GRAN BRETAÑA. cibido la cruz de la legión de Honor. El príncipe Poniatowski» comandante Londres 10 de…</t>
  </si>
  <si>
    <t>Thicluno</t>
  </si>
  <si>
    <t>gunos dias en esta ciudad , en donde gallardía y aire militar de la brigada saxoreside su familia. El barón de Lagcrbielke, na que manda el esforzado general Thicluno de los principales individuos de la le­ msnn. gación, sale mañana para Hamborgo. El El 25 llegó aqui el 22.a regimiento de barón de Stierncrona ha sido enviado …</t>
  </si>
  <si>
    <t>Thiéhnaif</t>
  </si>
  <si>
    <t>el Tirol con 250 hombres. E1-2S ha ocupado =k Lovers, y en todas partes va desarmando á los habitantes. Aho­ rra debe estar ya en Inspruck (4). — El general Thiéhnaif há en'trado en Drésde (i). El duque de Abrantes está en Baireuth, y ha establecido sus puestos avanzados en las fronteras de la Bohemia (6). GRAN-BRETAÑA. Londr…</t>
  </si>
  <si>
    <t>Thiel</t>
  </si>
  <si>
    <t>949</t>
  </si>
  <si>
    <t>, el qual uniría á la Italia con la exército se halla reunida en Zwickau A las Francia, que se hallan separadas por este órdenes de S. M. Anteayer el coronel Thiel. río. Se han preparado todos los materiales man, comandante de un cuerpo de saxones para esta obra, y el señor prefecto de este y westfalíanos, que costeaba las fr…</t>
  </si>
  <si>
    <t>Thielemann</t>
  </si>
  <si>
    <t>círculo de mérito tan distinguido como el de Mr. Neustadt, y atravesó esta ciudad para ir á Ferber. Cose!. Al lleg ir aquí S. A. fue recibido por El general Thielemann continúa con el |OS magistrados civiles y militares y por el mando del cuerpo de tropas saxonas que clero, y entre las personas que componían hai en Dresde. es…</t>
  </si>
  <si>
    <t>Thielman</t>
  </si>
  <si>
    <t>es italiano á su gobierno, y sus esfuerzos vicdel señor general de Aibignac , y el cuerpo ttoriósós contra lá perfidia y la violencia de que manda el coronel Thielman. — un enemigo, que fundaba sus triunfos no En virtud de una órden de S. M. el Rei en sn valor sino en la traición, serán hon­ de Saxonia, una coluna movible, ma…</t>
  </si>
  <si>
    <t>. Su quartel líuea se ba presentado en estas aguas. general llegará esta tarde á Freiberg. Ayer salió también con dirección á Feterswalde PRjUSIA. el coronel Thielman con tod« las tropas saxonas y un regimiento de Westfalia. Los Ma^debutga 4 de julio. austríacos han entrado de retirada en Bo­ El jucvts ú timo 12 carros cargad…</t>
  </si>
  <si>
    <t>io de Polonia que fuerte cañoneo. Habiendo ocupado el ene­ ocupaba el general Amende. Al caer de la migo la Isla de Schouwen , no se han po­ tarde el general Thielman volvió á salir dido recibir noticias Je aquel punto. Lo de Ja ciudad, Hoi, después de medio dia, que da motivo para presumir que los ingle­ ¡los batallones aust…</t>
  </si>
  <si>
    <t>Thielmann</t>
  </si>
  <si>
    <t>este nú­ mero de raciones) con 11 piezas de artillería, y vinieron, sin ser observados, por el camino de Dippoldswalde, y por sitios monta­ ñosos. El coronel Thielmann, ayudante del Rey de Saxonia, y que tenia á sus órdenes 3$ hombres, únicas fuerzas disponibles que se dexaron aquí, habiendo sabido que los austríacos se había…</t>
  </si>
  <si>
    <t>; pero" : dé en esta-provincia mejor resultado que en con dificultad podrá entrar en Bohemia, las demas partes del reino. Los ingleses ha— porque el coronel Thielmann va cerrándole . bían lpgrado introducir en el principado sucon un cuerpo de sáicties todos l6¿ fiifióS, périóf varias quádrillas de salteadores arma­ y cortándo…</t>
  </si>
  <si>
    <t>tríaco AmenEn los días 13 y 14 entró en Dresde un de, que ocupaba aun i Dresde con 69 cuerpo de tropas austríacas al mando del hombres, ha escrito al coronel Thielmann general Amende. El teniente francés Mr. de (que ha sido promovido á general) que Septeuil, despachado por el príncipe de acababa de recibir orden de retirarse …</t>
  </si>
  <si>
    <t>parte tenia su quartel general el 5 en Freyherg. Verdau 9 de julio. Mucha parte del exército esth con el rey {Gerónimo) en Zvvickau. Antes de ayer el coronel Thielmann, comandante de un cuerpo de saxones y de vvesfalianes que esta en las fronteras de Bohemia, ha ciado cuenta á S. M. que le se­ guían por lo3 flancos algunas pa…</t>
  </si>
  <si>
    <t>Thielmano</t>
  </si>
  <si>
    <t>i Dretde *4 de turúzembreí do de Inglaterra‘cerca de nuestra :6brte, ha j • *; M f * c 'w.. v ;;vi V , salido de Offenel día 8 del corriente: para El general Thielmano ha kidd sombra­ Londres.” í do comandante'de ¡esTa ciudad datante la -■ La princesa de'ScInvarzeribérg ha llega­ ausencia del Reiv’’ i- *•- £• ¡ Mi&amp;ta ;•?' do …</t>
  </si>
  <si>
    <t>Thierri</t>
  </si>
  <si>
    <t>y con 35© hombres atacó á 5c©. El brio de bres entre muertos y heridos. Entre los pri­ nuestras tropas se aumentó todavía mas por meros se cuenta el coronel Thierri del 2 el recuerdo de la victoria memorable que há de infantería ligera ; y del número de los consagrado esta jornada. Todos los soldados últimos sen el general de…</t>
  </si>
  <si>
    <t>Thietmann</t>
  </si>
  <si>
    <t>jornada. á los habitantes. Ahora debe estar ya ea De todas las noticias recogidas resulta Inspruck. que la casa de Austria se estaba apercibien-. El general Thietmann ha entrado en do para la guerra cerca de quatro años ha­ Dresde. ce , es decir, desde la paz de Presburgo. ... El duque de Abranles está en Bairenth; En el espa…</t>
  </si>
  <si>
    <t>Thom</t>
  </si>
  <si>
    <t>os qae habla aun en Texel abril de este año. son l'Entreprise, su capitán Trippe,rde arí. iii. Los que tuviesen motivos Nueva-Yorck ; le Sujfolk , su capitán Thom­ para no trasladarse á los pueblos de su na­ son , de Nueva-Yorck; le Hannah , su ca­ turaleza, los harán presentes al ministerio pitán Buckwelr, de Petersburgo en …</t>
  </si>
  <si>
    <t>Thomson</t>
  </si>
  <si>
    <t>ilbao, S. Sebastian y Pasages se poadrán oficinas para el comercio extrangero y de AméiLcaMas adelante dá la siguiente noticia.“El paque­ bot Senake, capitán Thomson , ha llegado del Brasil á Falmouth con 70 dias de navegación y trae ia balija de Rio-Janeiro. Quando salió de allí se decia en secreto que había ocurrido una rev…</t>
  </si>
  <si>
    <t>Tiallo, Bernardo</t>
  </si>
  <si>
    <t>Bernardo Tiallo</t>
  </si>
  <si>
    <t>rarme, lo que exeeuté sin perder un hombre , ni haber te­ nido la menor desgracia. Recomienda á V. S. de .Calatrava. al teniente D. Antonio Carli, al sargento Bernardo Tiallo, al cabo Antonio Martínez, á los soldados Gabriel Laguna y Pedro Llórente : de voluntarios de España al carabinero Fran­ cisco Mexía, y al soldado Diego…</t>
  </si>
  <si>
    <t>Ticard</t>
  </si>
  <si>
    <t>hasta el Voralberg ,.cuyos habitantes han vuelto á lás armas ,, y d 23 ocupaban ya k Feldkircb. Dé Kempten escriben con fecha'del'23 , que aunque ei' general Ticard mantenía su posición eniás bayliás desarmadas dé Fonrmenstadt y Sánthopen , sus tropas tenian diariamente encuentros con los insurgentes en las fronteras del Tiro…</t>
  </si>
  <si>
    <t>Til, Fernando</t>
  </si>
  <si>
    <t>Fernando Til</t>
  </si>
  <si>
    <t>fusiles , además de t3 que i «a desudo en Asturias , millón y me­ dio de cartuchos y 373 piedras de chispa. Sevilla 28 tU agosta. El rey nuestro Sr. D. Fernando Til , y en sn real nombre la suprema .Junta central y gubernativa del réyno lia tenido á bien nombrar por su cónsul general y encargado de pegue ios en Argel á D. Ros…</t>
  </si>
  <si>
    <t>Tilesing</t>
  </si>
  <si>
    <t>dmiración de los artistas dé Francia y de Italia: el doctor Oibers cbhtirúa Con un ardor infatigable en sus observaciones' físicas y astronómicas: el doctor Tilesing ha inventado Ana máquina para hilar mui .ingeniosa y fácil de construir: el sistema de la educación vaperfeccionándose ,ymuchasf¿inilias distinguidas envían sus …</t>
  </si>
  <si>
    <t>Timón, Bernardo García</t>
  </si>
  <si>
    <t>Bernardo García Timón</t>
  </si>
  <si>
    <t>22 6 ridos, y "chité aquéllos se ha hallado un capitán del mím12b, cuyos papeles remito a V. S.zz: Fuente Viejo y ene­ ro de 1809. El teniente D. Bernardo García Timón, comandante del destacamento de Siejo , me da parte con esta fecha de ha­ berse1 batido con 87 hombres de su mando contra unos. 40Q hombres enemigos desde las …</t>
  </si>
  <si>
    <t>Tinao, Juan Vicente</t>
  </si>
  <si>
    <t>Juan Vicente Tinao</t>
  </si>
  <si>
    <t>omercio de esta ciudad. 4,000 D. Nicolás del Portillo y Portillo, Oficial mayor de la Real factoría de Utensilios de la tropa de Madrid. ...... 1,000 D. Juan Vicente Tinao, Corredor de número de esta ciu­ dad. ........................................................... .................................. ljOOO 47,000 Los ofici…</t>
  </si>
  <si>
    <t>Tirado, Josefa</t>
  </si>
  <si>
    <t>Josefa Tirado</t>
  </si>
  <si>
    <t>cisco Laceval , 60 rls. para quatro mochila?. D Bartolomé López , 20 rls. para dos pares de medias. D. Josef Rodríguez , 153 rls. para diez mochilas. Doña Josefa Tirado, 10 rls. para un par de medias. D. Agustín García, 10 rls, para un par dé medias. D. Juan Antonio Castañeda, 20 rls. para dos pares de media*. D. Antonio Begu…</t>
  </si>
  <si>
    <t>Tirlet</t>
  </si>
  <si>
    <t>saliente. á formarse delante de nosotros con siete ,,También son mui dignos de elogios el batallones y un crecido número de caño­ general Clauzel, el general Tirlet, coman­ nes , para batir los pasos por donde tenía­ dante de la artiüeria , el coronel Delaure, mos que salir desde Jas montañas á la lla­ gefe del estado mayor, …</t>
  </si>
  <si>
    <t>Tirol</t>
  </si>
  <si>
    <t>imeros días después de la pu­ : ,, Eugenio Napoleón , archicanciller del blicación de esta orden fuese cogido en el imperio francés, virei de Italia, príncipe Tirol con las armas en la mano»será arres­ de Venecia &amp;c. tado y pasado por las armas. ■ En vista de las actas de sumisión qne art. ni. Será igualmente arrestado y nos …</t>
  </si>
  <si>
    <t>Tisonas</t>
  </si>
  <si>
    <t>mplimiento de todas estas re­ gía de esta misma santa iglesia metropoli­ soluciones , se nombrará una junta de per­ tana; y para la ración que dexa á D. Tisonas bien intencionadas y celosas del bien bu rcio Saenz de S. Pedro, beneficiado de público , que nos proponga los demas medios las iglesias de la Guardia en Alava : á Do…</t>
  </si>
  <si>
    <t>Tixlard</t>
  </si>
  <si>
    <t>hora de combate, á todos los demás, de la confianza del Em­ y conduxo al ptierto de Frederikwaern. perador de Austria. Este bergantín, mandado por el capitán Tixlard, lleva 16 cañones de á 24 , uno de ALEMANIA. á 12 y dos de á ó, con 96 hombres de tri­ pulación , de los quales uno ha sido muer­ Sretnen 2 5 de agosto. to y qua…</t>
  </si>
  <si>
    <t>To, Antonio</t>
  </si>
  <si>
    <t>Antonio To</t>
  </si>
  <si>
    <t>unstancias no creí intempestivo informar de su por menor al caballero gobernador de la inmortal Gerona, mandando al efecto á mi ayudante de campo Dr. D. Antonio To­ mas Fages y Sans , subteniente del primer tercio de Gerona, con S húsares de la caballería de S. Narciso. El enemigo arrollado en el llano de Sarria , fué diverti…</t>
  </si>
  <si>
    <t>Tobar, O Juan</t>
  </si>
  <si>
    <t>O Juan Tobar</t>
  </si>
  <si>
    <t>basta verterla última gota de su sangre sus defensores* Salieron los esfor­ zados vecinos de ella en número de 400 escopeteros , coman­ dados por el presbítero O* Juan Tobar, y guardando un órden y disciplina como si fuesen tropas disciplinadas, y sos­ tenidos por 200 soldados de caballería, avanzaron al enemigo haciéndole fu…</t>
  </si>
  <si>
    <t>Tocanecorro, Gregorio</t>
  </si>
  <si>
    <t>Gregorio Tocanecorro</t>
  </si>
  <si>
    <t>arre.— Mar­ ques de las Amarillas.— Marques de Lezo. — D. Francisco Mondragon. — D. Francisco Vázquez. — D. Manuel Pardo. — D. José Perez Valiente. — D. Gregorio Tocanecorro. — Baronesa de Togia. — Marquesa de Villanueva. — D. Juan del Castillo. — D. Jo­ sé del Casal. — D. José Bea. — D. Cárlos Bancide. — Doña Ra­ mona Cabill…</t>
  </si>
  <si>
    <t>Todas, Venceslao</t>
  </si>
  <si>
    <t>Venceslao Todas</t>
  </si>
  <si>
    <t>a propuesto pu­ Acaba de fallecer á la edad de 70 años blicar un periódico sobre las lenguas y li­ el mayor general Hombourg. teratura de Oriente. El conde Venceslao Todas las cartas que se reciben del Aus­ Rezewuski se ha encargado de los gastos tria.superior y. de la Hungría hablan de los de la impresión de este, periódico.…</t>
  </si>
  <si>
    <t>Tofiño, Manuel</t>
  </si>
  <si>
    <t>Manuel Tofiño</t>
  </si>
  <si>
    <t>ofiño, ex-religioso de San se formará sin pérdida de tiempo un cuer­ Cayetano, y D. Lucas Romero; capeilan po movible de guardias nacionales, que es­ D. Manuel Tofiño, y médico D. Luis tará á disposición del gobierno. Este cuer­ Guarnerto. po se compondrá de dos batallones de ¿ 800 art. u. Quedan nombrados profesores</t>
  </si>
  <si>
    <t>Toledo</t>
  </si>
  <si>
    <t>za (D. Josef), alcalde de Datton (D. Antonio) , comandante de es- corte. quadrou. Salcedo Xaramillo ( D. Josef) , canónigo de Fernandez (D. Vicente), teniente coronel Toledo. de artillería. Say............ capitán de infantería de la guar­ Fita (D. Josef), gefe de división en el mi­ dia real. nisterio secretaría de Estado. Sc…</t>
  </si>
  <si>
    <t>Toledo, Josef</t>
  </si>
  <si>
    <t>Josef Toledo</t>
  </si>
  <si>
    <t>que han contraí­ do en esta ocasión , ademas de los comandantes de las lan­ chas , en cuyo grado pone ti de la goleta Tigre, el te­ díente de fragata D. Josef Toledo , los demás oficiales y g:ute de mar y tropa, que tiene á sus órdenes , desde su segusdo el capitán de fragata D. Miguel Peguera, su ayu­ dante de órdenes el ten…</t>
  </si>
  <si>
    <t>Tomar, Bartolomé</t>
  </si>
  <si>
    <t>Bartolomé Tomar</t>
  </si>
  <si>
    <t>. D. Antonio Diaz , 75 r-’s*- pira una casaca. D. Francisco Muñí z , 48 rls. para unos pantalones. D. Antonio de los Santos , 70 rls. para un poncho. D. Bartolomé Tomar?» , 48 reales .para unos pantalones. I). Francisco Xavier D z , 20 rls. para dos pares de medias. D. Antonio Hidalgo ^ 26 rls. para dos pares de botines. Doña…</t>
  </si>
  <si>
    <t>Tomas</t>
  </si>
  <si>
    <t>er­ de sin duda contar en breve tiempo hasta ra y Marina , hemos nombrado y nombra­ 3©, y no como quiera de gentes cuya mos por presidente de ellas á D. Tomas de subsistencia está librada en sueldos, sino de Moría, y por sus individuos al marques de propietarios y de vecinos agricultores, ga­ las Amarillas , á D. Josef Justo …</t>
  </si>
  <si>
    <t>peegui rios para marchas de tropas y de oñciales oficiales^prinxeros; á .p. Juan Pereira, Don sueltos que se empleen. Ildefonso ;Fnigueroa y. López , D. Tomas El gefe de división D. Gregorio- del Rodriguez Buron y J&gt;. Agustín Duro oii- Castillo todo lo celativo-á la administra­ cíales : segundos ; y á D,. Francisco Otpzco ció…</t>
  </si>
  <si>
    <t>ques ) , general y nuestro trangero. edecán. Deles, capitán del núm; i.°, brigada irlan­ CasaAValencía (conde), consejero de Estado. desa. Casanova ( D. Tomas), juez de la junta de Deslandes, nuestro secretario de gabinete. Negocios contenciosos. Despres, teniente coronel y nuestro edecán. Castiliejo ( D. Tomas). soldado del …</t>
  </si>
  <si>
    <t>( D. Juan Antonio), gefe de diviHernández ( D. Gabri I), teniente del re­ sion en el ministerio de Hacienda. gimiento de infantería mini. 2.° Mti-a ( D. Tomas), granadero del regi­ Il.rva» ( D. Manuei), administrador gene­ miento ruím. 2.0, infantería de línea. ral de correos. Mna de la Roca ( D. Joset Ramón). 1-Iid.lgo ( D. …</t>
  </si>
  <si>
    <t>Tomás</t>
  </si>
  <si>
    <t>ada irlandesa. — Cassano , caballerizo. — Casa-Palacio (marques) general y edecán •del rey. - Casa-Valencia (conde ) consejero de Estado. — Casanova (D. Tomás) juez de la Junta de negocios contenciosos.— Castillejo (D. Tomás) soldado del regimiento núm. a de infan­ tería de línea. — Castillo Larroi (D. Dámaso). — Cervino (D. …</t>
  </si>
  <si>
    <t>uardia. — García ( D. Ventura ) capitán dé caba­ llería. — García (D. Alfonso) granadero del regimiento núm., i , brigada irlandesa. — García Suelto (D. Tomás) médico dél exército de primera clase. — García de la Prada (D. Manuel) regidor de Madrid. — Gard ( D. Eugenio ) cirujano del regi­ miento real extrangero. — Garriga (D…</t>
  </si>
  <si>
    <t>e de Aragón. — Melito (conde) superintendente general de la casa real. — Melón (D. Juan Antonio) xefe de división en el ministerio de Hacienda.—Mena (D. Tomas) granadero del regimiento núm. 2 infantería de línea. — Mila de la Roca (D. Jo­ sé Ramón). — Miot (D. Santiago) escudero del rey. — Monnerer , mayor de granaderos de la…</t>
  </si>
  <si>
    <t>Tomates, Juan</t>
  </si>
  <si>
    <t>Juan Tomates</t>
  </si>
  <si>
    <t>. Manuel Martin , 10 rls. para un par de medias. D. Josef Perez , 20 rls. para dos pares de medias. D. Martin Serrano, 10 rls. para un par de medias. D. Juan Tomates , 10 rls. para un par de media?. D. Bernardo García , lo rls. para un par de medias. D. Francisco Rodríguez , 12 rls. para un sombrero. D. Juan Josef Vera , 12 r…</t>
  </si>
  <si>
    <t>Tomé, Antonio</t>
  </si>
  <si>
    <t>Antonio Tomé</t>
  </si>
  <si>
    <t>ero de él, quienes pagan anualmente 283 rs. 17 mrs.: el mismo D. Julián González Saez, conforme al real decreto de en una casa en dicha ciudad dada á D. Antonio Tomé, »8 de agosto del año próximo pasado y reales órdenes vecino de ella: el mismo en varias tierras en $. Medel, posteriores, se ha mandado sacar á pública subasta,…</t>
  </si>
  <si>
    <t>Tomé, Luis</t>
  </si>
  <si>
    <t>Luis Tomé</t>
  </si>
  <si>
    <t>Tueros............................................ 528 11Ó16 17424 l id. el Sr. Morales...................... .................. 5*8 11Ó16 174*4 Ud. D. Luis Tomé......................................... 1760 ■ 38720 58080 Td. núm. 10;. 1196 26312 39468 Id. núm. 9.... 672 . *4784 11176 Id. núm. 8... 236 *7 5209 16 7814 07 Id. …</t>
  </si>
  <si>
    <t>Torneo, Manuel</t>
  </si>
  <si>
    <t>Manuel Torneo</t>
  </si>
  <si>
    <t>de Tiradores de España; entre los segundos, el Teniente de Bal­ bastro D. Manuel Torneo con tres cuchilladas, 4 soldados de su batallón, otro de Rls. Guardias Walonas, un Carabinero Real y un caballo; y entre los últimos 3 Carabineros Reales y tres Caballos. CARTA INTERCEPTADA. MADRID, DICIEMBRE 2</t>
  </si>
  <si>
    <t>Torre, Domingo Llano</t>
  </si>
  <si>
    <t>Domingo Llano Torre</t>
  </si>
  <si>
    <t>z. 7.000 D. Diego Movellan. 16.000 D. José Bernardo Baz 10.000 D. Juan Antonio Aristi. 2.000 D. Joaquín de Echarte. 15.000 D. José María Landa. 4.000 D. Domingo Llano Torre. 2.000 D. Ignacio Suarez. 9.000 El subteniente D. Gabriel Manuel Iturbe. io ooq D. Manuel Tirso Salceda. 2.ooo# D. José Gregorio Urbizu. 10.000 D. Baltasa…</t>
  </si>
  <si>
    <t>Torrecilla, Antonio</t>
  </si>
  <si>
    <t>Antonio Torrecilla</t>
  </si>
  <si>
    <t>ández emprendió el el cuerpo de sir David Baird, que débia año pasado con acuerdo del doctor en me­ cooperar con el de sir Juan Moore, llegó á dicina D. Antonio Torrecilla , por ver si la rada de la Coruña el 13 de octubre, y averiguaba la causa de la sordera que pro­ no desembarcó hasta el 27 del mismo mes. duce la mudez , y…</t>
  </si>
  <si>
    <t>Torres, Santiago</t>
  </si>
  <si>
    <t>Santiago Torres</t>
  </si>
  <si>
    <t>Zea y D. Cnstoval Cladera xefes de división ; á D. Joa­ quín Albaytua , D. Luis Bellocq y D. Pedro Isla , oficiales pri­ meros ; á D. Fausto Foronda, D. Santiago Torres, D. Joaquín Cifuentes, D. Antonio Tejada, D. José María Carnerero y D. Ma­ nuel.García Suelto oficiales segundos ; y á D. José Antonio Con­ de archivero y ■bi…</t>
  </si>
  <si>
    <t>Torrija, Josef Rafael</t>
  </si>
  <si>
    <t>Josef Rafael Torrija</t>
  </si>
  <si>
    <t>allecímiea* ta de D. Pedro Echevarr’i á jp. Francisco Tovar y Pastrana , Maestrescuela de la misma Iglesia, y para la Maestrescolía que dexa este , á D. Josef Rafael Torrija. Después de haberse solemnizado con la, mayor pompa y ¿aparató el acto de juramento de fidelidad a nuestro legíti­ mo Soberano el Sr. J&gt;. Fernando VII po…</t>
  </si>
  <si>
    <t>Toscana, Bernabé de Sal</t>
  </si>
  <si>
    <t>Bernabé de Sal Toscana</t>
  </si>
  <si>
    <t>Don la y otros de esta naturaleza. La orden de Francisco Amorós ha dado á nombre del S. Estéban queda enteramente abolida en REI gracias al referido D. Bernabé de Sal­ Toscana. Todos los bienes muebles é in­ cedo por sus acertadas disposiciones, por su muebles de la drden se agregarán á la coro­ celo y el valor y bizarría con…</t>
  </si>
  <si>
    <t>Tosef</t>
  </si>
  <si>
    <t>apresura á ofreceros el tributo de su eter­ • ‘-Por decretos del mismo día S. M. se ha no reconocimiento: á la faz del mundo «. ad­ térvido nombrar á D. Tosef mirador de vuestras hazañas inmortales , o» «¡ente de infantería de línea; y promoverá jura una inviolable fidelidad, que el amor, la misma clase , en el regimiento núm…</t>
  </si>
  <si>
    <t>Toussaiat, Pedro</t>
  </si>
  <si>
    <t>Pedro Toussaiat</t>
  </si>
  <si>
    <t>manos , é igualmente otros mu­ chos prisioneros. Nuestro exército á las órdenes de los generales Romain y Joaquin , efectuaron su reunión con el del mariscal Pedro Toussaiat, y los persiguieron hasta la ciudad española de</t>
  </si>
  <si>
    <t>Touvenot</t>
  </si>
  <si>
    <t>icaces y acertadas medidas de es­ rado ya la noche anterior. te alcalde le han merecido los mayores elo­ Ataque del centro. Se ha continuado gios del general Touvenot, gobernador de ■ en las obras principiadas ayer. aquella provincia t este gefe y el corregidor Ataque de la izquierda. Se ha conti­ de S. Sebastian le recomiend…</t>
  </si>
  <si>
    <t>Trant</t>
  </si>
  <si>
    <t>Gregorio de la Cuesta el parte dado con fecha de 9 de este mes por el capitán Jorge Mactlnley del buque de $. M. B. Lively al ancla cerca de Vig», al coronel Trant, comandante de Gporto , cuya traducción es Ja siguiente. ,,Después que la división del Brigadier la Carrera tomó d San­ tiago, y envió á esta plaza 41 arrobas de p…</t>
  </si>
  <si>
    <t>Travers</t>
  </si>
  <si>
    <t>ivisiones Tar­ mediatamente en sus puestos, y que las talee y Bruno, con la reserva, baxo las ór­ tropas no hagan fuego sin tener orden, ni denes del general Travers. á larga distancia. S. M. ha recorrido toda la línea, y ha El dia 5 por la tarde el regimiento de quedado satisfecho de la excelente disposi­ Argenteau tomó tan …</t>
  </si>
  <si>
    <t>á las operaciones del prín­ larmente en el cuerpo del general Ililíer, cipe de Pontecorvo. por habérsele distribuido de los almacenes La división del general Travers está en­ de Budweis harina ya calentada. cargada de la defensa del Texel, hasta que llegue la del general Gratten, que se com­ EAV1ERA. pone de 6500 hombres de e…</t>
  </si>
  <si>
    <t>on ia guardia cimiento de los militares arriba citados. Es­ real de infantería en Harlem, al mando del tas listas serán revisadas por los inspectorea general Travers; el tercero, mandado por da revistas. «I general"Daniel Bruce, ha ido á Abeoude Mi príncipe de Keufchatel, vice-con­ y Weesp; y el quarto está en Aastelveen dest…</t>
  </si>
  <si>
    <t>Tricio, Juan Esteban</t>
  </si>
  <si>
    <t>Juan Esteban Tricio</t>
  </si>
  <si>
    <t>Larregui , D. Andrés Piñuela , D. Víctor Moreno, D. Juan Ribera, D. Francisco González, D. Sevérino Rie-zu y D. Eusébio Heros oficiales segundos ; á D. Juan Esteban Tricio archivero ; y á ¡B. Francisco Borda visitador general de hacienda con grado y sueldo de xefe. ■ Gerona 6 de setiembre. Las noticias mas exactas que .tenemo…</t>
  </si>
  <si>
    <t>Trieste, En</t>
  </si>
  <si>
    <t>En Trieste</t>
  </si>
  <si>
    <t>BAVIERA. crificios; pero luego veremos si el éxito corresponde con sus deseos y sus espe­ Munich $ de marzo. ranzas. Todavía permanece aquí el señor conde En Trieste se hacen iguales preparati­ de Stadion, ministro del Austria cerca de vos. Se colocan baterías en las alturas one nuestra corte, y no hace preparativos nin­ domi…</t>
  </si>
  <si>
    <t>Trigo, Juan</t>
  </si>
  <si>
    <t>Juan Trigo</t>
  </si>
  <si>
    <t>Juan de la Cruz , 20 ris. para dos pares de medias.» D. Benito Estevts , 10 rls. para un semhrero. P. Josef .r.teves , 10 rís. para un par de media?. D. Juan Trigo , 10 rls. para un par de meáiss. P. Angel i ominguez., 10 rl?. para un par de medias.. D. Plácido Esteves , 10 rls. para uri par de medias*. P. Juan Otero 10 rls.-…</t>
  </si>
  <si>
    <t>Trilla, Antonio</t>
  </si>
  <si>
    <t>Antonio Trilla</t>
  </si>
  <si>
    <t>os , matando á algunos , y quitando las charrete­ ras al capitán , que después han muerto por no haberse querido rendir ; como también el subteniente D. Antonio Trilla , y el dis­ tinguido D. Manuel Vidal, quienes han demostrado una intrepi­ dez sin'igual. El número de los enemigos , según relación de un. sargento prisionero …</t>
  </si>
  <si>
    <t>Trinqnalye</t>
  </si>
  <si>
    <t>■v _ ding. El ayudante comandante Trinqnalye, didos sin recurso los restos de los cuerpos que mandaba la "vanguardia de la división del príncipe Luis y del general Hiller. En Sainc-Cir ,• encontró lá vanguardia enemi­ este apuro extre</t>
  </si>
  <si>
    <t>Trippe</t>
  </si>
  <si>
    <t>y que no serán ya admitidos que está señalada por el decreto de 27 de en adelante. Los qae habla aun en Texel abril de este año. son l'Entreprise, su capitán Trippe,rde arí. iii. Los que tuviesen motivos Nueva-Yorck ; le Sujfolk , su capitán Thom­ para no trasladarse á los pueblos de su na­ son , de Nueva-Yorck; le Hannah , s…</t>
  </si>
  <si>
    <t>Triuire</t>
  </si>
  <si>
    <t>671</t>
  </si>
  <si>
    <t>, le han muerto mucha gente , y han de Liniers , arrojándonos constantemente de hecho 500 prisioneros. Buenos-Aires , quita ó intimida los gober­ Al coronel Triuire, edecán del príncipe nadores que creíamos haber ganado en la virei , le han muerto 2 caballos. Nuestras América española ? Tres navios quemados avanzadas se halla…</t>
  </si>
  <si>
    <t>Triviíio, Juan</t>
  </si>
  <si>
    <t>Juan Triviíio</t>
  </si>
  <si>
    <t>pon i a la guerrilla eran de los regimientos de Alcántara , Montesa, Santiago , Fernando Vil y dragones de Granada; y sus dignos ofi-, ciales Sierra, D. Juan Triviíio, D. Domingo Delgado y D. Vi­ cente Salazar, merecen recomendación, pero particularmente el capitán Camarero y D. Lorenzo de Sierra. Continuamente se están pasan…</t>
  </si>
  <si>
    <t>Trujano</t>
  </si>
  <si>
    <t>oso é se'componía de esta milicia, ha huido de instructivo sobre el Danubio y sobre las tal modo, que se puede creer que sus ge- dos expediciones del Emperador Trujano fes están poco penetrados de /« importan-, contra la Dada. Pondremos aqui un ex­ cía de la crisis en que se halla en el día tracto de él, persuadidos de que se…</t>
  </si>
  <si>
    <t>Truxillo, Melchor Nicolás</t>
  </si>
  <si>
    <t>Melchor Nicolás Truxillo</t>
  </si>
  <si>
    <t>ía de Roxas', 24. —Total : 248939. rls. Por providencia del Real Tribunal del Consulado de ía ciudad de Cádiz, de 13 de enero ultimo, y escribanía de D. Melchor Nicolás Truxillo, se manda citar y empla­ zar a los acreedores y herederos al juicio universal de concurso de acreedores de D. Francisco Guiaza, vecino que fue de Tar…</t>
  </si>
  <si>
    <t>ntimientos de ver­ edero español , de ios que ro se ha separado en las críti­ cas y arriesgadas circunstancias á que se vió reducido. En el Oficio de D. Melchor Nicolás Truxillo, escriba­ no del Real Tribunal del Consulado de la ciudad de Cá­ diz, penden autos de concurso de acreedores á la testamen­ taría de D. Nicolás Aqúar…</t>
  </si>
  <si>
    <t>Truxillo, Torquato</t>
  </si>
  <si>
    <t>Torquato Truxillo</t>
  </si>
  <si>
    <t>eviendo no se­ rian estos suficientes á detener el ímpetu de las gruesas colunas enemigas que se dirigían contra ellos , mandé á mi ayudante de campo D. Torquato Truxillo con la orden de que ei general Gi­ rón viniese á reforzarlos con los tres batallones de su reserva. En­ tretanto un ayudante de Baylen vino á exponerme de p…</t>
  </si>
  <si>
    <t>Turreau</t>
  </si>
  <si>
    <t>también que los generales Becker, Molitor y Carrase presentan gruesos destacamentos de las Saint-Cir. mismas tropas en las fronteras de la Galli- El general Turreau ha llegado aquí de cia occidental, y que la fortaleza de Czens- Strasburgo. tochow se ha puesto en un estado respeta­ Se está reparando y fortificando la ca­ ble …</t>
  </si>
  <si>
    <t>la fragata Constitución, anclada en el rio del Este ; hubo repique ge­ neral de campanas, y á la noche estuvo iluminada toda la ciudad. —Desde que el general Turreau, Ministro francés en Washington, ha sabido eí ajuste de nuestras desavenencias con la Gran Bretaña , está como loco dé furor é indigna­ ción. ¿Es posible, dice u…</t>
  </si>
  <si>
    <t>Tutchof</t>
  </si>
  <si>
    <t>os pri­ objeto de formar una sociedad contra los sioneros rusos añaden que en dicha batalla desafíos. Todos los vocales han prometido quedó muerto el general Tutchof, y heri­ solemnemente no dar jamas su voto en las do el general Alzaref. elecciones á favor de ningún individuo que Cotejando atentamente los diversos par» haya …</t>
  </si>
  <si>
    <t>TutscBltow</t>
  </si>
  <si>
    <t>res un vado,, atravesaron el rio ,s rodearon Jos puestos enefifeoá, ^ icsHsiguier^ en su huid^ipi^a. *¡ ,/V ^ 4~ ,,'El i i' de octubre fue atacado el general TutscBltow en su jposicionj cerca de la villa de Kaupinen. Rechazó á los enemigos, quienes dexaron en el campo 200 muertos y 87 prisioneros. Nuestra pérdida fue de 170 h…</t>
  </si>
  <si>
    <t>Tutschakou</t>
  </si>
  <si>
    <t>olima derecha sobre Frantsilla. Las tropas suecas, Inferiores en número, abandonaron sus posiciones sin pelear. Entre tanto el cuerpo de exército del general Tutschakou, que había costeado/ los pequeños lagos del Altu-Sawlax * en ia provincia de</t>
  </si>
  <si>
    <t>Tutschakow</t>
  </si>
  <si>
    <t>koi. Ésta reunión se verificó ;con efecto algunos dias antes del armisticio en las cer­ canías de Mattila, en donde había penetrad® la vanguardia del general Tutschakow, y eri donde encontró los destacamentos de la coluna derecha del general Kamenskoi. Según las nuevas disposiciones dadas por el general Suchtelin, gefé del es…</t>
  </si>
  <si>
    <t>Twent</t>
  </si>
  <si>
    <t>órdenes el almirante Rnisch, el brigadier guo oficial del exército, de edad de 90 años, Wolterbeck, el coronel Twent, y los te- acaba'de ponerse en marcha á la cabeza de oientes coroneles Twente y Ossevrarde, sn batallen 'de veteranos, qne ¿lamino con­ que mandan las diferentes divisiones de la duce ¿ las</t>
  </si>
  <si>
    <t>U, Marcos</t>
  </si>
  <si>
    <t>Marcos U</t>
  </si>
  <si>
    <t>Catalina Hidalgo, 20 rls. para dos pares de medias» D. Juan Tabora , 10 rls» para un par de medias. D. Pedro R uiz, 20 rls* para dos pares de medias» D. Marcos U*loa , 40 rls. para dos mochilas y un par de medías» D. Juan Escobar, 40 rls. para dos mochilas y un par de medias» P. Josef Acosta , roo rls. para 6 mochilas y unas …</t>
  </si>
  <si>
    <t>Uce, Josef</t>
  </si>
  <si>
    <t>Josef Uce</t>
  </si>
  <si>
    <t>y antigüedades, en las de autores Rafael Piañiol, á D. Remigio Vega , á Don clasicos y en las de tipografía , en todas las Pedro León Echevarría y á D. Josef Uce— quales se sirvió hacer varias preguntas en ta ; por limadores á D. Antonio Álalacuera, orden á algunas medallas, bustos, códices á Simón Serrano, á Juan Díaz, y á S…</t>
  </si>
  <si>
    <t>UdS</t>
  </si>
  <si>
    <t>ería 9 caballería , infante* lía libera 9 é igualmente., al General bívaro : Rabel, al coro^ arL D tfort, á &gt; a tenientes .‘coroneles 9 á a miyoics ^ d UdS)S »o oficiales* y aw de laD bi/aroS, ^ 2 i . . í</t>
  </si>
  <si>
    <t>Ugaldéa, Antonio</t>
  </si>
  <si>
    <t>Antonio Ugaldéa</t>
  </si>
  <si>
    <t>e Escalante. C. 50.000 D. Pedro Muguerza. C. 10.000 D. Joaquín Aldana. C. 10.000 D. Domingo Ignacio Lardizabal. 50.000 D. Mateo Palacios. C. — 50.000 D. Antonio Ugaldéa. C. 2.000 D. Gregorio Saenz de Sicilia. C. 15.000 D. Fernando Hermosa. C. 12.000 D. Josef Marrugat y Boldú. C. 6.00a El P. Fr. Jayme Codina., por el convento …</t>
  </si>
  <si>
    <t>Ugarte, Miguel</t>
  </si>
  <si>
    <t>Miguel Ugarte</t>
  </si>
  <si>
    <t>arde y D José Fuentepita , el primero mayor de brigada: á ios capitanes D. Pedro Aguado y D. Diego Tolosa; y á los subtenienfes D. Valentín Ampudia , D. Miguel Ugarte, D. Juan Donoso y D. Jo­ sé María Ampudia, todos del real cuerpo de Ingenieros. A los ayudan­ tes generales D. Estanislao Sánchez Salvador , teniente coronel de…</t>
  </si>
  <si>
    <t>Ule, H</t>
  </si>
  <si>
    <t>H Ule</t>
  </si>
  <si>
    <t>General austríaco Normana sehalla con su brigada ent Markl.,. y tiene, sus puestos avan­ zados en Péíach;. Por otra parte- el' qixartel general’ dél General H Ule res­ ta enr Stamham¿ También, está ocupado Bourghausen.. Los¿ puestos avanzados se hallan' en Hohenwart. Ei enemigo ha— bia restablecido ayer el puente de Nice-Otti…</t>
  </si>
  <si>
    <t>Un, Mariano Tur</t>
  </si>
  <si>
    <t>Mariano Tur Un</t>
  </si>
  <si>
    <t>a en su empresa hasta llegar sus oficiales á las manos con los nuestros encima de la brecha misma , como sucedió con mi segundo el teniente de Borbon D. Mariano Tur* Un oficial que con 7 soldados se presentó sobre la brecha que' da en el patio del quartel, animando á los demas para que le siguiesen , pagó con la vida su osada…</t>
  </si>
  <si>
    <t>Una, Germain Gar</t>
  </si>
  <si>
    <t>Germain Gar Una</t>
  </si>
  <si>
    <t>hicanciller del im­ el general de división conde Beaumont ha perio fue ayer á la sesión del senado, pre­ ocupado ya aquel país. sidida por el senador conde Germain Gar— Una proclama del general austríaco ba­ nier. S. A. S. fue acompañado de S. E. el rón de Buol anuncia á los tiroleses que ministro de la Gue.rra. Asistieron ta…</t>
  </si>
  <si>
    <t>Unda, Pablo</t>
  </si>
  <si>
    <t>Pablo Unda</t>
  </si>
  <si>
    <t>fes de tales reformas pudieran no tener cabida para Bala D. Josef Ramón Fernandez y D. Ma­ su correspondiente Colocación. nuel Abbad: ge fes de trozo D. Pablo Unda Y eri rales circunstancias ; qué debe ha­ D. Bonifacio Ol ivencia: seminaristas Don cer uní.gobierno justó y prudente para evi­ atías Ollvencia, D. Félix Gilman, c…</t>
  </si>
  <si>
    <t>Unzaga, Francisco</t>
  </si>
  <si>
    <t>Francisco Unzaga</t>
  </si>
  <si>
    <t>es Barcia r padre é hijo. Coruña. ....... D. Manuel Antonio Elzaurdi. Cuenca. . ...... Señores viuda de Escolar,. Noriega é hijo. Granada......... .. D. Francisco Unzaga ó el que lo repre­ sente. Jaén......................... . D. Ramón María Mor toro. Mahon. ....................... Doña Catalina Germán y Ur.galde., Málaga. .…</t>
  </si>
  <si>
    <t>Urbina</t>
  </si>
  <si>
    <t>ida al Escriben de Sevilla, con fecha del 3 de Ferrol. marzo, que el exército español que está i Del cita 28. Nuestro gobierno ha to­ las órdenes del general Urbina, tiene su mado varias medidas de precaución á con­ quartel general eu Valdepeñas , y que se secuencia de la revolución que acaba de compone de cerca de 2C0 hombre…</t>
  </si>
  <si>
    <t>Urbizu, José Gregorio</t>
  </si>
  <si>
    <t>José Gregorio Urbizu</t>
  </si>
  <si>
    <t>a Landa. 4.000 D. Domingo Llano Torre. 2.000 D. Ignacio Suarez. 9.000 El subteniente D. Gabriel Manuel Iturbe. io ooq D. Manuel Tirso Salceda. 2.ooo# D. José Gregorio Urbizu. 10.000 D. Baltasar Casanueva. 10.000 D. Teodoro Salazar del Puerto. 30.000 El capitán D. Ignacio García Saenz. 5.000 D. Antonio Olarte, sin estar matric…</t>
  </si>
  <si>
    <t>Uriarte, Josef</t>
  </si>
  <si>
    <t>Josef Uriarte</t>
  </si>
  <si>
    <t>0, y 30370 al fiado: otra casa en la calle Mayor de dicha villa de Salvatierra, 2 huertas y 17 heredades y me­ dia en sus términos de la fundación de D. Josef Uriarte, al contado 13662, y 20493 al fiado; cuyas posesiones pertenecen á los cabildos eclesiásticos de dicha villa de Salvatierra; de modo que unidas todas valen al c…</t>
  </si>
  <si>
    <t>Urquiaga, Joaef</t>
  </si>
  <si>
    <t>Joaef Urquiaga</t>
  </si>
  <si>
    <t>.*= D. Pedro de Castillo , 60 r?. — D. Josef Chamorro, ¿oo rs. mD. Pasqual Ignacio Altolaguirre, too rs. = D. Alonso del Pino, por una vez, 144 rs. = D. Joaef Urquiaga , 60 rs. -zz Total 143930. ■ ..... — ■....... ... rn CON REAL PRIVILEGIO.</t>
  </si>
  <si>
    <t>Urraca, Agustín</t>
  </si>
  <si>
    <t>Agustín Urraca</t>
  </si>
  <si>
    <t>n, no , y que se realice lo mas pronto que presbítero , para otra canongía de la cate­ sea posible. Luego que este concluida tan dral de Palencia : á D. Agustín Urraca para inaporrante obra , será de grandísima utili - un beneficio de la parroquia de S. Pedro dad para los habitantes de esta capital , y de la villa de Gumiei d…</t>
  </si>
  <si>
    <t>Urrea, Lucas</t>
  </si>
  <si>
    <t>Lucas Urrea</t>
  </si>
  <si>
    <t>Vivac, á 3 rs. cada exemplar. subasta el dia 14 de mayo próximo, en una de las sa­ AVISOS. las de su casa consistorial, una casa sita en la vecind id D. Lucas Urrea, del comercio de esta corte, que de la calle Nueva, que lleva en arriendo Luis Díaz de vive en la calle Mayor, núm. 8, casa de la Estera, re­ Monasterioguren y Ma…</t>
  </si>
  <si>
    <t>Urrutia, Ventura</t>
  </si>
  <si>
    <t>Ventura Urrutia</t>
  </si>
  <si>
    <t>heredades en el mismo lugar pertenecientes al ca­ bildo del de Larrea, al contado 2922 , y 4488 al fiado: las que goza en el mismo pueblo e! capellán D. Ventura Urrutia, at contado 1496, y 2244 al fiado: las que pertenecen en dichos pueblos á los cabildos de los lugares Dectraoyabe y Mendivil, al contado 748, y 1122 al fiado:…</t>
  </si>
  <si>
    <t>Urtet, Ignacio</t>
  </si>
  <si>
    <t>Ignacio Urtet</t>
  </si>
  <si>
    <t>portado con la mayor bizarría , particularizando la sin­ gular conducta, de lps cadetes del batallón de Tarragona D. Josef Monguiot, D. Juan Guaze , D. Ignacio Urtet, D. Ráymundo Cortes , D. Juan Ixar , D. Carlos Salas, y D. Diego Rivagorda , que habiendo salido de guerrilla, escar­ mentaron bien al enemigo ; la del subtenien…</t>
  </si>
  <si>
    <t>Uschakow</t>
  </si>
  <si>
    <t>erda, al mando del general Demidow, caminaba á lo largo de las costas por Roukalai, Javala y Pihafoki sobre Brahestadt; la del centro^ mandada por el general Uschakow, marchaba por Meryarvi sobre Wihand'i, mientras que el general Erikson dirigía la colima derecha sobre Frantsilla. Las tropas suecas, Inferiores en número, aban…</t>
  </si>
  <si>
    <t>Uwaraw</t>
  </si>
  <si>
    <t>­ dit} 11 hubo gtpn parada , á que asistieron teramente el festejo rcivll y militar. El ge­ SS. MM- El 1* por la noche., víspera de neral de división conde Uwaraw, primer año nuevo según el calendario ruso, fueron edecán general del Emperador, recibió á los distribuidos ios aguinaldos. La Reina reci­ viageros, y les vino-acom…</t>
  </si>
  <si>
    <t>V'cngoa, Dónuogo</t>
  </si>
  <si>
    <t>Dónuogo V'cngoa</t>
  </si>
  <si>
    <t>dera gefes de división 5&gt;á-D- -Joaquín-Abaí- Rafael Tenorio, D. Dónuogo "V'cngoa y.' tua, D* Luis Bellocq y D. Pedro Isla,: ofi­ JD. Gregorio del Castillo, ó á los oficiales-ciales primeros; á D. Fausto Foronda,Don primeros D. Josef de Hueros y D. Camilo Santiago. Torres,</t>
  </si>
  <si>
    <t>V, Fernando Dispense</t>
  </si>
  <si>
    <t>Fernando Dispense V</t>
  </si>
  <si>
    <t>ideli­ dad , buscando á los encargados de recoger el donativo pa­ triótico á quienes les decían : Toma , toma , para libertar ó mi Rey : ¿ está bueno Rey Fernando% Dispense V. M. que le presente estos datos positivos del carácter inocente, que creo tanto mas dignos de su noticia , quanto dan ideas indudables de los sentimient…</t>
  </si>
  <si>
    <t>V, HilV</t>
  </si>
  <si>
    <t>HilV V</t>
  </si>
  <si>
    <t>U brigada de ía guardia mandada por el mayor general Warde. ’ , Estos oficiales y sus tropas se han hecho acreedores a los mayores elo­ gios El mayor general HilV V el coronel Catlin Crauford han defendido con mü¿ha habilidad los puestos avanzados de nuestra izquierda.: Los regimien­ tos 4°, 42.°, 50 * y 87.°, y una parte.de …</t>
  </si>
  <si>
    <t>V, Juan de Pigoareli</t>
  </si>
  <si>
    <t>Juan de Pigoareli V</t>
  </si>
  <si>
    <t>1012</t>
  </si>
  <si>
    <t>ciertas (4). Mis «pre­ lra &gt;hp¡c’p' á Roma. Mis afecto* á &amp;c,5= siones á &amp;c. = Matías Bincucir?.;? jgq~ Etapqisí» Xavier jGrengalqt/’ ; neral y señor D. Juan de Pigoareli^’'/^ •V &gt;. /. ■ ■ . : "M- ■ ■ ■ " £3) /Increíble parece,que hayan podido**» -mas descabelladas é imposibles. Buen exemplo cril^irfe tanrag sandeces copio Ja…</t>
  </si>
  <si>
    <t>V, Na</t>
  </si>
  <si>
    <t>Na V</t>
  </si>
  <si>
    <t>yo 4 mi augusto Soberano el presente y lo venidero acreditarán también cuidado de responder á cada una de las esta verdad. proposiciones de S. M. el Emperador Na­ V. E. me habla de una especie de tumul­ poleón , V. E. se convencerá de que no va­ to ocurrido en Trieste, y de la detención cilo en prever completamente los únicos…</t>
  </si>
  <si>
    <t>V-Vrede</t>
  </si>
  <si>
    <t>onsiderablemente , recorre la costa para apoyar las operaciones del exército de tierra. Si el general Adlesparre , que ha sido enviado al socorro del general V-Vrede , no llega prontamente''^, su destino , el exército ruso po­ drá concluir en todo el verano la conquista de las provincias sep­ tentrionales de la Suecia. En Sto…</t>
  </si>
  <si>
    <t>Va, Santiago</t>
  </si>
  <si>
    <t>Santiago Va</t>
  </si>
  <si>
    <t>Bernardo Velarde , á D. Vicente ¡Ma­ ría A guiar , abad de S. Simón de Cacheiras : para la canongia vacante en la misma iglesia por fallecimienta de D. Santiago Va­ quero, á D. Joaquín Murua y Euiate , inquisidor en Sevilla : y pa­ ra otra que vacó en dicha iglesia por muerte de D. Manuel Co­ llazo Malvar , k D. Alonso San Ma…</t>
  </si>
  <si>
    <t>Vaadamme</t>
  </si>
  <si>
    <t>graduación es extremadamen­ rito, colocado delante del puente de Siete considerable. genburgo, atacó á una división austríaca que tenia enfrente. El general Vaadamme, que Batalla de Abensberg el so. mandaba á los wurtembergueses, la cercó El Emperador resolvió batir y destruir por su flanco derecho. El duque de Dantel cuerpo …</t>
  </si>
  <si>
    <t>Vaca, Miguel</t>
  </si>
  <si>
    <t>Miguel Vaca</t>
  </si>
  <si>
    <t>del mismo cuerpo D. Manuel Fernandez, D. Antonio Gallardo, D. Cárlos Vicente y D. Manuel Abad, al capitán, subteniente y sargento 2.° del de Sta. Fe D. Miguel Vaca, D. Francisco Trazante y Juan de Longavila, como igualmente al cabo l.Q del de Sabaya Ra* mon Beitran. P. D. —-Excrno, Sr. —— Por un olvidó natural lie de­ xado. d…</t>
  </si>
  <si>
    <t>Vacaro, Antonio</t>
  </si>
  <si>
    <t>Antonio Vacaro</t>
  </si>
  <si>
    <t>libras. = Los herederos del Marqués de Arcos , 60 caxas de blanco con 1162 arrobas., 7 libras ; y 40 dichas de quebrado con 711 arrobas y 423 libras. D. Antonio Vacaro, comisionado del reyno de Santa Fé para entregar los donativos patrióticos de aquella provincia para los gastos de la guerra , ha presentado últimamente lo» di…</t>
  </si>
  <si>
    <t>Váidas, Antonio</t>
  </si>
  <si>
    <t>Antonio Váidas</t>
  </si>
  <si>
    <t>y Salido. 1ae r Exc. Señor D. Francisco Castañedo. *****.... *.••••••«•'•• j7Xe. Señor D. Sebastian de . Jócano. León.... i . y Exc. Señor Baylio Fr. D. Antonio Váidas. ........................ \ Exc. Señor Vizconle de Quíntaniila. Mallorca..................fBxc. Señor D. Tomas de Veri. } Exc. Seaor Conde de Ayamans. Madrid y…</t>
  </si>
  <si>
    <t>Vaiguarnera, Domingo</t>
  </si>
  <si>
    <t>Domingo Vaiguarnera</t>
  </si>
  <si>
    <t>, pertenecientes los ción de S. M. el Rei de Saxonia. quatro al expresado regimiento de caballe­ Concluida la audiencia diplomática ha ría ligera; á D. Domingo Vaiguarnera co­ habido gran patada en el patio del palacio mandante de esquadron de caballería de lí­ de las Tallerías. nea, y á D. Vicente Josef Juaillon subte­ La gu…</t>
  </si>
  <si>
    <t>Vaillet</t>
  </si>
  <si>
    <t>lico de guerra, está ya convencido de que teniendo la ciu­ y Vi ce-presidentes el barón de Sttpsicfa, el dad unos arrabales tan .grandes , es imposi­ conde Vaillet y el príncipe de Rosetnbcrg. ble defenderla en ningun caso.. Aseguran Del 27. El conde de iJrbna Isa anun­ qne ya se ha dado órdcii de idemoler todas ciado esta ma…</t>
  </si>
  <si>
    <t>Val, Baltasar</t>
  </si>
  <si>
    <t>Baltasar Val</t>
  </si>
  <si>
    <t>D. Manuel Larruga.— D. Ventura Ateza. — D. José Soler.— D. Miguel Echinique. — D. Antonio Lajíeña. — D. Baltasar Barragan. — D. Joa­ quín Palacios.— D. Baltasar Val. — D. Mariano Ramírez.-- D. Lo­ renzo Puchol. — D. Vicente Laborda. — D. Antonio Vicente.— D. Vicente Puchol. — D. Julián Navarrete. — D. Pedro Yoldi. — D, José U…</t>
  </si>
  <si>
    <t>Valcarcel, Juan</t>
  </si>
  <si>
    <t>Juan Valcarcel</t>
  </si>
  <si>
    <t>idos ; 1 hombre y 1 caballo prisioneros. Total, H homy 9 caballas. —Primer esquadron de cazadores francos : alférez D.Ja­ sé Tdtay , muerto, teniente D. Juan Valcarcel, herido; 6 homhixs y 4 caballos muertos ; 4 hombres y &amp; caballos heridos ; 10 hombres y 11 caballos prisioneros. Total, 22 hombres y 23 caballos.— Se, gundo de…</t>
  </si>
  <si>
    <t>Valcarcel, Luis Antonio</t>
  </si>
  <si>
    <t>Luis Antonio Valcarcel</t>
  </si>
  <si>
    <t>174 tn por muerte de D. Luis Albarracin, k D, Manuel Venegas : para la de Cartagena, vacante por fallecimiento de D. Luis Antonio Valcarcel, á D. Francisco Bernaldo de Quirós, lectoral en la de Ciu­ dad-Rodrigo: y para otra vacante en dicha iglesia de Cartagena por muerte de D. Juan Lozano, á D. Alfonso Rovira Galvez , racio­ n</t>
  </si>
  <si>
    <t>Valderrama, Mariano Mauricio</t>
  </si>
  <si>
    <t>Mariano Mauricio Valderrama</t>
  </si>
  <si>
    <t>da Or­ den Española de Carlos III. Extracto de una caria escrita á ía '¡junta Suprema , dando noticia de la llegada de un oficial del Perú a Cádiz. „ D. Mariano Mauricio Valderrama ha dado cuenta &amp; la Junta Suprema Central desde Cádiz, con fecha de i.° del corriente , que había llegado ¿ aquel puerto la fra­ gata S. Juan Baut…</t>
  </si>
  <si>
    <t>Valdés, Andrés Romero</t>
  </si>
  <si>
    <t>Andrés Romero Valdés</t>
  </si>
  <si>
    <t>ez Caballero y D. Pedro Flores Quevedo, del consejo de Hacienda; D. Gaspar Lerin de Bracamonte y D. Carlos Simón Pontero, del consejo de las Ordenes; D. Andrés Romero Valdés, D. Diego Gil Fernandez, D. Luis Marcelino Pereira, D. Tomas de Casanova y D. Martin Leonés, alcaldes de Casa y Corte; y á D. Josef Ignacio Joven de Sala…</t>
  </si>
  <si>
    <t>Valdés, Antonio</t>
  </si>
  <si>
    <t>Antonio Valdés</t>
  </si>
  <si>
    <t>do. — Duque deL Parque. —Marques del Portago.—Marques de Lazan. — Con­ de del Montijo. — D. Antonio Samper. —D. Ramón ViJlaiba. — D. Lorenzo Caivo. — D. Antonio Valdés. — D. JoséRaniirez. — Marques de Revilla. — D. Luis Gonzalo. —- D Manuel de la Pe­ ña.— Dt Ignacio Antonio de Cortabarria.— D. Ramón Ger.— D. Francisco Xavier …</t>
  </si>
  <si>
    <t>Valdes, Fernando</t>
  </si>
  <si>
    <t>Fernando Valdes</t>
  </si>
  <si>
    <t>lguna. — Quartel general de Alba de Formes 28 de noviembre de 1809. — José Ó-donelI. Los 6 oficiales muertos son: el teniente del primero de Cataluña D. Fernando Valdes; el subteniente del se­ gundo de Cataluña D. Pedro Prast ; el capitán del de Victoria D. Rafael Mora ; el ayudante general sargen­ to .mayor del de Aragón D. …</t>
  </si>
  <si>
    <t>Valdés, Juan Melendez</t>
  </si>
  <si>
    <t>Juan Melendez Valdés</t>
  </si>
  <si>
    <t>vas á la conservación de títulos de grandeza y nobleza; y que han sido nombrados conse’eros de estado D. Joaquín María Sotelo, marques de Casa calvo, D. Juan Melendez Valdés, D. Benito de la Mata Lina­ res , y D. Luis Marcelino Pereira. La del 7 trae el nombramien­ to de D. Joaquín de Aldamar para intendente de la provincia d…</t>
  </si>
  <si>
    <t>Valdina, Mario</t>
  </si>
  <si>
    <t>Mario Valdina</t>
  </si>
  <si>
    <t>dei puesto enemigo. El coronel D* Antonio Ruiz de Cabria le pasó por Vilde con 4 compa­ ñías de granaderos, y dos de tiradores. El teniente coro­ nel D. Mario Valdina comandante de columna de alter­ nación pasó por Unquera con 3 compañías de tiradores y y dos de gradaneros; quedando la línea cubierta con las restantes tropas.…</t>
  </si>
  <si>
    <t>s de Eigueras y S. Pedro, para que quedando cortadas estas fuerzas, pudiese Rato efectuar su marcha, dexando á sus espaldas esta acción mandada por , D. Mario Valdina. . La dificultad de atravesar el -rio, que por las copiosas nieves y continuadas lluvias no permitía el paso de las barcas, me hizo suspender el ataque, hasta, …</t>
  </si>
  <si>
    <t>Valence</t>
  </si>
  <si>
    <t>azón. ' El 8.° cuerpo, de exército ha entrado en España; y el,general Delabor» degva a poner sii quartel generaren, Vitoria. V La división polaca del general Valence llega hoi i Buitrago. Los ingleses re retiran á las costas; pero la división Lasalle.ha encontra­ do y acuchillado á 16 de ellos rezagados ó extraviados. El mari…</t>
  </si>
  <si>
    <t>eunidas del cuerpo del mariscal duque de iDantzick, La división del general Sebastiani ha salido para Talavera! de la Reina. 1 L? división polaca del general Valence es hermosísima. - *&lt;- : - Continúa en todas partes la disolución de. las tropas españolas , y los quintos que acababan de sacarse se dispersan también, por toda?…</t>
  </si>
  <si>
    <t>Valencia, Diego</t>
  </si>
  <si>
    <t>Diego Valencia</t>
  </si>
  <si>
    <t>rdo Tiallo, al cabo Antonio Martínez, á los soldados Gabriel Laguna y Pedro Llórente : de voluntarios de España al carabinero Fran­ cisco Mexía, y al soldado Diego Valencia: de cazadores de Sevilla al sargento Fermín Rodríguez , al carabinero Francisco</t>
  </si>
  <si>
    <t>Valencia, Salvador</t>
  </si>
  <si>
    <t>Salvador Valencia</t>
  </si>
  <si>
    <t>yna , y á D. Vicente Sánchez , capitán del regimiento de Lovera. El general de la primera división: i los ayudantes generales Don Francisco Albanel y D. Salvador Valencia , el primero , capitán del regimiento del General, y el segundo , ayudante de voluntarios de la Corona : á su ayudante de campo D. Juan O-colgan-, teniente …</t>
  </si>
  <si>
    <t>Valentín</t>
  </si>
  <si>
    <t>iguiente al real decreto de 18 de agosto biéndose extraviado sin llegar á poder del mencionado del año próximo pasado, se sacan á pública subasta por D. Valentín, se avisa al público á los.efectos conver término de 30 diss contados desde el 8 del presente, nientes, y el de que qualquíera persona ó personas en y en el último, …</t>
  </si>
  <si>
    <t>Valere, Francisco de Paula</t>
  </si>
  <si>
    <t>Francisco de Paula Valere</t>
  </si>
  <si>
    <t>nes, 77 de zapatos, 40 corbatines, y 21 capotes y ponchos. =* D. Francisco Velez Marmol , vecino de la villa del Coronil, 12 camisas y 12 capotes, zz D. Francisco de Paula Valere, vecino de la villa de Mayrena dei Alcor, 1 camisa , i cha­ queta , 1 pantalón , 1 par de botines y otro de zapatos* La Suprema Junta de Gobierno de…</t>
  </si>
  <si>
    <t>Valerio</t>
  </si>
  <si>
    <t>ancisco), oficial de orde— Gayé, gefe de esquadioa de caballos lige­ fie) fl Zd • ros de ía guardia. Í.P- Estanislao)., cons.-jero de Estado, Gómez ( D. Valerio)^ sargento i.° del re­ iucorte , general y primer mayordomo. gimiento infantería de línea. Llano (D. Martin), maestro de ce retino— Gómez Tícrmosilla (D. Josef}, gefe…</t>
  </si>
  <si>
    <t>5"18 ros de la guardia. — Gómez (D. Valerio} sargento primero del regimiento núm. I , infantería de línea. —Gómez Hermosi11a ( D. José) xefe de división en el ministerio de Policía. — Gómez de Teran ( D. Leonardo ) ministro en Holanda. — Gó­ mez de Ayala ( D. Pió) secre</t>
  </si>
  <si>
    <t>Valiente, José Perez</t>
  </si>
  <si>
    <t>José Perez Valiente</t>
  </si>
  <si>
    <t>Sigena. — D. Ambrosio Nasarre.— Mar­ ques de las Amarillas.— Marques de Lezo. — D. Francisco Mondragon. — D. Francisco Vázquez. — D. Manuel Pardo. — D. José Perez Valiente. — D. Gregorio Tocanecorro. — Baronesa de Togia. — Marquesa de Villanueva. — D. Juan del Castillo. — D. Jo­ sé del Casal. — D. José Bea. — D. Cárlos Bancid…</t>
  </si>
  <si>
    <t>Valiente, Josef Pablo</t>
  </si>
  <si>
    <t>Josef Pablo Valiente</t>
  </si>
  <si>
    <t>honores y sueldo que gozában los Camaristas de Castilla: y ha nombrado S. M. para , esta Comisión á D. Manuel de Lardizabal, al Con­ de del Pinar , á D. Josef Pablo Valiente, y á ,D. Sebastian ,de Torres. Y para la comisión particular que ha £de conocer de to­ dos los asuntos eclesiásticos y religiosos relativos á las Or­ den…</t>
  </si>
  <si>
    <t>ia los Señores Ministros de dicho Supremo Tribunal que se hallan; en esta ciudad , D. Manuel de Lardizabal, Conde del Pinar, D. Fran­ cisco Requena , D. Josef Pablo Valiente , D. Sebastian de Torres,D. Ignacio Martínez de Villela , D. Miguel Alfonso Villagomez, D. Tomás Moyano, D. Pasqual Quiíez y Talón, D. Luis Melendez Brun…</t>
  </si>
  <si>
    <t>Valiente, Roque</t>
  </si>
  <si>
    <t>Roque Valiente</t>
  </si>
  <si>
    <t>n Antonio Cobian. C. 25.00a D. Antonio Velasco de la Torre. C. 4.000 El caballero D. Tomás Domingo de Acha. C. 1 j 0.000 D. Eusebia García. C, 10.000 D. Roque Valiente. C. 25.000 El Sr. administrador principal de la Renta de Correos. xo.ooo El Sr. coronel D. Manuel Josef Rincón Gallar co. 5.000 El Sr. brigadier Conde de Alcar…</t>
  </si>
  <si>
    <t>Vallejo, Felipe</t>
  </si>
  <si>
    <t>Felipe Vallejo</t>
  </si>
  <si>
    <t>— Marques de. Béigída. — Marques- de Casteiar. — D. Manuel Vélaseos—D Jo­ sé Olatte. — D. Francisco y D. Manuel del Valle. — Duque de Yiilahermosa.— D. Felipe Vallejo. — Marques de las Horma­ zas.— D. Manuel Soria. — D. Ramón Arascot.—D. Antonio Komanilios. — D. Francisco PritnauL — D. Francisco Romano. —► D. Antonio Cano Man…</t>
  </si>
  <si>
    <t>Vallongue</t>
  </si>
  <si>
    <t>eto, situado en el terreno del antiguo jardín botánico, se abrirá ai pu­ blico antes de 3 meses. Los monumentos mandados elevar por V M. en; loor del general Vallongue, muerto en el sitio de Gaeta, y del coroneL Bruyere, atacado y muerto cerca de Fondi, y el que hace erigir á la me—' moría del Taso en la ciudad de su nacimien…</t>
  </si>
  <si>
    <t>Van-Haiselt</t>
  </si>
  <si>
    <t>re. atacados por un exército, que era ya f &gt;rLa división del general Gratiert , man­ midable, los han precisado á abandonar una dada en el día por el general Van-Haiselt, posición tan importante como la de Batz; llegó el 30 de agosto á Bois-lc-duc, y sa­ pero es precito que se hayan visto m ii lid de allí en aquella misma noc…</t>
  </si>
  <si>
    <t>Van-Halen, Antonio</t>
  </si>
  <si>
    <t>Antonio Van-Halen</t>
  </si>
  <si>
    <t>Vico. febrero de i8©6, concerniente á la fiesta cíe Por 13écfeto“'de! “misrftrT"c[Va S. M. ha san Napoleón, al restablecimiento de la re­ nombrado á D. Antonio Van-Halen gefe ligión católica en Francia &amp;c.- de división del m¡oistcr*o£de Marina ; y por Marsella 14 de agosto. archivero á D. Juan Sanz y Barutell. La agencia de R…</t>
  </si>
  <si>
    <t>Van-Hasselt</t>
  </si>
  <si>
    <t>rios le han exhortado sus amigos y compañeros para marchar sin dilación al párage que le de armas á descansar ya de sus largos tra­ está señalado. El general Van-Hasselt man­ bajos j no ha escuchado sino á su valor y á da esta división. su amor bácia una nación que lo ha adop­ tado. ,,Mientras qne pueda, dixo, marchar IMPERIO…</t>
  </si>
  <si>
    <t>Van-HelUcit</t>
  </si>
  <si>
    <t>general á esta ciudad. Schiedam 1 ¡ de agosto. Escriben de B iel. en la isla de Goorce , que ha llega­ Madrid § de setiembre. do alli ya el teniente general Van-HelUcit, que va á tomar el mando dei primer distri­ Reflexiones sobre el real decreto de 18 de to maraiir.o. agosto, en que se suprimen los antiguos El 12 han llegado…</t>
  </si>
  <si>
    <t>Van-Ingen</t>
  </si>
  <si>
    <t>l S. A. será declarado desde el mismo dia Schingen. estaba encallado en un banco in­ mayor general del exército de España: re­ mediato á la co^ta. El capitán Van-Ingen, cibirá la correspondencia del mismo , y co­ comandante de la partida de cazadores aco­ municará las órdenes del Emperador; pero metió á la embarcación enemiga…</t>
  </si>
  <si>
    <t>Vanda, Doipingo</t>
  </si>
  <si>
    <t>Doipingo Vanda</t>
  </si>
  <si>
    <t>Redondo , 30 rls. para dos mochilas. D. Manuel Lino Fernandez , 20 rls. para dos pares de medias. D. .Manuel Rivero , 10 rls. para un par de: medias. D. Doipingo Vanda , 20 rls. para dos pares de rpsdias. Di Juan Francisco Alvarez , 10 rls. para un par de medias. D. Francisco Ponce, 10 rls. para un par de medias. D. Miguel de…</t>
  </si>
  <si>
    <t>Vandamme</t>
  </si>
  <si>
    <t>tamos lo si­ marriva , y sostenidas por una reserva á las guiente : órdenes del general Jellachich , atacaron al articulo 1. Todos los acreedores del general Vandamme en el pueblo de Urfar, estado, ya sea por capitales, 6 ya por atra­ mas arriba de la cabeza del puente de Lintz, sos de réditos, sueldos y pensiones, ó por al t…</t>
  </si>
  <si>
    <t>884 El 24 el general Vandamme hizo que cursos violeatos de los príncipes de la casa se embarcasen en Molk 300 wurtember- de Loreua, era imposible persuadirse que gueses mandados por el mayor Kechler, aprobasen semejantes atentados. En conse­ para pasar á la otra orilla, y poder adqui­ cuencia S.</t>
  </si>
  <si>
    <t>en la no- ■ co tenia su quartel general en Plauen. che del 3 al 4 de julio, ha sido batido com­ S. M. el Rei de Saxonia ha recibido la pletamente. El general Vandamme ha ocu­ noche pasada, por un correo despachado pado á Tabór y las islas inmediatas á Vie­ dél quartel general imperial, la noticia de na por la parte de arriba …</t>
  </si>
  <si>
    <t>n actualmente á la mayor bizarría en las batallas de los dias las órdenes del mariscal Macdonald , y que 5 y 6 y en los combates subsiguientes. El el general Vandamme ha llegado á Gratz duque de Rívoli, baxo cuyas órdenes esta­ con las suyas, de las quales una parre ha ban estas tropas , hace un elogio particular ocupado la c…</t>
  </si>
  <si>
    <t>Varea, Esteban</t>
  </si>
  <si>
    <t>Esteban Varea</t>
  </si>
  <si>
    <t>72-4 reíti.es de] mismo Consejo á D. Esteban Varea, encargán­ dose por ahora, del despacho de ambas. Y .habiendo tenido á bien establecer, .¡una Coptaduría? general para las ;dos Am§'ricas , ha nombrado por Contactor, gpnerai á D; Josef Sal</t>
  </si>
  <si>
    <t>114</t>
  </si>
  <si>
    <t>para su cumplimiento en la parte que corresponde. — El marques de Astorga , presidente. — En el real alcázar de Se­ villa á 10 de agosto de 1809. — A D. Esteban Varea.” SEVILLA : EN LA IMPRENTA REAL</t>
  </si>
  <si>
    <t>Vareta, Juan Vázquez</t>
  </si>
  <si>
    <t>Juan Vázquez Vareta</t>
  </si>
  <si>
    <t>n lós deseos con que se interesa en redimir la patria. * * El capitán y. comandante de artillería D. Pablo Ventades , y el ayudante de campo de V. E. D. Juan Vázquez Vareta , no sola­ mente cumplieron y verificaron mis órdenes con7 la mayor actividad, sino que habiendo pasado ya todas las tropas de Orado en persecu­ ción del …</t>
  </si>
  <si>
    <t>Varona, Ma</t>
  </si>
  <si>
    <t>Ma Varona</t>
  </si>
  <si>
    <t>mentos que necesita; visto el informe de nuestro ministro de Hacienda , hemos de­ ITALIA. cretado y decretamos lo que sigue: articulo 1. «Nombramos á D. Ma­ Varona jo de julio. nuel Mancebo y Raon por secretario de la El general da división Fiorelta ha reci­ dirección de bienes nacionales , con el suel­ bido esta mañana una c…</t>
  </si>
  <si>
    <t>Varsovia</t>
  </si>
  <si>
    <t>l continente, á la cabeza de 4ccQ En la junta que celebró el sen*do el 15 hombres, que ocupaban el gran ducado de de abril, presidida por S. A. S. el príncipe Varsovia, la Silesia y la Saxonia, disponía arehicanciiler del imperio , S. E. el minis­ de un poder incontrastable respecto del tro de Relaciones exteriores presentó d…</t>
  </si>
  <si>
    <t>Vasconcelos</t>
  </si>
  <si>
    <t>F42 regimiento portugués num. r6, que hizo prodigios de va­ lor, quedando muerto en el campo el alférez Vasconcelos y algunos soldados , y herido peligrosamente el teniente Verissimo__ Los franceses en su huida abandonaron la famosa posición de la sierra, frente de Oporto y se re­ tiraron á la ciudad, quemando después el pu</t>
  </si>
  <si>
    <t>Vassvia, Metas</t>
  </si>
  <si>
    <t>Metas Vassvia</t>
  </si>
  <si>
    <t>asegura que ha habido muchas mutaciones en el exército GRAN DUCADO DE VARSOVIA. austríaco. El general Radezki, que sirviá en Italia á las órdenes del general Metas» Vassvia a 1 de agosto. ha sido nombrado quartelmaestre general En virtud de una orden del día , su te­ en lugar del general Wimpfen. El Empe-, cha en Cracovia á 2…</t>
  </si>
  <si>
    <t>Vattier</t>
  </si>
  <si>
    <t>allí t loS desbarató, y Cogió 4 piezas de ar­ dueño de las obras y de Ja posición de tillería. Monté Tortero, cogiendo todos los caño­ Entre tanto el general Vattier había nes &gt; muchos prisioneros &gt; y matando mu­ marchado con 300 hombres de infantería y cha gente al enemigó- 200 caballos por el Camino de Valencia. . Habiendo …</t>
  </si>
  <si>
    <t>Vaughan, Carlos</t>
  </si>
  <si>
    <t>Carlos Vaughan</t>
  </si>
  <si>
    <t>do los provechos que salgan á un fondo para el socorro de los valero­ sos aragoneses, así imitando'respetuosamente'el exemplo de mi digna compatriota D. Carlos Vaughan , el qual publicó una rela'cioa del primer sitio de Zaragoza. Ya está en la imprenta la di­ cha traducción, y pues es verosímil que se necesitará segunda edi­ …</t>
  </si>
  <si>
    <t>Váz, Fernando</t>
  </si>
  <si>
    <t>Fernando Váz</t>
  </si>
  <si>
    <t>e granaderos provin­ ciales dé Galicia : á D. José Quiroga y Quindos , y á D. Francisco Arme­ ro , coronel y ayudante ¿1 provincial de Betanzos ; y á D. Fernando Váz­ quez y D. José María de Castro, teniente coronel y sargento mayor del provincial de Orense. El general de la segunda división: al primer ayudante general D. Fra…</t>
  </si>
  <si>
    <t>Vázquez, Antonio Luengo</t>
  </si>
  <si>
    <t>Antonio Luengo Vázquez</t>
  </si>
  <si>
    <t>lla de 730 vecinos, y concurrieron á su posada los sugetos si­ guientes : El corregidor D. Manuel Saenz de Buruaga; los individuos del ayunta­ miento D. Antonio Luengo Vázquez, regidor decano ; D. Juan de Dios Dáviia, regidor; D. Antonio Ovejero, regidor habilitado; D. Alonso Mar­ tin, id. , y D. Juan de la Cruz García Carpiz…</t>
  </si>
  <si>
    <t>Vázquez, Francisco</t>
  </si>
  <si>
    <t>Francisco Vázquez</t>
  </si>
  <si>
    <t>Perez. -- D. Xa­ vier Castillo.--Monjas de Sigena. — D. Ambrosio Nasarre.— Mar­ ques de las Amarillas.— Marques de Lezo. — D. Francisco Mondragon. — D. Francisco Vázquez. — D. Manuel Pardo. — D. José Perez Valiente. — D. Gregorio Tocanecorro. — Baronesa de Togia. — Marquesa de Villanueva. — D. Juan del Castillo. — D. Jo­ sé d…</t>
  </si>
  <si>
    <t>Vázquez, Jcsef</t>
  </si>
  <si>
    <t>Jcsef Vázquez</t>
  </si>
  <si>
    <t>sí y por su escribiente D. Juan Muuoz Psbon, 328 rs. El P. Mro. Fr. Antonio de Castro , Provincial de Car­ melitas calzados , por una vez , 200 rs. = D. Jcsef Vázquez, y su hijo D. Gabriel, ídem , too rs. = D. Antonio Espinosa, Contador honorario de Exército, y Superintendente substituto de la Rea/ Fábrica del Tabaco, por íde…</t>
  </si>
  <si>
    <t>Vázquez, José</t>
  </si>
  <si>
    <t>José Vázquez</t>
  </si>
  <si>
    <t>los é entregarlos á dichos señores Catarineu é hijo en su residencia: en Cá diz á X). José Pujáis y Bonet, calle Sucia , número 168, ó en Se­ villa á D. José Vázquez, ayuda de aposentador mayor en el real Al­ cázar; pues en qualquiera de los parages expresados justificarán sm pertenencia y darán el competente hallazgo. SEVILL…</t>
  </si>
  <si>
    <t>Vázquez, Juan</t>
  </si>
  <si>
    <t>Juan Vázquez</t>
  </si>
  <si>
    <t>ii. Vicente Vázquez, 10 rís. para un par demedias. D. Fernando Manteca, 10 ris. para un par de medias. D. Josef Telio, 10 rls. para un par de medias. D. Juan Vázquez, 10 rls. para un par de medias. Doña María Rodríguez , 10 rls. para un par de medias. D. Liego Rodríguez , 10 r’s. para un par de medias. Entre Jos pobres de cas…</t>
  </si>
  <si>
    <t>Veas, Fernan do García</t>
  </si>
  <si>
    <t>Fernan do García Veas</t>
  </si>
  <si>
    <t>EspaSola de Cáxlos III, á D. Joaquín Gispert, Oficial de la primara Secretaría de Estado, y ha concedido Cruz supernumeraria en la misma Real Orden á D. Fernan­ do García Veas, vecino de Arcos de la Frontera. Avimi uio ba concedido Cruz supernumeraria de dicha Real Orden , con pensión sobre ios fondos de la misma, á D. Se­ ba…</t>
  </si>
  <si>
    <t>Vega, Carlos</t>
  </si>
  <si>
    <t>Carlos Vega</t>
  </si>
  <si>
    <t>Roxas, el Capitán D. Josef Muzquiz, el de igual clase D. Joaquin Marin, el Teniente Coronel D. Cayetano Torreani, y los Capitanes D. Antonio Gómez, y D. Carlos Vega. Pronta y dispuesta con una bizarra disposición esta tro­ pa , me abaneé del castillo con el Mayor General de in' fantería D. Manuel de Peñas, y los oficiales de …</t>
  </si>
  <si>
    <t>Vega, Remigio</t>
  </si>
  <si>
    <t>Remigio Vega</t>
  </si>
  <si>
    <t>, á en las piezas del monetario, salas de ma­ D. Josef Muñoz, á D. Josef Coronal, á Don nuscritos y antigüedades, en las de autores Rafael Piañiol, á D. Remigio Vega , á Don clasicos y en las de tipografía , en todas las Pedro León Echevarría y á D. Josef Uce— quales se sirvió hacer varias preguntas en ta ; por limadores á D.…</t>
  </si>
  <si>
    <t>Velarde, Bernardo</t>
  </si>
  <si>
    <t>Bernardo Velarde</t>
  </si>
  <si>
    <t>prema gubernativa delreynó, se ha servido nombrar para la ca­ non gia cardenalicia", vacante en la iglesia metropolitana de San­ tiago por muerte de D. Bernardo Velarde , á D. Vicente ¡Ma­ ría A guiar , abad de S. Simón de Cacheiras : para la canongia vacante en la misma iglesia por fallecimienta de D. Santiago Va­ quero, á D…</t>
  </si>
  <si>
    <t>Velarde, José</t>
  </si>
  <si>
    <t>José Velarde</t>
  </si>
  <si>
    <t>s se hallaron siempre á las cabezas dé las colunas á cue estaban unidos, y recomienda al teniente coronel D. José Fuen­ te Pita , al mayor de brigada D. José Velarde , y al subteniente D. Miguel IJgarte, todos tres de dicho real cuerpo, pues unidos alas guerrillas llevaron varias órdenes á la caballería.” “Creo de mi obligaci…</t>
  </si>
  <si>
    <t>Vellido, Manuel Martínez</t>
  </si>
  <si>
    <t>Manuel Martínez Vellido</t>
  </si>
  <si>
    <t>234 dexa á D. Manuel Martínez Vellido : para otra ración vacante en dicha iglesia de Jaén por fallecimiento de D. Bartolomé Montoro , á D. José Pereyra , canónigo de la colegial de Baeza : pa­ ra una canongía de la iglesia coleg</t>
  </si>
  <si>
    <t>Ven</t>
  </si>
  <si>
    <t>ancisco de Paula Perpiñan, muger é hi­ jo. — Doña Bárbara Garay. — Conde Parsen, marques de Bárboles. — D. Joaquin Heredia. — D. Ildefonso Quartero.--Doña Ven­ tura Lisa. — D. Pedro Silves— José Fornies. -- D. José Latasa. — D. José Marracó. — D. Tomas Castillo Larroy. -- D. Vicente Camacho. -- D. Pablo Pasqual.— D. Juan Ramó…</t>
  </si>
  <si>
    <t>Ven, Domingo</t>
  </si>
  <si>
    <t>Domingo Ven</t>
  </si>
  <si>
    <t>entos , quar—&gt; Por decreto del citado -día S. ha. teles, inválidos, retiros y pensiones. nombrado en el mioisterip de Justiciará El gefe de di visión D. Domingo Ven— £&gt;. Alonso Tovar y Ximenez y JD. .Anto-, goa lo que pertenece á lo personal y ma­ nio Benito gefes de .división; á D. Josef terial dé artillería y de ingenieros,…</t>
  </si>
  <si>
    <t>Venancio</t>
  </si>
  <si>
    <t>neche. — D. Cipriano Iturraldé.— D. To­ mas Yoldi.—D. José Sánchez. — D. Luis Manuel de Benavides. — D. Lorenzo de Sobrecosas/ — D. Manuel Cárrica. — D. Venancio</t>
  </si>
  <si>
    <t>Venancio, Antonio</t>
  </si>
  <si>
    <t>Antonio Venancio</t>
  </si>
  <si>
    <t>allos ligeros de la guardia real. La Borda Perez (D. Francisco), gefe de Xaramillo ( D. Juan Manuel). división en el ministerio de Hacienda. Xareño ( D. Antonio Venancio de) , oficial Lasserre (D. Marcial ) , subteniente de ca­ en el ministerio de Negocios extranballos ligeros de La guardia real. geros. Magallon ( D. Joaquín …</t>
  </si>
  <si>
    <t>Vene</t>
  </si>
  <si>
    <t>ni. Las justicias darán á sus res­ estábamos viendo pasar por aqui fugitivos pectivos intendentes, á los tres dias de ha­ del cuerpo de exército del general Vene- berles comunicado este decreto, una noticia gas , el qual se habia presentado en etta pro­ de las personas , cuyos bienes hayan de con­ vincia en consecuencia de la…</t>
  </si>
  <si>
    <t>Venegas</t>
  </si>
  <si>
    <t>de exéreito que estaba á las ordenes del duque del Infantado , com­ puesto de 15© hbmbres. Mandaba estos, asi de infantería como de caballe­ ría, el general Venegas. Dos mil y algunos cientos mas de hombres han sido muertos ó heridos, y los demas hechos prisioneros. Se dice que el ge­ neral Venegas es del número de los primer…</t>
  </si>
  <si>
    <t>criban de Brunswick que S. M. ha lle­ ral alucinamíento , se habían puesto en mo­ gado alli el dia 9. El exército que tnanda, vimiento las tropas del general Venegas, compuesto de 20® hombres , de los quales quando noticioso este el dia 25 de la llega­ 70 son franceses, y al que te reunirá la da del R.EJ á esta provincia, y d…</t>
  </si>
  <si>
    <t>persona­ se retiró aquella- tarde hacia Santa Olalla con 98 carros de heridos. La división del Brigadier Lacy está sobre Toledo , y el. exérc»to del General Venegas entraba ayer en Aranjuez con. ánimo de pasar k Madrid., PARTE SEGUNDO DEL EXER.CIXO DE E.XTIÍEMACuIIÁ* El: General' Cuesta con fecha del 29 del corriente avisa de…</t>
  </si>
  <si>
    <t>muerto un General de división; y que Ofarrill, Negyete y Casa-Palacio asistieron á la batalla. Parte del exército se emplea en quemar los muertos. El General Venegas desde Ocaña, con la misma fecha, avi­ sa que habiendo mandado ai Coronel D. Felipe La-Corte con 250 caballos atacase un puesto de 200 caballos y 300 infantes, lo…</t>
  </si>
  <si>
    <t>25 GAZETA EXTRAORDINARIA DEL GOBIERNO DEL MARTES 8 DE AGOSTO DE 1809. SEVILLA. El general Venegas con fecha del 5 avisa des • de el quartel general de Ocaña, que en aquel dia se llenaron de gloria las divisiones primera, se ­ gunda y tercera de su exército en las orillas del Tajo en Aranjuez , donde atacadas tres veces con el…</t>
  </si>
  <si>
    <t>e después en Tole­ ra cortar á los ingleses so retirada hacia do con el exército de la Mancha que man­ Portugal. El REI cuidó igualmente de re­ da el general Venegas , y entonces con los forzar la guarnición de Toledo hasta él nú­ 120© hombres, ó el todo de sus fuerzas, di­ mero déj© hombres para asegurarse de los rigirse á l…</t>
  </si>
  <si>
    <t>heridos. el exército francés apenas llegaba á 40® „Fero asómbrese vmd. todavía mas de hombres. A pesar de esta inferioridad de otra cosa; y es que el general Venegas no fuerzas, y de la ventajosa posición de los ha tenido noticia hasta ayer noche de ha­ enemigos, el REI se decidió á atacarlos. berse retirado de Talavera y rép…</t>
  </si>
  <si>
    <t>empeño con que intentaron forzar los pasos vadcablea del rio Tajo en el real sitio de Aranjuez , y mientras S. M. recibe la. propuesta que ofrece el general Venegas para premiar á los que tan bizarramente se han batido, confiere desde luego el empleo de mariscal de campo al brigadier D. Pedro Agustin Girón , como propone, en …</t>
  </si>
  <si>
    <t>n de Lusitania , un batallón de ca­ zadores portugueses , y dos batallones españoles ; el 19 Llegó á Arenas, y el 23 á Escalona sobre el Alberche. El general Venegas había recibido también orden de partir de Madridejos el 18 y el 19 , y encaminarse por Tembleque y Ocaña á Fuentidueña so­ bre el Tajo , donde se vadea este rio …</t>
  </si>
  <si>
    <t>Sherhrooke. Mi intención era conservar mis comu­ nicaciones con el general Cuesta , y con el cuerpo de Sir R. VVil­ son , apostado en Escalona.” “ El general Venegas no habia aun executado las operaciones de que estaba encargado sa cuerpo , y se hallaba todavía en Daimiel en la Mancha ; y en los días 24 , 9.5 y 25 el enemigo …</t>
  </si>
  <si>
    <t>on el cuerpo de hemete -can unj división de infantería y una cir Roberto Wiíson , apostado en Escalona. brigada de caballería, como puesto avan­ „ El general Venegas no habia aunexe- zados en el bosque sobre la orilla derecha cutadcv las. operaciones de que estaba encar­ del Alberche, para cubrir nuestro flanco gado fu cuerpb…</t>
  </si>
  <si>
    <t>Venegas, Francisca</t>
  </si>
  <si>
    <t>Francisca Venegas</t>
  </si>
  <si>
    <t>La jnafa Suprema Je Gobierno del Rejtné ei nombre je! Rey Nro. Sr. D. Fernando Vil. ha mandado contestar á D. Francisca Venegas, que al paso que S. M. celebra la bi* zarria de estos oficiales y tropa, aprueba el arresto impues­ to á Acosía; qín&gt;re que se Je haga entender la impruden­ cia que cometió; pero que dando</t>
  </si>
  <si>
    <t>Venero, Carlos</t>
  </si>
  <si>
    <t>Carlos Venero</t>
  </si>
  <si>
    <t>Otra del propio co­ den varios bienes en el lugar de las Rozas y su termi­ legio en la calle de la Reina, núm. 3, manz. 300, que no de la memoria de D. Carlos Venero. Una casa bo­ tiene de sitio 7600 pies y medio , en 2348 2 1. Otra del dega en la plaza, con 3294 pies de sitio, usada en colegio de Niñas de la Paz en la calle …</t>
  </si>
  <si>
    <t>Ventu</t>
  </si>
  <si>
    <t>al capitán D. Isidoro Mir el nombramiento de comandante, de la partida en clase de teniente coronel efectivo de infantería , con el sueldo de tal: á D. Ventu­ ra Ximenez el empleo de capitán vivo de caballería con el sueldo correspondiente : á los oficiales subalternos y sargentos primeros el grado inmediato ; y en atención á…</t>
  </si>
  <si>
    <t>Ventura</t>
  </si>
  <si>
    <t>enuedo que han desplegado mis solidación , y ministro honorario del tribu­ tropas italianas: en las orillas del báltico» nal de contaduría mayor, y á D. Ventura en las del Ebro y en las del Danubio han Arquellada, oficial de la secretaría del con­ mostrado que corre por sos venas la sangre sejo y cámara de Indias del departam…</t>
  </si>
  <si>
    <t>Ignacio), capitán del regí— Gamin, coronel de los caballos ligeros de mier.to núm. i.° la guardia. Cornebois, sargento de granaderos del Real García (D. Ventura), capitán de caballeril. Extrarigero. García ( D. Alfonso.), granadero del regi­ Cortes.( D. Antonio), alcalde de corte. miento núm. t.u, brigada ir.andera. Cosío ( D…</t>
  </si>
  <si>
    <t>diencia de Navarra. — Guillet, xefe de batallón de la artillería de la guardia. — Gamin , coronel de los caballos ii-'geros de la guardia. — García ( D. Ventura ) capitán dé caba­ llería. — García (D. Alfonso) granadero del regimiento núm., i , brigada irlandesa. — García Suelto (D. Tomás) médico dél exército de primera clase…</t>
  </si>
  <si>
    <t>Ventura, Antonio Angel</t>
  </si>
  <si>
    <t>Antonio Angel Ventura</t>
  </si>
  <si>
    <t>* 403620, 403631, ten memoriales, que se dirigirán al escribano de ayun­ 407738 y 412852; los quales se han extraviado en el tamiento de dicha ciudad D. Antonio Angel Ventura correo. Se suplica á la persona que supiese el paradero de Arizmendi. de los referidos vales, se sirva avisarlo en Madrid al La plaza de cirujano de la …</t>
  </si>
  <si>
    <t>Vera, Francisco</t>
  </si>
  <si>
    <t>Francisco Vera</t>
  </si>
  <si>
    <t>sco Alvarez , 10 rls. para un par de medias. D. Francisco Ponce, 10 rls. para un par de medias. D. Miguel de Vera , 20 rls. para dos pares de medias. D. Francisco Vera , 20 rls. para, dos pares de medias. D. Manuel Martin , 10 rls. para un par de medias. D. Josef Perez , 20 rls. para dos pares de medias. D. Martin Serrano, 10…</t>
  </si>
  <si>
    <t>Vera, Juan Josef</t>
  </si>
  <si>
    <t>Juan Josef Vera</t>
  </si>
  <si>
    <t>Juan Tomates , 10 rls. para un par de media?. D. Bernardo García , lo rls. para un par de medias. D. Francisco Rodríguez , 12 rls. para un sombrero. D. Juan Josef Vera , 12 rls. para un, sombrero. D. Joaquín Coronas , 10 rls. para un par de media?. D. Josef de Troya , 20 rls. para dos pares de medias. D. Antonio Martin , 20 r…</t>
  </si>
  <si>
    <t>Verdier</t>
  </si>
  <si>
    <t>n­ te los mas ligeros esfuerzos. En- este corto espacio de tiempo quedará Gerona sometida (3). (1) ■ . El cuerpo de tropas que está á las órdenes del general Verdier, no es otro que la división que manda el general Morio , compuesto de 4- regimientos VVesfalíanos , uno de VVurtzbourg, otro de Berg , y de un escuadrón de cabal…</t>
  </si>
  <si>
    <t>gual. El número de los enemigos , según relación de un. sargento prisionero , era de 1500 hombres, y una gran partida de caballería , mandados por el general Verdier , quien se ha es­ capado á uña de caballo., como también otro general, cuyo nom­ bre ignoro. Dios guarde k V, E. muchos años. Campamento de Porsacreu 6 de setiem…</t>
  </si>
  <si>
    <t>sus oficiales , los que se .confundieron con ellos en el desorden de la fuga , y se volvieron despechados á dar un parte muy ageno de su or­ gullo al general Verdier. [Qué quadro tan grandioso y peregrino era ver batallar á estos guer­ reros alimentados con un raacno de trigo ó nabas , sin mas condi­ mento que un poco de acey…</t>
  </si>
  <si>
    <t>tio, dexando en él go por la izquierda. El general Deumuúnicamente las precisas para guardar las lin recibió orden de apoderarse de Santa obras, y el general Verdier vino á po­ Coloma á la bayoneta con tres batallo­ nerse en línea con el exército del gene­ nes del i.° de infantería ligera , soste­ ral Saint-Cir, A esta sazón …</t>
  </si>
  <si>
    <t>Verdugo, Segundo Antonio</t>
  </si>
  <si>
    <t>Segundo Antonio Verdugo</t>
  </si>
  <si>
    <t>ciones de los franceses que guarnecían á aquella ciudad. El as­ tuto enemigo consiguió engañar por un momento a la segunda compañía de caballería de D. Segundo Antonio Verdugo, envian­ do unos 400 hombres ¿ los puntos que ocupaba en Yunquera, que</t>
  </si>
  <si>
    <t>Verhuell</t>
  </si>
  <si>
    <t>en el mando de la esquaSchoembrunn. Un cuerpó numeroso de la drilla del Mosa y de los ríos de Zelanda por guardia imperial hace parte de él. Se ha el mariscal Verhuell; embajador de S. M. formado también otro campamento de 20Q en París, de donde ha venido con solo este hombres entre los puentes enfrente de Spitz, objeto. Dich…</t>
  </si>
  <si>
    <t>s de júbilo á los primeros destaca­ los periódicos, ó bien en folletos que im­ mentos de infantería y á los oficiales que primen al intento. envió el mariscal Verhuell. Según la lista de observación del 6 de SAXONIA. setiembre de 1809, á las 11 de la ma­ ñana , el número de velas enemigas que se Dresde n de setiembre. divisab…</t>
  </si>
  <si>
    <t>Verhuetl</t>
  </si>
  <si>
    <t>a hacer mas Se dice que habrá pronto una gran re­ fácil el paso de la infantería á la isla de forma en el sistema de fábricas de Prusia; Schouwen, el mariscal Verhuetl se presen­ y que el gobierno se propone dexar entrar tó delante de Zierikzée con la esquadra de toda especie de mercaderías extraogeras su mando. Un cúter enem…</t>
  </si>
  <si>
    <t>Vetégas, Francisco</t>
  </si>
  <si>
    <t>Francisco Vetégas</t>
  </si>
  <si>
    <t>ir sus victorias contra valientes espaLa Suprema Junta de Gobierno ele! Rey do, en nombre del Rey nuestro Sr. D. Fernando Vil , ha mandado al Gíaeral D. Francisco Vetégas baga saber á toda la tropa que se ha­ lló en esta acción , que S. M. queda muy satisfecho del órden y valor qué manifestaron en ella ; y que propenso siem­ …</t>
  </si>
  <si>
    <t>Veuturi</t>
  </si>
  <si>
    <t>Apparent, principé heladas del invierno la guarnición no pue­ Corsini, conde Fossombroni, conde Ande contar con la protección de la marina. guissola, conde Veuturi, y el conde CarY aun quando los hielos no sean mui fuer­ bonara, todos senadores. tes para abrir al enemigo el paso de SudParís de octubre. Beveland, temerán que l…</t>
  </si>
  <si>
    <t>Vffialva, Ramón</t>
  </si>
  <si>
    <t>Ramón Vffialva</t>
  </si>
  <si>
    <t>alla al lado del general Wellesley, y por su valor y conducta militar ha merecido la recomendación de ccte dignísimo general. Los mariscales de campo D. Ramón Vffialva ; marques de Malaspina , mayor general de caballería ; D. Josef María de Alós , mayor general de infantería; D. Manuel Zapino, comandante general de in­ genier…</t>
  </si>
  <si>
    <t>VH, Fernando</t>
  </si>
  <si>
    <t>Fernando VH</t>
  </si>
  <si>
    <t>Las qaatro columnas del trono español. Opereta alegóri­ ca por D. F. E. C^strilloa , que en celebridad de los dias de nuestro augusto Soberaoo el Sr. D. Fernando VH se can­ tó en la Ciudad de Cádiz el día 30 de mayo de 1809. Instrucciones cristianas para los Militares: las publica cor­ regidas y aumentadas el Dr. D. Juan Mjmi…</t>
  </si>
  <si>
    <t>Vi, Juan</t>
  </si>
  <si>
    <t>Juan Vi</t>
  </si>
  <si>
    <t>or la audiencia del Sr. D. León de Sagasta, tenien­ do unido compone toit pies, ¡a qual-con-sus perte-'1 te corregidor de esta villa, y escribanía de D. Juan Vi­ necidos en el estado en que se hallaban se retasó por lla y Oiicr, se sacan á pública subasta las lincas siguien­ el maestro mayor en i.° de abril de 8b6!en la canti…</t>
  </si>
  <si>
    <t>Vi, Manuel de Echeverría y D</t>
  </si>
  <si>
    <t>Manuel de Echeverría y D Vi</t>
  </si>
  <si>
    <t>y de la gente de mar pudo aprontar, y se presentaron é btftir; á - loa. enemigos ál mando de 'los * tenientes ‘-de' nsví j D. \ .Aod«es de ja Fuerte, D. Manuel de¿- Echeverría y D* Vi*cetite¿ Eúr-raggi , cuya,* Órdenes ifía el teniente'. de- volúntanos de Eípaoa D. Fran­ cisco Pulgar , pues tanto á bala rasa-cuno- á m-.trai'a…</t>
  </si>
  <si>
    <t>Vial</t>
  </si>
  <si>
    <t>ido es el siguiente: negg; pero se le aguardaba para el 13 en Lints 9 de noviembre d ¡as quatro de Brixen. la madrugada. ,, Príncipe : me apresuro El general Vial había avanzado el dia á anunciaros que en este instapte acabo de lo desde Botzcn á Brixen, y el mismo dia recibir una carta del general Drouet, en verificó su reuni…</t>
  </si>
  <si>
    <t>Viana, Modesto</t>
  </si>
  <si>
    <t>Modesto Viana</t>
  </si>
  <si>
    <t>ancisco Diaz , á D. Josef Morales , rector de aquella universidad : y para una capellanía presbiteral en la reál de Gra­ nada , vacante por muerte de D. Modesto Viana, i O. Vicente Rico Bernabé. *________ A. la entrada de los enemigos en Pamplona se extraviaron 31 vales reales de las Creaciones y núm. siguientes : 2 de 300 pe…</t>
  </si>
  <si>
    <t>Vicen</t>
  </si>
  <si>
    <t>Bú rgos; D. Manuel Frayle- que sigue : _-yPrior, canónigo penitenciario; D. Rampa „Se»or : Tenemos la honra de presen­ María de Adurriaga , canónigo; D. Vicen­ tar á V.-M, 4 nombre de. la ciudad de Bur­ te Ramírez, ídem; y D.,Martin Ramírez gos y su consulado de copjprcio el testi­ de la Piscina , idem. Los diputados por la m…</t>
  </si>
  <si>
    <t>prisioneros. Total, 8 hombres y 8 caballos. — Total general, 201 hombres, y 182 caballos. -(1) Con esta ocasión merece citarse el rasgo patriótico de D. Vicen­ te López, cura de Checa en Molina, quien inmediatamente ha. remi­ tido al ayuntamiento de Orihuela 50 fanegas de trigo para alivio de aquellos habitantes que sufrieron…</t>
  </si>
  <si>
    <t>Vicente</t>
  </si>
  <si>
    <t>r el estado noble. -a. D. Lorenzo Sanz de Sedaño y D¿ Josef Medina. i :d : Pot el estado general.' * w ' r &lt;* D. Josef Pinedo, D. Gregorio Ponceiis¡y:D. Vicente deíBiava.; \ El canónigo D. Manuel Pascual Luizoain dirigió á S. M. el discurso si­ guiente : „ SeSor : La diputación de Palencia da á V. M. la enhorabuena por su fel…</t>
  </si>
  <si>
    <t>El enemigo ha hecho un fuego continuo interino de su provincia, habiendo otorga­ contra estas obras, y nos ha herido tres do su jubilación al actual D. Vicente Do­ hombres. mínguez en atención á sn dilatada carrera JDia 25. y avanzada edad. Ataque de la derecha. Se ha perfec­ Ultimamente ha nombrado S. M. a Don cionado la ter…</t>
  </si>
  <si>
    <t>e Oñate y Burgo , á D: Nicolás de Andrade , canónigo en la dé Puerto-rico : para la dignidad de arcediano titular de Guadix, va­ cante por ascenso de D. Vicente llamos al deanato de aquella ca­ tedral, á D; Cayetano Márquez, canónigo de la colegial del Sacromonte de Granada : para una canongía de la catedral de Teruel, vacant…</t>
  </si>
  <si>
    <t>dro), secre­ Clari (D. Mario), coronel y nuestro edecán. tario de la interpretación de lenguas. Clari ( D. Bienvenido), teniente coronel y Ferrandiz (D. Vicente), teniente coionel escudero. de artillería. Clairmont Tonnerre, coronel y edecán. Fuentes (D. Jnlian). Colonna, escudero. Four (D. Juan), sargento i.° del Real Colonn…</t>
  </si>
  <si>
    <t>, teniente coronel de González (D. Cesar), teniente coronel de ,iiií.|literla. artillería. Marie (D. Fermín) , general y edecán del Gomales Arnaud ( D. Vicente), secretario Reí. del consejo de Estido. Mariner ( D. Josef) , sargenta t .° del bar Guerrero ( D Joan), capitán del regimien­ tallón de infantería ligera ruin. 1.° to…</t>
  </si>
  <si>
    <t>ropa, que retirando la caballería á las inmediaciones del pueblo , em­ bistió la infantería saltando corrales y tejados. Los comandantes D. Mariano , D. Vicente , y Sr. Berdugo tomaron sus posiciones correspondientes y muy peligrosas. Mis valientes y nimca bien ponderados sargentos Saturnina Abuir y José Mondedeu , hasta subi…</t>
  </si>
  <si>
    <t>sa. — Félix: (D. Hilario) teniente del mismo regimiento. — Fernán­ dez Moratin (D. Leandro) secretario de la interpretación dé' lenguas. — Ferrandiz (D. Vicente) teniente coronel de artille­ ría. — Fuentes (D. Julián). — Four (D. Juan) sargento pri­ mero del real extrangero.” “Gainza (D. Luis). — Galdiano (D. José María) rege…</t>
  </si>
  <si>
    <t>Holanda. — Gó­ mez de Ayala ( D. Pió) secretario de la legación en Holan­ da.—González (D. César) teniente coronel de artillería.—Gon­ zález Arnao ( D. Vicente) secretario del consejo de Estado. Guerrero (D.Juan) capitán del regimiento núm. i , infantería, de línea. — Guyé y coronel de volteadores de la Guardia real. — Guzman…</t>
  </si>
  <si>
    <t>Sánchez Mendoza (D. Josef), alcalde de Datton (D. Antonio) , comandante de es- corte. quadrou. Salcedo Xaramillo ( D. Josef) , canónigo de Fernandez (D. Vicente), teniente coronel Toledo. de artillería. Say............ capitán de infantería de la guar­ Fita (D. Josef), gefe de división en el mi­ dia real. nisterio secretaría …</t>
  </si>
  <si>
    <t>rmino de ocho dias á la es» todavía la continuación de la guerra, com­ fcr¡bahía del número y principal de-la intenden­ cia de exército del cargo; de D. Vicente de la prometiendo su patriotismo, su honor y sus Costa, para cuyo reñíate en el mejor postor fortunas, quedará al menos 4 los verdade­ ( mereciendo la aprobación de S…</t>
  </si>
  <si>
    <t>Vicente, Antonio</t>
  </si>
  <si>
    <t>Antonio Vicente</t>
  </si>
  <si>
    <t>onio Lajíeña. — D. Baltasar Barragan. — D. Joa­ quín Palacios.— D. Baltasar Val. — D. Mariano Ramírez.-- D. Lo­ renzo Puchol. — D. Vicente Laborda. — D. Antonio Vicente.— D. Vicente Puchol. — D. Julián Navarrete. — D. Pedro Yoldi. — D, José Unceta. — D. Fermín de Lusarreta. ~ D. Eulogio Espi­ no.— D. Francisco Barraneche. — D…</t>
  </si>
  <si>
    <t>Vicióla, Xavier</t>
  </si>
  <si>
    <t>Xavier Vicióla</t>
  </si>
  <si>
    <t>términos del lugar de Nanclares pertenecien­ tes á su cabildo eclesiástico, al contado 3740, y 5610 al fiado: varias he­ redades de la capellanía de D. Xavier Vicióla, al contado 3365 , y 5047 y medio al fiado: otras heredades en el mismo lugar pertenecientes al ca­ bildo del de Larrea, al contado 2922 , y 4488 al fiado: las …</t>
  </si>
  <si>
    <t>Víctor</t>
  </si>
  <si>
    <t>aba de ban en los estados en razón de su pobla­ recibir la noticia de la batalla decisiva ga­ ción, podrían ser susceptibles de reformas; nada por el mariscal Víctor sobre los in­ pero jamas quedarían abandonados, ni su. surgentes , mandados por el general Cuesta, conciencia ni sus principios lo permitirían; la qual, aunque l…</t>
  </si>
  <si>
    <t>Victor</t>
  </si>
  <si>
    <t>bien que por confesión de los mismos franceses y noticias fidedignas y su pérdida pasa de 9 á 100 hombres , y entFe los heridos lo está gravemente el Mariscal Victor, y muerto un General de división; y que Ofarrill, Negyete y Casa-Palacio asistieron á la batalla. Parte del exército se emplea en quemar los muertos. El General …</t>
  </si>
  <si>
    <t>rarse también de la parte de acá del citado rio, como lo verificó en la mañana del 27. Es de advertir , que habiéndose retirado al amanecer dél 24 él mariscal Víctor del punto que ocupaba del otro lado del Alberche, bityendo del ataque determinado para el amanecer de este día por eí exér­ cito aliado , consiguió reunirse en l…</t>
  </si>
  <si>
    <t>e este mes, José Bonaparte volvió á pasar el Tajo , y reunió á las de Sebastiani las tropas que conduxo de Madrid, y un des­ tacamento del cuerpo del mariscal Víctor , con las quales as­ cendía el exército del general Sebastiani á 283 hombres. Su in­ tención era atacar el cuerpo de Venegas; pero este se retiró á Sierra-Morena…</t>
  </si>
  <si>
    <t>ue tenia en esta parte de España, n« dexando en Toledo mas que un cuerpo de 20 hombres.” “ El exército enemigo reunido así se componía del cuerpo del mariscal Víctor, del del general Sebastiani, y de 7 á 83 hombres de la guardia de José Bonaparte , y de la guarnición de Madrid: mandaba el todo José Bonaparte, teniendo á sus ó…</t>
  </si>
  <si>
    <t>qne tih cuerpo da 2® hombres'. ■■ á la -gazeta del gobierno de 7 del cor­ „ El exército enemigo, reunido asi, se riente (i): componía del cuerpo del mariscal Víctor, „Poco despnes de haber sido rechaza­ del-del general Sebastian! y de 7 á 8® hom- do el enemigo, que habia empleado todas brer df la guardia de Josef Bonaparte, y…</t>
  </si>
  <si>
    <t>regimiento de infantería de lí—• Pascalis...... ....teniente y furrier de palacio. nea núm. i.° Picard (L&gt;. Francisco), caballo ligero de la Bcrnard (D. Víctor), gefe de esqoadron guardia real. V ayudante de palacio. Piñeiro ^ D. Joaquín María ) , dignidad de Bofferton (D. Luis), caballo ligero déla Cuenca. guardia real. Rebo…</t>
  </si>
  <si>
    <t>Victori, Francisco</t>
  </si>
  <si>
    <t>Francisco Victori</t>
  </si>
  <si>
    <t>mayores riesgos. • « ;Soa. dignos de toda liconsideracion.de V. E. los oficiales comandantes de las guerrillas -los tenientes Jj). Autopio Galindo , D. Francisco Victori­ no., D. Francisco Villalobos, y al. valiente subteniente agregado al Infante D. Antonio Navarro, los :qualesdiariamente y sin perdonar fatiga se han bad.lo …</t>
  </si>
  <si>
    <t>Vidal, Manuel</t>
  </si>
  <si>
    <t>Manuel Vidal</t>
  </si>
  <si>
    <t>charrete­ ras al capitán , que después han muerto por no haberse querido rendir ; como también el subteniente D. Antonio Trilla , y el dis­ tinguido D. Manuel Vidal, quienes han demostrado una intrepi­ dez sin'igual. El número de los enemigos , según relación de un. sargento prisionero , era de 1500 hombres, y una gran partid…</t>
  </si>
  <si>
    <t>Vidot</t>
  </si>
  <si>
    <t>ores; Martin Vielzac y Stiuski, granaderos. En la gendarmería escogida al subteniente Maginel, al primer sargento Limeri, al de brigada Roland , y al soldado Vidot. En la caballería ligera á los subtenientes Bonnoty Charlier; al ayudan­ te Chappe; al vaguemaestre Necesson; á los sargentos primeros Forestier, Miliard, Le-Sage …</t>
  </si>
  <si>
    <t>Vigodet, Gaspar</t>
  </si>
  <si>
    <t>Gaspar Vigodet</t>
  </si>
  <si>
    <t>osidad y ale­ gría con que nuestros generales , xefes y soldados veian próximo el momento de combatir. La segunda división mandada por el bri­ gadier D. Gaspar Vigodet, formaba el costado derecho ; á esta seguía la quarta mandada por el mariscal de campo D. Francisco González del Castejon : sucedía la quinta del cargo del mar…</t>
  </si>
  <si>
    <t>Vigodet, IX-Gaspar</t>
  </si>
  <si>
    <t>IX-Gaspar Vigodet</t>
  </si>
  <si>
    <t>groso , des­ pués de haber estado á mi lado lo restante de la acción. El ayu­ dante de órdenes de mi división el capitán D. Vicente Ancito , y ei del brigadier IX-Gaspar Vigodet,, el capitán IX Francisca Figueras , llevaron, las. órdepgs de que fueron encargados con desprecio de los riesgos ; y en, fui todos á porña los indiv…</t>
  </si>
  <si>
    <t>VII, Femando</t>
  </si>
  <si>
    <t>Femando VII</t>
  </si>
  <si>
    <t>e­ migos en España por su localidad cercados de ellos , y sin esperanza de ningún auxilio, llevados únicamente de la fidelidad á su legítimo soberano D. Femando VII y patria. En las últimas acciones tuvo el enemigo 522 hom­ bres muertos y 800 heridos, según las relaciones de los mismos xefes franceses, sin que pudieran contar…</t>
  </si>
  <si>
    <t>a, y por segunda vez creando una brigada de artillería í caballo anexa al real cuerpo de guardias de Lorps. Fué maestro militar del rey nues­ tro Sr. D. Femando VII, entonces príncipe de Asturias , y de los señores infantes , y logré el particular aprecio y amistad del soberano. Quando mereció ser nombrado á pluralidad de vo­…</t>
  </si>
  <si>
    <t>VII, Fernando</t>
  </si>
  <si>
    <t>Fernando VII</t>
  </si>
  <si>
    <t>iende su cuidado y atención á ocuparse , oir con gusto* y premiar todas las acciones que se dirigen á mostrar pa­ triotismo y lealtad á nuestro amado rey Fernando VII. Convencido de ello , he creído que debía pasar á V. E. el adjunto papel instructivo de lo que acaba de hacer la villa de Villacañas , una de las que comprehend…</t>
  </si>
  <si>
    <t>empeñada la Nácion. Eh Vera-Cruz se ratificó so­ lemnemente: el dia xx: de Octubre último la jara,, y pro­ clamación. de nuestro amado Monarca el Sr. D. Fernando VII , y aquel vecindario ha hecho un donativo de 53 , 687; pesos, que han llegado á bordo de las fragatas- de guerra in­ glesas la Mélpomene y la Diamante habiendo o…</t>
  </si>
  <si>
    <t>y sus intereses, por hallarse en Madrid la mayor parte de los Ministros y vocales ¿e la Suprema Asamblea de di­ cha Orden; ha venido el Rey Nro. Sr. D. Fernando VII y en su Real nombre la Suprema Junta Central y Gubernativa de los Rey nos de España é Indias, en nombrar Ministro Vocal en la clase de Grandes-Cruces de dicha Rea…</t>
  </si>
  <si>
    <t>es que permitiéron el amor y zelo, la general aclamación , procediendo de acuerdo con el mismo Virrey y Real Audiencia á jurar por su único Monarca á D. Fernando VII el dia 13 de agosto; dia feliz y memo­ rable , el mismo en que 207 años antes se terminó la con­ quista de! grande imperio de México , y reducción á la co­ rona,…</t>
  </si>
  <si>
    <t>placer á V. E. proporcionándoles esta ocasión de pasar ¿ la,Havana. La nación española en Europa se ha dexado ver en toda sú gloria -por el amor á su Rey Fernando VII., y por el valor con que ha aniquilado los invencibles soldados de Bonaparte;y ha dado á las demas naciones el exempio de lo que puede la energía de un pueblo v…</t>
  </si>
  <si>
    <t>ales determinaciones estaban radicados en los Consejos del Reyno, ha acordado la Junta Suprema Gubernativa del mismo, en nombre del Rey Nues­ tro Sr. D. Fernando VII, que se restablezca el Real y Su­ premo de Castilla, y que en él se reasuman por ahora todas las funciones que tanto por lo respectivo á España, como por lo toca…</t>
  </si>
  <si>
    <t>mo público han movido á la Junta Suprema Gubernativa del Reyao á expedir el Decreto siguiente. Real Decreto de S. M. &gt;‘ Considerando el Rey Nro. Sr* D. Fernando VII , y a su Real nombre lá Junta Suprema Gubernativa dé! Reyno que los servicios hechos á la patria deben regularse’ mas por el valor y por los sacrificios que por e…</t>
  </si>
  <si>
    <t>abeza de seis mil bizarros soldados cumanéses de todos colores, co­ nocieran los opresores infames que el honor, el amor á la pa­ tria , y á su amado Rey Fernando VII, existe en su fuer­ za en la zona «tórrida , sin sujeción á la diferencia de clima, y que las tropas de Cumaná pueden ocupar un lugar entre los dignos vencedore…</t>
  </si>
  <si>
    <t>nfluir en la acción dé 10 de noviembre próximo pasado,, se ha servido la Su­ prema Junta de Gobierno del Réyno, en el Rea! nombre del Rey nuestro Sr. D. Fernando VII , declarar, habiéndose con­ formado con el dictamen del, t Supremo Consejó interiao de:</t>
  </si>
  <si>
    <t>y servicios del Sr. Marqués de Casa-Irujo * Ministro Plenipotenciario que ha sido en los Estados-Unidos de América; se ha servido el Rey nuestro Sr. D. Fernando VII, y en su Real nombre la Junta Su­ prema Gubernativa de España é Indias, concederle los ho­ nores del Supremo Consejo de Eatado , y nombrarle por su Ministro Pleni…</t>
  </si>
  <si>
    <t>giatas de* España se celebre una función' religiosa perpetua en el dia; dé S. Fernando en memoria del: üil levantamiento de la; Nación en favor de su Rey Fernando VII , . y contra Napo­ león Emperador de los Franceses que quiso * tiranizarlas» 2* °' Que al dia siguiente • se celebre, un aniversario; $0* lemne por las almas de…</t>
  </si>
  <si>
    <t>Bí Rey Nro. Sr. D. Fernando VII.,. y. en- su R-»al •romo-re la Supr\ ma Junta de Galerno del R?yno, ss ha servido nombrar para la Dignidad de tesorero de ia Cuedraf. de Mdaga, vacaete por fallecimiento de D. Joaquín de Mo</t>
  </si>
  <si>
    <t>ultando su honor y su conciencia, manifieste francamente si puedo yo abra­ zar otra causa que la de la defensa de mi patria , y de los derechos de mi Rey Fernando VII, sin prostituirme, y aban­ donar los deberes mas sagrados. Los medios que deben po­ ner un término á tantos males, son muy conocidos y sencillos: venga nuestro …</t>
  </si>
  <si>
    <t>rlas ; y oyendo para el acierto, como ya se anunció al público, á ios sabios que quieran exponerla sus opiniones. Queriendo, pues, el Rey nuestro Sr. D. Fernando VII, y en su Real nombre la Junta Suprema Gubernativa del Reyno, que la nación Española aparezca á los ojos dei mundo con la dignidad debida á sus heróycos esfuerzos…</t>
  </si>
  <si>
    <t>Conforme á lo dispuesto en el Real Decreto de 17 del pasado , el 30 del mismo , dias del glorioso S. Fer­ nando y de su augusto descendiente el Señor D. Fernando VII nuestro amado Soberano , la Junta Suprema Guberna­ tiva del Reyno , acompañada de los Señores Secretarios de Estado y del Despacho , de la Superior de esta Ciu­ …</t>
  </si>
  <si>
    <t>terio de la Guerra se comunicó al exército la Real órden siguiente:'» Considerando la Junta Suprema de Gobierno del Reyno en nombre del Rey Ntro. Sr. D. Fernando VII, qua ri­ to interesa al mejor servicio, particularmente en las actuales circunstancias, que los cuerpos del exército dependan en lo gubernativo y económico de un…</t>
  </si>
  <si>
    <t>el Gobierno intruso, si no que han tomado partido en su servicio; ha resuelto la Junta Supre­ ma Gubernativa del Rey no , en nombre del Rey Ntro. Sr. D. Fernando VII: que se suspendan los ascensos que hayan correspondido en sus respectivos cuerpos ¿ los expresados</t>
  </si>
  <si>
    <t>la Suprema Junta de Gobierno del Reyno los servicios relevantes y dis­ tinguidos que el Marqués de Ayerve ha prestado á nuestro amado Soberano el Sr. D. Fernando VII , acompañándole y asistiéndole en su viage é injustol cautiverio hasta el momento en que una órden del gobierno francés le ha se­ parado de su lado , y en atenci…</t>
  </si>
  <si>
    <t>n cuyo ora­ torio se celebró eí santo sacrificio de la Misa. En la citada sala se colocó baxx&gt; del dosel el retrato de nuestro amvdo Soberano el Sr.. D. Fernando VII, y los Señores Ministros ocuparon los asientos del estrado que estaba dispuesto á derecha é izquierda por el orden de su antigüedad , según van nombrados.-Ensegu…</t>
  </si>
  <si>
    <t>Con fecha de 20 del presente mes se ha expedido al Sr. D. Martln de Garay el real Decreto siguiente : ,fHabiendo tenido á bien elKey' nuestro Señor. D. Fernando VII*</t>
  </si>
  <si>
    <t>istancia, de derramar su sangre al frente del enemigo. La Suprema Junta Central Gubernativa de los Reynos, en nombre de nuestro amado soberano el Sr. D. Fernando VII se ha dignado admitir esta oferta , hija de la lealtad que siempre ha caracterizado á tan distinguido cuerpo, y quiere que para su sa­ tisfacción se publique en …</t>
  </si>
  <si>
    <t>sta el punto de verse libres de la opresión que se lo impedia.. Para que los-vales renovados que salen á nombre de nuestro legítimo soberano el señor D. Fernando VII, no puedan-ser de modo alguno confundidos con los. del gobierno, intruso , ademas de la diferencia: de la lámina , que qualquiera advertirá á primera vista , lle…</t>
  </si>
  <si>
    <t>turaleza de cada uno , para que la nación tenga el poder, riqueza y esplendor de que es capaz ; ha tenido á bien mandar en nombre del rey nuestro Sr. D. Fernando VII, que se baxe el precio de los tabacos, y que desde el dia primero de setiembre próximo se vendan á los siguientes.” “La libra de cigarros habanos á 48 rs. de vel…</t>
  </si>
  <si>
    <t>la suprema Jun:ta central gubernativa de los reynos de España é Indias conceder­ le los honores de consejero de estado. En hombre del rey nuestro Sr. D. Fernando VII, la Junta su­ prema gubernativa delreynó, se ha servido nombrar para la ca­ non gia cardenalicia", vacante en la iglesia metropolitana de San­ tiago por muerte d…</t>
  </si>
  <si>
    <t>acción de su importe eii dinero ó-frutos de la península , segunles acomo.de.. La Junta suprema gubernativa del reyno , en nombre dél rey nuestro Sr. D. Fernando VII, se ha servido nombrar para la dig­ nidad de arcediano de Huete ,. vacante en la iglesia catedral dé Cuenca.por fallecimiento, de D. José de las Casas , á D; Sim…</t>
  </si>
  <si>
    <t>517</t>
  </si>
  <si>
    <t>trté ' ErVdí real alcázar-de Sevilla á t3 de; ocitrbré cedSOS;—- PédVbdé ítivero.” S. M. ha tenido á hien resolver lo qué sigué. — El rey nuestro Sr. D. Fernando VII y la suprema Junta cent.ral á su nombre , de­ seosa de remover quantás cliíícüítaclés'sé'huii ofrecido , y aun ofre­ cen hoy á diferentes juntas de gobierno y ju…</t>
  </si>
  <si>
    <t>espacioso al O. de la ciudad , donde de ante­ mano se habia construido un tablado de 24 varas de frente, y un dosel magnífico con el retrato del Sr. D. Fernando VII nuestro mo-</t>
  </si>
  <si>
    <t>341</t>
  </si>
  <si>
    <t>sta virtud ¿juráis solemnemente obediencia'-y sumisión 4 las leyes y á la suprema Junta central.gubernativa deEspáña é Indias , que en nombre del Sr. D. Fernando- VII nos rige y gobierna ? ¿ Juráis sa­ crificar vuestras vidas hacienda y estudios- en defensa de unos derechos tan sagrados r. Espero que clara, y distintamente me…</t>
  </si>
  <si>
    <t>, v que unidos 'a su probidad y patriotismo le han grangeado la opinión pública , se ha dignado nombrarle en pro­ piedad k nombre del rey nuestro Sr. D. Fernando VII , por su primer secretario de Estado y del despacho. Tendráislo entendi­ do , y lo comunicareis á quien corresponda. — El marques de Astorga, presidente. — Real …</t>
  </si>
  <si>
    <t>invicta guarnición y vecindario , é inspirándoles la constancia y valor que le animan ; ha venido la misma supre­ ma Junta en nombre del rey Ntro. Su D. Fernando VII, en coscederle la Gran Cruz de la reai v distinguida orden de Carlos III. Tendréislo entendido , y dispondréis lo conveniente á su cumpli­ miento.— El arzobispo …</t>
  </si>
  <si>
    <t>municado, a quienes corresponde la real orden siguiente. — He dado cuenta á la su-, prema Junta de gobierno del rey-no, en nombre del rey nuestro Sr. D. Fernando VII delia-eonsulta del consejo supremo interino de Guerra y Marina sobre la causa formada al teniente general. D. Juan Carrafa, acerca de su. conducta en el mando de…</t>
  </si>
  <si>
    <t>oficial en campaña. 3 tomos en octavo pasta k 66 reales, en la librería de Berard-----A la misma han llegado exempiares de la Representación del Sr. D. Fernando VII á su pa­ dre sobre los excesos y conducta de Godoy , con una introducción histórica acerca de la causa del Escorial, y se vende i 7 reales. SEVILLA ; EN LA IMPREN…</t>
  </si>
  <si>
    <t>I. La junta en nombre del pueblo de la parte española de la isla de Sto. Domin­ go á quien representa , reconoce (como lo tiene ya reconocido) al Sr. D. Fernando VII por legítimo rey y señor natural , y por con­ siguiente á la suprema Junta central , en quien reside la real au­ toridad. — Art. II. En atención al mérito que se…</t>
  </si>
  <si>
    <t>ria. Estan dadas todas las órdenes , y sólo falta vuestra obediencia. Man­ resa 29 de noviembre de 1809.” Sevilla 15 de diciembre. El rey nuestro Sr. D. Fernando VII, y en su real nombre la Junta suprema de Gobierno del reyno , se ha servido conferir el regimiento de caballería de húsares Espa­ ñoles , al brigadier D. Juan Ca…</t>
  </si>
  <si>
    <t>Viíl, Juan</t>
  </si>
  <si>
    <t>Juan Viíl</t>
  </si>
  <si>
    <t>LA. Al Sr. D; Antonio de Escaño* Secretario de Estado y del Despacho Universal de Marina * dice el Comandante ge­ neral del apostadero de la- Ha vana D. Juan Viíl^vicencio en Oficio de 6 de febrero de este año lo q;ue sigue. === Exemcu. Señor»s,,. La llegada del navio de S. M. el Paula á este puerto conmovió y excitó- el patr…</t>
  </si>
  <si>
    <t>Viilalba, Nicolás</t>
  </si>
  <si>
    <t>Nicolás Viilalba</t>
  </si>
  <si>
    <t>s de la Real Armada que no fuéron comprehendidos en la promoción última general , se ha servido ascender S. M. á Brigadieres á los Capitanes de navio D. Nicolás Viilalba , D. Juan de Pifia, D. Antonio Gómez Barreda , D. JóséfJordán, D. Ma­ nuel Posadas : á Capitanes de navio los de fragata D. Jo­ sef Mollineáo , D. Pedro Cabr…</t>
  </si>
  <si>
    <t>ViJlaiba, Ramón</t>
  </si>
  <si>
    <t>Ramón ViJlaiba</t>
  </si>
  <si>
    <t>rques de Camarasa. — Conde de Gásteifiorido. — Duque deL Parque. —Marques del Portago.—Marques de Lazan. — Con­ de del Montijo. — D. Antonio Samper. —D. Ramón ViJlaiba. — D. Lorenzo Caivo. — D. Antonio Valdés. — D. JoséRaniirez. — Marques de Revilla. — D. Luis Gonzalo. —- D Manuel de la Pe­ ña.— Dt Ignacio Antonio de Cortabar…</t>
  </si>
  <si>
    <t>VIL, Fernando</t>
  </si>
  <si>
    <t>Fernando VIL</t>
  </si>
  <si>
    <t>ñor D. Antonio Cornel, ministro de la guerra, en papel de .28. del corriente dice á esta Suprema Junta lo que sigue, tf Excmo. Sr. El Rey nuestro Sr. D. Fernando VIL, y en su Real nombre la Junta Central Suprema guber­ nativa del Rey no, se ha servido resolver, que se corte absolutamente toda correspondencia con Madrid, ,por …</t>
  </si>
  <si>
    <t>Vil, Fernando</t>
  </si>
  <si>
    <t>Fernando Vil</t>
  </si>
  <si>
    <t>S-f general de, todos los vasallos de su amado soberano el Sr* D. Fernando Vil. • El, Gobierno Británico ha dado orden; para’c bloquear es* trechamente, las islas del Enemigo. . Semilla. 20 de Enero de 1809. La yunta,Superior del '.Gobierno de Cádiz á la Suprema Centr</t>
  </si>
  <si>
    <t>i Otra carta que no Interesa rnéaos i todos los buenos espa­ ñoles , en quiénes se conserva algún respeto y veneración á los Reyes padres del Sr. D. Fernando Vil , es una carta del Prin­ cipe de la Paz, quien se intitula también Conde de Evora-Moite, su fecha en Marsella á 21 de Noviembre , y dirigida á Mr. Mollien , Tesorero…</t>
  </si>
  <si>
    <t>I 2 Libros nuevos. Lcfs saltos de! Trovador.;Estrofas cantada# á Muestro amado é inocente soberano D. Fernando Vil én su escanda­ losa pridon. Por D; Francisco de Dayglesia y Darrac , caba­ lleo de la Real y Distinguida Orden Española de Garios IIL Como se piensa ea Francia de Bonaparte * ó noticias par­ ticulares de Ja vida …</t>
  </si>
  <si>
    <t>ante un corto discurso correspondiente al asun­ to , al qual contextó dignamente aquel Xefs., concluyendo con las agradables palabras de viva nuestro Rey Fernando Vil, que repitió quince veces con entusiasmo la gente repartida so­ bre las vergas, y fueron seguidas de una salva da veinte-y un cañonazos. Y queriendo la Suprema …</t>
  </si>
  <si>
    <t>La jnafa Suprema Je Gobierno del Rejtné ei nombre je! Rey Nro. Sr. D. Fernando Vil. ha mandado contestar á D. Francisca Venegas, que al paso que S. M. celebra la bi* zarria de estos oficiales y tropa, aprueba el arresto impues­ to á Acosía; qín&gt;re que se Je haga entender</t>
  </si>
  <si>
    <t>ia de dicha Real Orden , con pensión sobre ios fondos de la misma, á D. Se­ bastian de Torres, Ministro del Consejo Real* En América. El Rey Kro. Sr. D. Fernando Vil, y en su Real nombre la Junta Suprema Gubernativa de Es­ paña e Indias, se ha servido nombrar Virey y capitán general de las provincias del Rio de la Plata al te…</t>
  </si>
  <si>
    <t>nos intimida , ei ts el que ha de decidir sus victorias contra valientes espaLa Suprema Junta de Gobierno ele! Rey do, en nombre del Rey nuestro Sr. D. Fernando Vil , ha mandado al Gíaeral D. Francisco Vetégas baga saber á toda la tropa que se ha­ lló en esta acción , que S. M. queda muy satisfecho del órden y valor qué manif…</t>
  </si>
  <si>
    <t>de Avilé* (do había- ico fran­ cés *s, que al parecer se dirigían por tierra á buscar los que estaban ea O vi sdo. SEVILLA. Queriendo el Rey Nro. Sr. D. Fernando Vil , y en su Real nombre la Suprema Junta Central Gubernativa del Reyno , dar una pru;bi del aprecio, que le merecen los que se dedican á la profesión de la mar, y …</t>
  </si>
  <si>
    <t>esta,parte con -vuestro deseo, y no.tiene á bien,disminuir esta satisfacción pura de un corazón generoso. .Por ¡o mismo, á nombre del rey nuestro Sr. D. Fernando Vil, os deelaca.benómento de la patria, y en al­ to grado digno del aprecio y:de la gratitud del Gobierno, consig­ nando estos sentimientos en la acta celebrada en e…</t>
  </si>
  <si>
    <t>Vila, Leonardo</t>
  </si>
  <si>
    <t>Leonardo Vila</t>
  </si>
  <si>
    <t>on getos que se ven excluidos del gobierno, y Rafael Bustamante , y á los vélites D. Fran­ que quisieran tener en él influencia, no ce­ cisco Prina , D. Leonardo Vila, D. Hen- san de sembrar-cizaña ; y arrimándose á al­ sique Víctor, D. Josef Cabanellas, D. To­ guno de los partidos de la junta , se esfuer­ mas Monroi, D. Césa…</t>
  </si>
  <si>
    <t>Vilá, Páblo</t>
  </si>
  <si>
    <t>Páblo Vilá</t>
  </si>
  <si>
    <t>rrillas por dere­ cha é izquierda., esta'última-al-mando del teniente del referido tercio ;D. José Gironella , y la primera al del capitaii del mismo D. Páblo Vilá , que serian las 5 de la maraña ¿ avistó poco de»-</t>
  </si>
  <si>
    <t>Vilar, Pablo</t>
  </si>
  <si>
    <t>Pablo Vilar</t>
  </si>
  <si>
    <t>adelantar las colanas de reserva al paso que iban retiran­ do los enemigos , y enviando á su tiempo los socorros donde lo exígian las circunstancias. D. Pablo Vilar , capitán , y D. José Gironella , tenientes ámbos del citado tercio de Figueras , contraxeron un mérito señala­ do por el conocimiento , valor y utilidad con que …</t>
  </si>
  <si>
    <t>Villa'nueva, Joaquín</t>
  </si>
  <si>
    <t>Joaquín Villa'nueva</t>
  </si>
  <si>
    <t>Casas , á D; Simón Perez Aguirre , 'penitenciario en la de Jaén : para la canongía dé la misma iglesia, vacante pór muerte de D. Juan José Tenajas; á D. Joaquín Villa'nueva, capellán de honor en la real capilla: para la vacante en dicha iglesia por fallecimiento de D. Ramón de Oñate y Burgo , á D: Nicolás de Andrade , canónig…</t>
  </si>
  <si>
    <t>Villa, Carlos</t>
  </si>
  <si>
    <t>Carlos Villa</t>
  </si>
  <si>
    <t>ara conocer las mas urgentes necesi­ na ; D. Santiago Delgado de sintaxis y pro­ dades, y proveer en quanto sea posible de piedad de la misma lengua; D. Carlos Villa- remedio; se requiere en suma toda la pru-</t>
  </si>
  <si>
    <t>Villademoros, Domingo Rico</t>
  </si>
  <si>
    <t>Domingo Rico Villademoros</t>
  </si>
  <si>
    <t>cios con­ í&gt;. Estéban S. Jullien, capitán del regimientenciosos pendientes cu los suprimidos con­ to.núm. t.® de lá brigada irlandesa Ken su sejos, y D. Domingo Rico Villademoros mismo, empleo. en la quarta compañía del fiscal de las mismas juntas. • &gt; primer batallón del regimiento de infante­ art. 11. Nuestro ministro de la…</t>
  </si>
  <si>
    <t>r; y la del 8 el de D. Diego Cosío y D. Laurea­ no Jado para jueces de las juntas de negocios contencicsos, pendientes en los suprimidos conse os; de D. Domingo Rico Villademoros para fiscal de estas mismas juntas ; de D. Andrés Alfonso Choya, D. Martin de Villaíaz , D. Manuel Silvela y D. Francisco Iturribarria , para alcald…</t>
  </si>
  <si>
    <t>Villafañe, Pedro</t>
  </si>
  <si>
    <t>Pedro Villafañe</t>
  </si>
  <si>
    <t>an Sánchez; D. Juan Manuel Bazan; D. Marcelo Meló. Del estado eclesiástico secular y regular asistieron D. Angel Josef de Huecas j cura de S. Martin; D. Pedro Villafañe, id. de Sta. María; Don Pablo Camino, id. de S. Pedro; D. Felipe Fraile Ramino, id. de S. Mi­ guel; D. Gregorio Nuñez Gamarra, id. de S. Nicolás el Real; D. A…</t>
  </si>
  <si>
    <t>Villagomez, Miguel Alfonso</t>
  </si>
  <si>
    <t>Miguel Alfonso Villagomez</t>
  </si>
  <si>
    <t>a , D. Josef Pablo Valiente ¿D. Sebastián de Torres , D. Antonio Ignacio Corta varría y D. Ignacio Martínez de Villela, D. Antonio López .Quinta*na , D. Miguel Alfonso Villagomez , D. Temas Mayan*, T&gt;. Fasq nal Quiles Talón , D. Luis Meletidea Bruna , X). Juan Miguel Berez TafaUa, y D. Ciríaco Goqzalez Carvajal: nombrando par…</t>
  </si>
  <si>
    <t>cciones,.ó propuestas para los destinos ,de. esta clase, con .arreglo á las especiales -constituciones .de las dichas .Ordenes,, ha nombrado .$• M» a D. Miguel Alfonso Villagomez , á D. Luis Melendez Bru­ na , y D. Juan Miguel Perez Tafalla., ;• &gt; A beneficio de los- qúé /quieráirt^réorift'^létar ”_Ia pjpíeé^iqi» de los númer…</t>
  </si>
  <si>
    <t>D. Manuel de Lardizabal, Conde del Pinar, D. Fran­ cisco Requena , D. Josef Pablo Valiente , D. Sebastian de Torres,D. Ignacio Martínez de Villela , D. Miguel Alfonso Villagomez, D. Tomás Moyano, D. Pasqual Quiíez y Talón, D. Luis Melendez Bruna, D. Juan Miguel Perez Tafalla, y el Sr. Fiscal D.An­ tonio Cano Manuel. Luego que…</t>
  </si>
  <si>
    <t>Villalobos, Francisco</t>
  </si>
  <si>
    <t>Francisco Villalobos</t>
  </si>
  <si>
    <t>dignos de toda liconsideracion.de V. E. los oficiales comandantes de las guerrillas -los tenientes Jj). Autopio Galindo , D. Francisco Victori­ no., D. Francisco Villalobos, y al. valiente subteniente agregado al Infante D. Antonio Navarro, los :qualesdiariamente y sin perdonar fatiga se han bad.lo con escarmiento del enemigo…</t>
  </si>
  <si>
    <t>Villalobos, Josef</t>
  </si>
  <si>
    <t>Josef Villalobos</t>
  </si>
  <si>
    <t>ano Lmzarote.zzD. Antonio Paig-zrD. Juan Ma­ nuel de Pereyra.=D. Josef de la Cuesta.=:D Francisco de Hore, en el caso de haber sido hecho prisionero.=D. Josef Villalobos. Grados de Capitán á los Tenientes D. Ildelfonso Nieto.=D. Manuel de Alcalí^=D. Miguii Colliirgli. S. M. se reserva premitr igualmente á Ies xefes y ofi­ cia…</t>
  </si>
  <si>
    <t>de citos , está nombrado comisario Ordenador vélites de nuestra real guardia, está nom­ con el sueldo señalado á ios de sb ciase. brado subteniente. D. Josef Villalobos, teniente coronei En el regimiento de infantería núm. i.* retirado, está nombrado comisario Ordena­ de la brigada ilrandssa D. Francisco Cabriol, dor con el s…</t>
  </si>
  <si>
    <t>Villarec</t>
  </si>
  <si>
    <t>44* mo prisioneros de guerra á la bahía, de Quiberon , para ser cangeados, grado por grado; á excepción del General Villarec y sus edecanes, que serán conducidos á Francia, li­ bres de toda restricción.—Artic. II. La guarnición se embar­ cará, y durante su viage se mantendrá á expensas de S. M. Británica , suministrando á cada</t>
  </si>
  <si>
    <t>Villaret</t>
  </si>
  <si>
    <t>esta para ser enteramente dueños de la Marti­ nica mas que rendir el Fuerte-Borbon , que juzgamos podrá resistir ocho dias , aunque se asegura que el General Villaret y otros tres oficiales Generales han jurado de quedar prime­ ro enterrados entre las ruinas del Fuerte , que rendirle. Los habitantes de toda la Colonia no solo…</t>
  </si>
  <si>
    <t>Villarrocl, Tomas Aivarez</t>
  </si>
  <si>
    <t>Tomas Aivarez Villarrocl</t>
  </si>
  <si>
    <t>42 vales reales cia mediados de abril para reparar sus ave­ siguientes, que se habían renovado en aquella rías que eran de consideración. ciudad por D. Tomas Aivarez Villarrocl, pres­ Después de esta reparación el capitán bítero, canónigo mayordomo de ella: 2 vales Motard ha entrado en uno de nuestros puer­ de 600 pesos de la…</t>
  </si>
  <si>
    <t>Villarroel, Tomas Aivarez</t>
  </si>
  <si>
    <t>Tomas Aivarez Villarroel</t>
  </si>
  <si>
    <t>Alexandro Amírola, algunos indicios de haber contravenido al apoderado de ella, que vive plazuela de Matu­ decreto sobre el bloqueo. te, y eiTLeon á D. Tomas Aivarez Villarroel, S. E. el ministro de lo Interior distri­ su canónigo mayordomo. EN LA IMPRENTA REAL.</t>
  </si>
  <si>
    <t>Villars, Domingo</t>
  </si>
  <si>
    <t>Domingo Villars</t>
  </si>
  <si>
    <t>día,, que atribuyes parte á la pérdida qiie experimentan.&gt; Todos Vos oficiales y tropa merecen elogio, en particu­ lar el teniente del Tercio núm. y, D Domingo Villars, que con su guerrilla sostuvo todo el dia un fuego vivo, sufriendo el de la artillería enemiga* que disparó unos 60 tiros de metralla y bala rasa. Nuestra pérd…</t>
  </si>
  <si>
    <t>Villatte</t>
  </si>
  <si>
    <t>s llanos, y el día 12 tomó posiciones en Uclés. Entonces el duque de Bellune se dirigió á Tarancon y á Fuente de Pedro Navarro. El 13 la división del general Villatte marchó contra el enemigo» mientras que el duque de Bellune se dirigía por Alcázar con la del general Rufñn para cortarle la retirada. Inmediatamente que el gene…</t>
  </si>
  <si>
    <t>Villava</t>
  </si>
  <si>
    <t>l ho­ nor de haber adquirida estas ideas de. Jos. generales españoles que abundan en valor , y á quienes' sobra humanidad con el' enemigo rendido.—El general Villava no- está eii Roncal ni en todo el pais de mi mando. Si fugó , sabrá responder de su conducta. Si yo hice lo mismo ántes de llegar á Pamplo­ na, advertid que se f…</t>
  </si>
  <si>
    <t>ViMaumez</t>
  </si>
  <si>
    <t>en estos párrafos... ,, Ha siJo indispensable volver „ á mi obligación.' En 21 de' febrero fuL qüan ío salió la es„ quadra de Brest á las órdenes del General ViMaumez. El MVviento nos .favorecía, y llevábamos buen víase cori destr­ ono á la Martinicapasando antes á la .vísta' de Lorient y i, de Rocfiefort¿&gt; á fin de que los n…</t>
  </si>
  <si>
    <t>Vincenti, Bartolomé</t>
  </si>
  <si>
    <t>Bartolomé Vincenti</t>
  </si>
  <si>
    <t>n sus hijos. — El marques de Melgarejo. El marques de Camarera y su padre. -- El conde de Canillas.— El marques de Villamejqr. -- D. Vicente Suero. — D. Bartolomé Vincenti. — D. Juan Pedro Vincenti. *- D. Pedro Iglesias. — D. Francisco Ortega. — D. Manuel de la Quintana. — D. Juan Antonio López. — D&lt; Manuel González del Campo…</t>
  </si>
  <si>
    <t>Vincenti, Juan Pedro</t>
  </si>
  <si>
    <t>Juan Pedro Vincenti</t>
  </si>
  <si>
    <t>de Melgarejo. El marques de Camarera y su padre. -- El conde de Canillas.— El marques de Villamejqr. -- D. Vicente Suero. — D. Bartolomé Vincenti. — D. Juan Pedro Vincenti. *- D. Pedro Iglesias. — D. Francisco Ortega. — D. Manuel de la Quintana. — D. Juan Antonio López. — D&lt; Manuel González del Campo. -D. Juan Rayara. — D. Se…</t>
  </si>
  <si>
    <t>Vinuesa, Josef</t>
  </si>
  <si>
    <t>Josef Vinuesa</t>
  </si>
  <si>
    <t>ir las 4 mencionado oficial, es bastante para fixar plazas de alcaldes del crimen que aquellos en qualquier caso el que tomará S. M. I. R. obtenían á D. Josef Vinuesa, corregidor apostólica. de Segovia, D. Roque Novella, corregi­ Por lo que hace á las quejas suscitadas dor de Alcalá de Henares , D. Cayetano en el ducado de Va…</t>
  </si>
  <si>
    <t>Viramente, Joaquín</t>
  </si>
  <si>
    <t>Joaquín Viramente</t>
  </si>
  <si>
    <t>rechar su amistad con Alexaudro, y infantería española de línea núm. i.°, te­ aun, si es menester, de reconciliarse ente­ nientes del mismo cuerpo; á D. Joaquín Viramente con el Austria, dándole una parte llena , teniente que fue del batallón de vo­ de los despojos de este trono vacilante. luntarios de Navarra, teniente del r…</t>
  </si>
  <si>
    <t>Virués, Josef</t>
  </si>
  <si>
    <t>Josef Virués</t>
  </si>
  <si>
    <t>e ¿ favor de esa plaza, tan digno objeto de nuestra afeccion.=Dios gnarde á V. 8. muchos arios. Madrid 11 de Diciembre de i3o8 rzr Tomás de Moría Sr. D. Josef Virués.</t>
  </si>
  <si>
    <t>Viscasillas, Antonio</t>
  </si>
  <si>
    <t>Antonio Viscasillas</t>
  </si>
  <si>
    <t>ca. — D. Faus­ tino Lecha. — D, Ramón Robres. — D. Pedro Benisa. — D. Joaquin Manrique de Lara.-- D. Manuel García del Campo.— D. Vi­ cente Aragón. — D. Antonio Viscasillas. — D. Vicente Martínez.— D. Hilario Ximenez.— Angel Blanque.— Juan Domec.- D. Fran­ cisco Gantolaria — D. Francisco de Paula Perpiñan, muger é hi­ jo. — D…</t>
  </si>
  <si>
    <t>Viserán, Josef María</t>
  </si>
  <si>
    <t>Josef María Viserán</t>
  </si>
  <si>
    <t>ispos de lis respectivas diócesis; y los 11o, con el mismo sueldo que los anterio­ vicarios y cape lañes regulares que tenían res. Para la de Soria á D. Josef María Viserán reemplazados por sacerdotes seculares. nueza , con igual sueldo. Para la de San­ Nue tro ministro de Negocios eclesiás­ tander á D. Joaquín Ramón de Sarra…</t>
  </si>
  <si>
    <t>VIT, Fernando</t>
  </si>
  <si>
    <t>Fernando VIT</t>
  </si>
  <si>
    <t>e le toca, y que comunique las correspondien­ tes á los mismos- fines. Dios guarde á V. muchos años. Sevilla de Diciembre de i8c8. El Rey nuestro Sr. D. Fernando VIT. y en su Real nom­ bre la. Suprema Junta Central y Gubernativa del Reyno, ha jua­ gado muy debido enviar á la Corte de Londres un Embaxador Extraordinario para c…</t>
  </si>
  <si>
    <t>Vitoria, Josef</t>
  </si>
  <si>
    <t>Josef Vitoria</t>
  </si>
  <si>
    <t>os: 3 r rs. y 2 6 mrs. de la Trmidad: 130 rs.) del; hos-. pita! del Reí : 87 rs-. de D. Antonio Gil5,8 rs. y 28 mrs. de Cárdena: 32 rs. y. 12 mrs. de D. Josef Vitoria ; 23 rs; de la fábrica dé S. Cosme:. 77 del concejo de Pampliega: 29 del de Viilariezo: 2 de la cofradía de Pampliega: 29 de Manuel Olalla, vecino de Aranda: 23…</t>
  </si>
  <si>
    <t>Viüacawpoysosíenidta-ean</t>
  </si>
  <si>
    <t>Zaragoza á 31 de octubre , en la qual 4a ojién? ta'de que sus tropas arrojaron ;el 26 del mismo: 4é 1&amp; posición &amp; nuestra señara de la 'Feemeniad til brigadier Viüacawpoysosíenidta-ean hombres y -dinero por las .Juntas, áe- iVolentia y :Mo!iita^y.y.^sm/ia fuerzas ascendían á 73 soldados. Duró el fuego 8 Iibras. ; péxo al.fin …</t>
  </si>
  <si>
    <t>Vives</t>
  </si>
  <si>
    <t>ras. La vanguardia luego que lle­ gó á tiro de cañón de la meseta Je Cardedeu, ocupada por los enemigos en numero de 14 á 15® hombres mandados por el general Vives , con 12 pie­ zas de artillería que habían, traído del sitio de Barcelona, apoyando su de­ recha en una montaña casi inaccesible y coronada de miqueletes con un ba…</t>
  </si>
  <si>
    <t>ue había yo mandado hacer, teníamos pan hasta fin de marzo. Se me habia olvidado decir á V. A. una particularidad bastante nota­ ble del proceder del general Vives, comandante de las tropas españolas. Viendo este qué á pesar de sus continuos ataques no podia lograr ei encer­ rarnos dentro de la plaza, envió al comisario gener…</t>
  </si>
  <si>
    <t>formalidades y el secreto convenientes. Si rehúsa hacerlo', no se queje después de qualquier desastre ó infortunio que pueda sucederJe. = Firmado, el general Vives. =s Por copia conforme. =:Fir­ mado, Ramón Casanova* comisario general de Policía. Carta escrita por el general Vives y general en gefe del exército español delant…</t>
  </si>
  <si>
    <t>Vives, Juan Miguel</t>
  </si>
  <si>
    <t>Juan Miguel Vives</t>
  </si>
  <si>
    <t>el saqueo 9 y estor-*' bar que á nuestra costa se mantengan#* Quarteí general de iSP Feliú de Dlobregat 1 2 de Diciembres Parte que da el Exctno. Sr. D. Juan Miguel Vives alExorno, Sr. D#. Antonio Gome 1 =5 ,,Excmo. Sr.ss Conside­ rando preciso y muy importante desalojar al enemigo de los pueblos de S. Andrés de- Palomar, y S…</t>
  </si>
  <si>
    <t>Vivió, Tomas</t>
  </si>
  <si>
    <t>Tomas Vivió</t>
  </si>
  <si>
    <t>n en el ministerio de Relaciones ex­ nuel Romero, marques Caballero, conde teriores , al cabo de una enfermedad aguda. de Cabarrus, D. Pablo Arribas, D. Tomas Vivió una temporada mui larga en Bucha- de Moría y conde de Montarco. rest, teniendo á su cargo la educación y en­ art. 11. Nuestro gran canciller de la señanza de los …</t>
  </si>
  <si>
    <t>Vlí, Fernando</t>
  </si>
  <si>
    <t>Fernando Vlí</t>
  </si>
  <si>
    <t>en 22 de enero próximo la circular siguiente, que. se; inserta ahora, en la Gazeta. para, noticia del i publico.. RE AL ORDEN.. El! Rey nuestro Sr.. D. Fernando Vlí y en su Real -nombre; la Junta. Suprema: Central Gubernativa del Reyno,. considerando , que los vastos y preciosos , dominios , que Es­ paña, posee- en. las, Indi…</t>
  </si>
  <si>
    <t>Vocal</t>
  </si>
  <si>
    <t>n; ha venido el Rey Nro. Sr. D. Fernando VII y en su Real nombre la Suprema Junta Central y Gubernativa de los Rey nos de España é Indias, en nombrar Ministro Vocal en la clase de Grandes-Cruces de dicha Real Asam­ blea al Marqués de Astorga, y Vocales Pensionados á D. Ramón Ger, y D. Narciso de Heredia. Así mismo ha veni­ do…</t>
  </si>
  <si>
    <t>Von-Colln</t>
  </si>
  <si>
    <t>o un síntoma de mutación en el sistema del gabi­ nete de San-Petersburgo. En apoyo de esta opinión ale­ gan el decreto de arresto, expedido contra el consejero Von-Colln por razón de ser partidario de los franceses, y sobre todo la permanencia de Von-Stein en el ministe­ rio de Estado de Prusia y en la confianza del Rey, á pe…</t>
  </si>
  <si>
    <t>Von-Doerherg</t>
  </si>
  <si>
    <t>eci­ bido ójrden de salir del reyno dentro de quatro dias. En nuestro Monitor se ha publicado el decreto del Rey contra los. rebeldes , en el qual el coronel Von-Doerherg y otros varios oficiales prusianos y varios otros indi­ viduos han sido sentenciados á ser arcabuceados; y confis­ cados los. bienes de todos aquellos que n…</t>
  </si>
  <si>
    <t>Voralberg, Ke</t>
  </si>
  <si>
    <t>Ke Voralberg</t>
  </si>
  <si>
    <t>la gallar­ Francfort ig de agosto. día y buena disciplina de estas tropas?. Los austríacos que había en el Tirol y en el. • Hoi llegará á Maguncia e¡ mariscal Ke^ Voralberg se retiran á Hungría-por Cía- Hermann, duque de valroi, que ya á es­ genfort en cumplimiento de las condicione» tablecer su quartel general en Wesel, y ex…</t>
  </si>
  <si>
    <t>Vorster</t>
  </si>
  <si>
    <t>lanos, secretario represen­ tante de ella, lo que sigue: , , No escribo de oficio los acontecimientos del dia de ayer, por- ponerme de acuerdo con el General Vorster ,. quien espera los partes de los-.comandantes. de los puestos para •hacerlo, con la puntualidad que corresponde ^ pero yo en el ínterin quiero tener el. gusto d…</t>
  </si>
  <si>
    <t>Vrede, V</t>
  </si>
  <si>
    <t>V Vrede</t>
  </si>
  <si>
    <t>oticias frescas sobre las operaciones militares en el Ti rol. La división del teniente /general Deroi avanzó el 21 desde Waergel á Rattemberg: la del barón V Vrede llegó á Kundel el 20, y al dia inme­ diato marchó por el puente del Zill: los insurgentes evacuaron á Rattemberg la mañana del 21 en consecuencia del movimiento de…</t>
  </si>
  <si>
    <t>VTI, Fernando</t>
  </si>
  <si>
    <t>Fernando VTI</t>
  </si>
  <si>
    <t>ella la memoria de lostiernos sentimientos con que se despidió de su afligida patria» de sus conciudidanós, y del engañoso mundo* El Rey nuestro Sr. D. Fernando VTI , y en su real non»» bre la Junta Central Suprema Gubernativa del fteyno y en</t>
  </si>
  <si>
    <t>VVeliesley</t>
  </si>
  <si>
    <t>ayor general Makenzie , que murió gloriosamen­ te en la batalla de Talavera, era miembro del parlamento por el condado de Sutherland. — Parece que el general VVeliesley será inmediatamente creado vizconde VVellington de Talavera; y VVellington , y barón Dourg de VVeliesley, en d condado de Somerset. Una noticia que debe tambi…</t>
  </si>
  <si>
    <t>VVellesley</t>
  </si>
  <si>
    <t>244</t>
  </si>
  <si>
    <t>regimiento de Marina, que estuvo colocado en la batería principal de los ingleses y hasta muy entrada la tar­ de no determinó el excelentísimo señor general VVellesley pasase á reunir­ se á mis fuerzas y punto, tal vez por los partes que le di de que el enemigo cargaba sobre él con empeño j obedecí las órdenes que se me diero…</t>
  </si>
  <si>
    <t>VVellesley, Sir Arturo</t>
  </si>
  <si>
    <t>Sir Arturo VVellesley</t>
  </si>
  <si>
    <t>hecho conocer á los franceses que no les cederán jamas en ningún empeño , especialmente si son dirigidos y mandados por su sábio, activo, y valeroso general Sir Arturo VVellesley.” ” Las tropas espa ñolas y especialmente los cuerpos que tuviero* mas proporción no me dexaron que desear en su denuedo y bizar­ ría. El fuego horr…</t>
  </si>
  <si>
    <t>VVimpffen, Luis</t>
  </si>
  <si>
    <t>Luis VVimpffen</t>
  </si>
  <si>
    <t>rticipado al Excmo. Señor I&gt;. Antonio Coruel lo siguiente: «Excrno. Sr. =:E1 Coronel D. Antonio Porta, destacado déla división del Mariscal de Campo ,D. Luis VVimpffen para una expedición sobre Bascara, da desdé Besalú con fecha de 20 de Junio el parte que copio.rr «Mientras por una parte se hacia el reconocimiento de la bate…</t>
  </si>
  <si>
    <t>VVrede</t>
  </si>
  <si>
    <t>orte queda confiada á los urbanos , sin que permanezcan en ella mas que 300 soldados de guarnición. En Vestro-Bothnia., después de haber intentado el general VVrede en el mes de julio tomar la ofensiva, y pasar el Oerehasta el Umea , tuvo que ceder á la superioridad de los rusos á pe­ sar de una vigorosa resistencia., y retir…</t>
  </si>
  <si>
    <t>Hungría , si se renovasen las hostilidades. — El cuerpo del du­ que de Dantzick se halla-en el ducado de Saltzburgo , y una de sus divisiones (la del general VVrede) ocupa el Austria supe­ rior.— El duque de Abrantes está en el territorio de Bayreutb, y no partirá todavía como se había anunciado. El general St. Cyr manda el c…</t>
  </si>
  <si>
    <t>- Por las últimas'cartas de Holanda sabemos que las tropas bávaras n-o entraron en Inspruck sin sufrir una pérdida considerable, y aun se dice que el barón VVrede que las mandaba, fué herido durante el sitio. Los tiroleses no se obstinaron en defender la ciu­ dad , y se retiraron á las montañas ocupando con gran fuerza los fo…</t>
  </si>
  <si>
    <t>Wallis</t>
  </si>
  <si>
    <t>aban en España.__. la Reina para perseguir al enemigo , alcanzó Thugut, el príncipe de Ligne , el anciano al rayar el dia la retaguardia de la coluna conde Wallis , el conde Luis de Cobenzel, que se replegaba hacia Gimona , y al ins­ principal autor de la guerra de 1805 , el tante fue acometida y arrollada. Ochocien­ príncipe…</t>
  </si>
  <si>
    <t>ara no so­ bien montada que la de ninguna otra na­ brevivir á la monarquía austríaca. Y quarr- ción , marchaba con la celeridad del ra­ do el anciano conde Wallis vio que el Em­ yo Scc. íkc. &amp;c. perador marchaba para el exército , dixo: ¡ Príncipes débiles! ¡ Gabinetes corrom­ ,, Este es Darío , que corre presuroso á la pidos…</t>
  </si>
  <si>
    <t>Waltersdorf</t>
  </si>
  <si>
    <t>su vida; el general La falta de víveres y de objetos de pri­ G.-Jde, llcer.clado sin pensión ninguna, y mera necesidad , sobre todo de aguardien­ el general Waltersdorf y el coronel JBeck tes , se va conociendo cada vez mas en to­ exonerados. do el reino de Suecia como el gcltb BótniEn virtud de un decreto de S. M-, dado co e…</t>
  </si>
  <si>
    <t>Wandischmk</t>
  </si>
  <si>
    <t>737</t>
  </si>
  <si>
    <t>pérdida ¿ volvieron a atácarnt&gt;$,5él' 29 con nuevos refuerzos. La batalla fue sangrienta y (Obstina­ da ; pero quedó indecisa. -^ El destacamento del Teniente coronel Wandischmk fue atacado en Hallbrucke por ún cuerpo numeroso di'•remides , sostenido igualmente por tropas austríacas. Al mismo'tíeinpo que los habitantes del va…</t>
  </si>
  <si>
    <t>Warde</t>
  </si>
  <si>
    <t>emigo son las brigadas mandadas -por los mayores generales lord William, Bentinck, Manningbam y Leith, y U brigada de ía guardia mandada por el mayor general Warde. ’ , Estos oficiales y sus tropas se han hecho acreedores a los mayores elo­ gios El mayor general HilV V el coronel Catlin Crauford han defendido con mü¿ha habili…</t>
  </si>
  <si>
    <t>Washington</t>
  </si>
  <si>
    <t>omprometer la paz de Ja Nación: pero á pesar de todo, se pregunta ¿quál de sus providencias prueba tal desafecto? También se desea saber como obró el General Washington al principio de la revolución de Francia, y si su proclamación de neu­ tralidad , que Hamiíton defendió con tanto ardor, maní* festó su oposición á dicha revo…</t>
  </si>
  <si>
    <t>Watceuwil</t>
  </si>
  <si>
    <t>talozziano de Irerdun » y pre­ solemne, y se darán dotes i óo doncellas, senten nn infórme acerca de ¿I. prefiriendo las que sean hermanas ó hijas El general Watceuwil devolvió el ra de los militares que se han hallado en la de este mes al landamman los poderes mi­ última campaña de Alemania. litares qne se le habiañ conferid…</t>
  </si>
  <si>
    <t>Wautrelt</t>
  </si>
  <si>
    <t>te. de 12© hombres entre muertos, heridos ó prisioneros. El general Firmón no ha per­ IMPERIO FRANCES. dido la vida cómo se habia dicho, sino el feld-mariscal Wautrelt, comandante en ge- Parts de mayo. fe de la caballería. En el monitor de hoi se ha publicado ,, El exército prosigue sus victorias. el diario 8.° y otros docume…</t>
  </si>
  <si>
    <t>Weílesléy</t>
  </si>
  <si>
    <t>l 2 entraron ió, y en los dos últimos días de ju­ nio 29. Estas tropas pertenecen á una división de 15$ hombres que vienen á reforzar el exército del General Weílesléy. Por el mar hemos recibido noticias fidedignas de haber eva­ cuado los franceses á la Coruña y al Ferrol : lo que prueba la imposibilidad de conservar la provi…</t>
  </si>
  <si>
    <t>Weimar, Bernardo de Saxonía</t>
  </si>
  <si>
    <t>Bernardo de Saxonía Weimar</t>
  </si>
  <si>
    <t>pasado hoi revista, á las tropas de la guarnición y á los volun­ iFrancfort de julio. tarios, y ha habido iluminación general en la ciudad. S. A. el príncipe Bernardo de Saxonía Weimar pasó anteayer por aqni en posta Cherburgo 2 ¡ de julio. para Weimar. Ayer noche los buques ingleses que cru­ El Emperador ha condecorado á S. …</t>
  </si>
  <si>
    <t>Weingarten, Ep</t>
  </si>
  <si>
    <t>Ep Weingarten</t>
  </si>
  <si>
    <t>la Suabia superior contra las incursiones de los insur­ Atigsburgo 20 de julio. gentes del Vorarlberg. El Rei ha sabido en Extracto de una carta del coronel Ep- Weingarten por un correo que le despa­ plen , gefe del estado mayor del exérci- chó el Emperador la noticia del armisticio to bav.tro , escrita en Lintz d z% de ajust…</t>
  </si>
  <si>
    <t>WeinzierI</t>
  </si>
  <si>
    <t>especialidad «i. teniente *»Por órd-n del señor mariscal düqné dé coronal de Fraoken, géfe del estado ma­ Ragasa,=jfrmado=:el condeMinocci,” yor, el capitán WeinzierI, primer edecán del coroné! Netlehlkéio , y el capitán de GRAN DUCADO DÉ BADEN. Ilammerer, que ha hecho el servido del edecán del general Legraud. Carlsruhe #p d…</t>
  </si>
  <si>
    <t>Wellesel</t>
  </si>
  <si>
    <t>io al público sión de dos á ocho años» tina gazeta extraordinaria de la corte , que Los crímenes de la primera clase contfá contenia una relación del general Wellesel estado, á saber: la revolución dirigida á Iei sobre los sangrientos comhates que ha­ mudar el gobierno; la conspiración con bía habido en España los dias 27 y 2…</t>
  </si>
  <si>
    <t>Welleslci</t>
  </si>
  <si>
    <t>se pasasen 39.días después de la bata­ íntegra la relación de la batalla de Talavera lla de Talavera para publicar la relación de es­ remitida por el general Welleslci á su corte. ta jornada. Esto índica, al parecer, que no esta­ Pero ya que está concebida casi en ¡as mismos ba muí satisfecho de su resultado; ni el general id…</t>
  </si>
  <si>
    <t>Wellesleí</t>
  </si>
  <si>
    <t>, tügal t al mando del general Wellesleí, des- ''dente algún tiempo antes de las cruzadas, - pues de unirse al de los insurgentes de recibió de ellas por lo menos un cierto ali­ España que manda el general Cuesta, habia mento y ac</t>
  </si>
  <si>
    <t>Welleslei</t>
  </si>
  <si>
    <t>desde que vmds. »los dos caminos militares , que podían con* «lo abandonaron hasta ahora.” aducir el exército ingles á Portugal. Estos No obstante el general Welleslei, can­ «eran sus proyectos; veamos qualat son los sado de nn interrogatorio semejante, podría «hechos. El mariscal duque de Dalmacia mui bien enfadarse y decirn…</t>
  </si>
  <si>
    <t>Wellesley</t>
  </si>
  <si>
    <t>che el billete del Sr. Villiers al tiempo mismo que le recibía , que ha desalojado y arrollado un cuerpo enemigo de unos ¿jS hombres. Ya desde que el General Wellesley pasó el Vouga, tuvo encuentros de avanzadas en *Jos pueblos de Albergueria, Piñeiro y Oiiveira, en los que rechazó al enemigo. Entretanto hizo marchar la divis…</t>
  </si>
  <si>
    <t>guarlo, y encuentro que es así. Entraron el 12, pues aun­ que el enemigo al retirarse , derrotó, todos sus puestos avanzados r y quemó el puente, el General Wellesley pasó el rio á un quarto de legua de la ciudad en barcos de * pescadores. Los enemigos abandonaron la .ciudad con pre­ cipitación, se situaron á dos legiias, y l…</t>
  </si>
  <si>
    <t>a, frente de Oporto y se re­ tiraron á la ciudad, quemando después el puente del Duero y algunos barcos, para impedir en lo posible que pasásemos. El General Wellesley, que supo la quema del puente al llegar á Villanueva, mandó que se tomase á Oporto aquella misma tarde y que se pasase el Duero á presencia del fuego del enemi…</t>
  </si>
  <si>
    <t>que las noticias no detallaron le áireectaa principal del grueso de él. En conseqüeneía hice mis prevenciones á los generales , despachando avisos al general Wellesley; y por consecuencia de Su d'ererminácíon y (Metímen, y en vista de hallarse atacada fuertemente nú vanguardia «ti la mañana del 26 por fuerzas muy superiores ,…</t>
  </si>
  <si>
    <t>siempre fué rechazado por el bizarro Hill, á quien no le arredraban estas repeticiones , ni el aumento progresi­ vo de fuerzas con que las hacían. El general Wellesley, en consecuencia de les repetidos ataques del enemigo por el valle déHado izquierdo de'la altura, -mandó colo­ car en ella dos brigadas de su caballería, soste…</t>
  </si>
  <si>
    <t>s fuegos de segunda línea , compues­ ta de la brigada de caballería; del general Cottcn, y de un batallón de infantería destacado de la altura por el general Wellesley , luego que observó que se adelantaban los guardias. El general Hovvarth, qUe mandó la artillería inglesa, se coaduxo coala mayor bizarría, é' hizo los mas imp…</t>
  </si>
  <si>
    <t>Lovvlor , comandante del regi­ miento de caballería de Borbon , y comisionado cerca del exército in­ gles, estuvo durante toda la batalla al lado del general Wellesley, y por su valor y conducta militar ha merecido la recomendación de ccte dignísimo general. Los mariscales de campo D. Ramón Vffialva ; marques de Malaspina , m…</t>
  </si>
  <si>
    <t>Wellesley, Sir Arturo</t>
  </si>
  <si>
    <t>Sir Arturo Wellesley</t>
  </si>
  <si>
    <t>s militares en el Miño aunque sin detalles particulares. ,, Este Ministro de Inglaterra ha recibido desde Ruivaes, no lejos de Montealegre, carta del general Sir Arturo Wellesley con fecha del 1$, la qual he leido. Le dice en ella: que noti­ cioso de la entrada de los enemigos en Alcánta­ ra, y habiendo él concluido su operac…</t>
  </si>
  <si>
    <t>enta que ha habido una insurrección en Rotterdam y en el distrito comarcano. Idem : 20 de agosto. Extracto de los pliegos dirigidos por el te­ miente general Sir Arturo Wellesley , al lord Castlereagh , uno de los principales secretarios de estado de S. M. PRIMERO. “ Milord : después de la carta que escribí á.V. S. él l.Q de …</t>
  </si>
  <si>
    <t>Weque</t>
  </si>
  <si>
    <t>al Emperador á suspender el ir nerales y co oñeiaies superiores entre muer-í adelante. Mandó al duque da Montebello tos y heridos. Ei teniente feld- mariscal Weque guardase el campo de batalla que ha­ ber , ijoo, y 4 banderas han quedado en bía sido reconocido , y que tomase posi­ nuestro poder. La pérdida por nuestra parte c…</t>
  </si>
  <si>
    <t>Whittingam, Don Santiago</t>
  </si>
  <si>
    <t>Don Santiago Whittingam</t>
  </si>
  <si>
    <t>ordenes á todas partes con tal exactitud, que no hubo ninguna de las equivocaciones que ordinariamente suelen ocurrir en ocasiones semejantes, zz El coronel Don Santiago Whittingam, y el teniente coronel B. Miguel Desmayssieres, Ayudante general del estado mayor, que con sus conocimientos , pericia y valor me habian sido muy …</t>
  </si>
  <si>
    <t>Wiison</t>
  </si>
  <si>
    <t>e esperan mas tropas británicas: de siierte que todo anuncia que se van á hacer grandes esfuerzos para la libertad de la península. Por un oficio del brigadier Wiison xefe de la Leal Legión Lusitana con fecha de 3 del corriente en Fuente de S. E stevan, dirigido al Excmo. Sr. D. Miguel Pereyra Fcrjaz, se sabe: Que, sin embarg…</t>
  </si>
  <si>
    <t>infantería, tuvieron nues­ tros caballos que retirarse con celeridad, replegándose ha­ cia el lugar de Santispiritus, donde se hallaba el briga­ dier general Wiison con dos cañones y la infantería por­ tuguesa y española. Los franceses persiguieron á nuestra caballería una le­ gua de dicho lugar, desde donde, viendo que nuest…</t>
  </si>
  <si>
    <t>Wilsón</t>
  </si>
  <si>
    <t>nom­ de su posición, se retiñió á su cuerpo prin­ brado teniente general de nuestros reales cipal en las alturas de Baños, que- ocupaba exérdtos. el'general Wilsón ícon 4 'á; 5 insurgentes i El marques de Casa-Calvo^ mariscal «^parióles y portúg'oéies.- Este general , que de qatnpo, está nombrado teniente general miraba como …</t>
  </si>
  <si>
    <t>Wimpfen</t>
  </si>
  <si>
    <t>á las órdenes del general Metas» Vassvia a 1 de agosto. ha sido nombrado quartelmaestre general En virtud de una orden del día , su te­ en lugar del general Wimpfen. El Empe-, cha en Cracovia á 2 del corriente, todas rador Francisco es generalísimo, y tiene á las casas de posta del ducado de Varsovia sus órdenes un consejo de…</t>
  </si>
  <si>
    <t>Winck</t>
  </si>
  <si>
    <t>no puedo citar mas que al teniente coronel Napier, del regimiento Q2."; los mayores Napier y Stanhope, del ,o.°, que lian sido muertos.: y heridos el teniente coronel Winck, del 4 i el teniente corone] Maxwel , dei 26.»; el teniente coronel Fane , del 59 *; el teniente .coronel Griflith, de la guardia» y U» tsayores MiUer y W…</t>
  </si>
  <si>
    <t>Wintcr</t>
  </si>
  <si>
    <t>A. : . . .Strasburg0.2q.de julio. .. . Amsterdan ij de julio. No.cesan de pasar por aqui tropas, que Vienen de. io. interior de Francia , y van á ■ ^ general Wintcr ha sido nombrado la orilla derecha del Rir*. Ayer huborecomandante de las esquadras del Texel, de 'vistá de- dos hern.sísimos regimientos de Ulía y de Karlíngen, …</t>
  </si>
  <si>
    <t>Winter</t>
  </si>
  <si>
    <t>al, se ha negado nes del general Taraire. á recibirlo.” »»La esquadrijla al mando del almirante Ruich ocupa el puesto de Krammer. El IMPERIO FRANCES. mariscal Winter ha dado al Re! parte de la buena conducta del teniente coronel Roma 10 de julio. Ossevarde, que á la cabeza de una división La consulta extraordinaria ha publica…</t>
  </si>
  <si>
    <t>Wirde</t>
  </si>
  <si>
    <t>e prin­ cipalmente se empeñaron, fuéron las brigadas al mando de los mayores Bentincfc, Manoingham y Leith , y la brigada de , guardias al .del Mayor general Wirde.\ No hay elogia, que basté, para los oficiales y para las tropas que han estado á sus ordenes. El mayor general Hill y el coronel, Crauford cocí tus brigadas sostu…</t>
  </si>
  <si>
    <t>WirtemberEl</t>
  </si>
  <si>
    <t>rtificaciones de aquella S. M. se ha reservado la de todos los asun­ plaza. El general Lesuire tiene ahora alli tos militares. su quartel general. El general WirtemberEl día 3 del corriente tuvo la diputa­ gues Koseritz permanece en Bregentz: la ción de La Gallitzia la primera audiencia del vanguardia francesa se ha adelantad…</t>
  </si>
  <si>
    <t>Witeloke</t>
  </si>
  <si>
    <t>o lo que mas les ha gación y comercio interiores de España. enconado contra nosotros ha sido la con­ {Véanse las gazetas números fo¿l¡. 104 ducta del general Witeloke , á quien le 7 i°5-) desprecian y aborrecen por las atrocidades que cometió en fes cercanías de la ciudad El exponer el mas ó menos influxoqoé quando vino á emb…</t>
  </si>
  <si>
    <t>Wkeman, Patricio</t>
  </si>
  <si>
    <t>Patricio Wkeman</t>
  </si>
  <si>
    <t>. — Mariano de Renovales. Continuación de los donativos para la curoxiony asistencia de Jie'í ridos en la batalla de los campos de Tala-jera. rs. rn« D. Patricio Wkeman , del comercio de esta ciudad. . . 1,500 I). Juan Brull , dueño del café de la calle de Francos. . . 400 Dr. D. Juan Francisco Sastre, vecino de Toledo.......…</t>
  </si>
  <si>
    <t>Wlbdomiro</t>
  </si>
  <si>
    <t>los que esten en las ciudades asistirán el el ski , Kossecki , Honnowski, al príncipe á las quatro de la tarde á un Te Deitm ge­ Pablo de Sapieha, al conde Wlbdomiro de neral. Potocki, y algunos oíros. ,, A las 9 de la mañana de dicho dia ha­ En mui pocos dias los hablantes de Ja brá una salva de 60 cañonazos en todos los Gal…</t>
  </si>
  <si>
    <t>Woell</t>
  </si>
  <si>
    <t>nfiesan los periódicos francesas, nos posición cerca de Viesa, y marcho á Neus- ilustra mucho sobre la verdadera situación tad , de donde el teniente general Woell- de los negocios después del armisticio, y warth salió el ij con dos regimientos de nos hace mirar la renovación de las hostili­ cazadoras de 4 caballo , y la brig…</t>
  </si>
  <si>
    <t>Woellwarth</t>
  </si>
  <si>
    <t>zo de julio. habia dicho acerca del general Durosnel ha S. M. recibió ayer noche pliegos del te­ sido falso: no ha sido herido; pero sí le ma­ niente general Woellwarth, su fecha en taron el caballo que montaba. Quando vol­ Neustadt á.iy de julio, y por ellos se ha vía de llevar al duque de Montebello en la sabido .que habien…</t>
  </si>
  <si>
    <t>Woinow</t>
  </si>
  <si>
    <t>ito de la Mol­ „ En la fortaleza de Isaktschi, tomada, davia , ha encargado el bloqueo de Ismail según se sabe, por las tropas rosas, se han al mayor general Woinow. encontrado siete cañones , 90 arrobas de pol« - ,,Nuestras operaciones en la orilla de­ vora , 669 bombas y 9690 granada?. Ocho­ recha del Danubio habian estado …</t>
  </si>
  <si>
    <t>Wolkersdorf, Ju</t>
  </si>
  <si>
    <t>Ju Wolkersdorf</t>
  </si>
  <si>
    <t>spués salió de alli á toda prisa. Centeno, presbítero y teniente de¡curade El quartel general francés ha llegado á esta villa: para el de Ciguñuela á D. Ju­ Wolkersdorf en la madrugada del 7. lián Lorenzo Mola, presbítero y 'teniente de cura de este propio lugar: para.el.de Geria ESPAÑA. á D. Vicente González del Gañó» presbí…</t>
  </si>
  <si>
    <t>Wolkonski</t>
  </si>
  <si>
    <t>or príncipe Na- cho. Mr. de Seerzen, protegido por Abdarischkin , el copero mayor príncipe Belo- llah , baxá de Damasco , emprendió pasar •elski , la princesa Wolkonski, dama de á los países de Siria y de Palestina, situa­ palacio, la princesa Beloselski y la condesa dos mas allá del Jordán por la parte de de Tolstoi, damas d…</t>
  </si>
  <si>
    <t>embaxador de la cor­ podido penetrar mas que en el pulo de una te de Petersburgo cerca de la de Madrid, casa, donde nos hemos mantenido a costa y e! príncipe Wolkonski, edecán de S. Ai. de mucho trabajo. el Emperador de Rusia. Hemos intentado cargar segunda vez contra el enemigo; pero el camino cubierto Continuación del diari…</t>
  </si>
  <si>
    <t>Wooi</t>
  </si>
  <si>
    <t>re con grande ínteres y sagacidad el espí­ Dícese que la corbeta el Laurel, de 22 ritu y las miras profundas que han dirigido cañones» mandada por el capitán Wooi- el establecimiento de la universidad y combe, que acaba de salir de Piimout pa­ piensa que la Europa la deberá muchos ade­ ra cruzar en los mares de la India » se …</t>
  </si>
  <si>
    <t>Wrcde</t>
  </si>
  <si>
    <t>burgo. Resulta pues Sabemos que un oficial austríaco acaba de todas e las, que la división bavara del de llegar á esta capital con pliegos de la cor­ general Wrcde se batió casi diariamente te de Viena. El Austria nos pide socorros con los austríacos, sin tener, no obstante, pecuniarios , de los que se halla sumamen­ pérdidas…</t>
  </si>
  <si>
    <t>WrecJe</t>
  </si>
  <si>
    <t>con 4 la mayor actividad en la construcción de armas 5 y la mayor parte de la guarnición de aquella placa Jba marchado hacia el-íy™h La divisioa del General WrecJe, compuesta de t té hombres saldrá el 4^de- este -roes con dirección al Ion* . rpr r./ En Dresde se han dado disposiciones para preservar deun ataque la ciudad, en …</t>
  </si>
  <si>
    <t>Wrede</t>
  </si>
  <si>
    <t>en Freising, Saint- Hilaire, sostenido por el general se retiró con buen orden hácia donde esta­ Friant, arrolló quantb se le puso delante, ba la del general Wrede, y el exército bá— quitó al enemigo sus posiciones , matándole varo se reunió hácia Nenstadt. mucha gente, y cogiéndole de 600 á 700 prisioneros. El regimiento 72.…</t>
  </si>
  <si>
    <t>có al ma­ za con 3 batallones de las milicias. riscal duque de Istria con la división báya- Toda la Baviera y el Palatinado estaa ra , mandada por el general Wrede, y con ya librés de la presencia de los exércitos la división Moliror, con orden de dirigir­ enemigos. se al Inn, y perseguir los 2 cuerpos de El Emperador pasó re…</t>
  </si>
  <si>
    <t>or­ habían enviado allí. tada la retirada sobre Viena, y hallarse, Las tropas austríacas perseguidas por el digámoslo asi, envuelto por los exércitos general Wrede son al parecer los restos francés y confederado. S. A. se propone, del cuerpo de Jellachich , que se replegó según se dice, volver i atacar para abrir­ sobre la Ca…</t>
  </si>
  <si>
    <t>tino las dos divi­ dad , atacada vivamente por el general So— siones bávaras del príncipe heredero y del kolnicki, capituló en la noche de aquel mis­ general Wrede; y la primera, en vez de mo dia. El enemigo ha perdido 1Q hombres marchar por la Stiría hacia Viena, se ha muertos, y 1200 prisioneros, 20 piezas de dirigido de We…</t>
  </si>
  <si>
    <t>. España y Portugal, y de 300© para la Si­ cilia. Mr. Withbread se opuso fuertemen­ Inspruck *3 de mayo. te á que se concediese socorro ninguno al El general Wrede dirigid al pnd&gt;Io de Austria. Esta potencia;, dixo, se ha empe­ esta ciudad muchas palabras memorables. ñado en.una guerra que era incapaz de sosElogió mucho al co…</t>
  </si>
  <si>
    <t>dén', y conducidos á New-Brísac. Augsfmrgo g de junio. REINO DE ITALIA. Las dos divisiones fricaras del príncipe Ve necia 2.3 de mayo. heredero y del general Wrede estarán aho­ ra en Lintz,á las órdenes del dur¡ue de Escriben de Trieste que luégb que se Dtntzick. La división del general D-.-roi ha tremolaron las águilas franc…</t>
  </si>
  <si>
    <t>j de mayo. clamado hoi hace siete años, y subido á un El duque regente ha recibido dos par­ trono manchado con la sangre de nuestro tes de oticio del general Wrede, coman­ mui amado y respetable padre, sentimos no dante del exé-cito del Norte , los quales poder hacer el bien y la felicidad de este contienen noticias mui desag…</t>
  </si>
  <si>
    <t>rma­ yo en Hernosandia , á no leguas de Tor­ nente como la que habéis experimentado nea y 90 de Estockolmo. quando Napoleón el Grande os condecoró El general Wrede declara positivamen­ con la orden por la mano de aquel que, sin te ,,que si los enemigos se apoderan de miedo y sin mancilla , fue siempre uno de «Hernosandia, el …</t>
  </si>
  <si>
    <t>el exército Eñ el quartel general imperial de Ent saxon están en S. Polten. á ae mayo de iBopt. El duque de Dantzick, que se halla en Lintz, mandó al general Wrede que hicie­ En virtud de las órdenes del Empera­ ra un reconocimiento en la orilla izquier­ dor, el llamado Chasteller, que dice ser ge­ da. El enemigo fue rechazad…</t>
  </si>
  <si>
    <t>llegado ^qpi del trohou'iia, los dragones de Carelia, la arti­ p3¡s de Saltzburgo para reemplazar á la del llería de Sawolax y la esquadrilla de Soi- general Wrede. Algunas tropas francesas, ma. Hemos cogido 22 piezas de cañón , qua- los depósitos de los regimientos bávaros y tro banderas y un almacén. Ei general Schu- los ba…</t>
  </si>
  <si>
    <t>raciones Brnnn 51 de julio. del exército de tierra. Si el general Adíes— pare, que ha sido enviado a! socorro del Ayer por la mañana pasó por aqui el general Wrede , no llega prontamente á su príncipe Gagarin que venia del quartel ge­ destino, el exército ruso podrá concluir en neral del E operador Napoleón, y vueive todo el …</t>
  </si>
  <si>
    <t>ron á retirarse al norre de Umea queman­ establecida en esta ciudad en beneficio ds do todos los puentes.; Las tropas i las ór­ sus hijos. denes del general Wrede no han podido Esta ceremonia, que no ha podido ha­ pasar hasta el 19 el. rio de Oere para se­ cerse baxo auspicios mas felices , se ha ce­ guir el alcance al enemig…</t>
  </si>
  <si>
    <t>d cobre, se ha dado orden en nombre de S. M. de Umea ha sido ocupada por nuestras tro­ el Emperador Na-oíeon para que puedan pas, y las avanzadas del general Wrede cambiarse en la antigua casa las cédulas de llegan hasta SaetVar. Las tropas i las órde­ banco por moneda de cobre. Se han seña­ nes del general conde YVachtmeiste…</t>
  </si>
  <si>
    <t>plan de este gene­ ral no ha tenido el éxito mas completo, puesto que intentaba coger entre dos fue­ SUECIA. gos á roQ rusos; pero como el cuerpo del general Wrede no podo seguir los movi­ 'Estockohno 5" de setiembre. mientos de los rusos, no le ha sido posible S. M. el Reí ha convocado á los esta­ lograr su intento. dos del …</t>
  </si>
  <si>
    <t>Wrede, Barón</t>
  </si>
  <si>
    <t>Barón Wrede</t>
  </si>
  <si>
    <t>s­ tro exército se compone de tres divisiones de á J2§ hom­ bres cada una; la primera, mandada por nuestro Príncipe Real; la segunda, por el Teniente General Barón Wrede;; y la tercera* por el Teniente Genera! Derot.</t>
  </si>
  <si>
    <t>Wreden</t>
  </si>
  <si>
    <t>e celebrado allí. Seltz, se restituyó á Petersburgo. En 9 de Ayer pasaron revista el general Oudinot febrero de 1801 ajustó la paz de Luneville, y el general Wreden á todas las tropas y ocupó en diciembre del mismo año los francesas y bávaras que se hallan en esta empleos de ministro dirigente de Estado y ciudad. de Conferenc…</t>
  </si>
  <si>
    <t>Wunpfeu, Luis</t>
  </si>
  <si>
    <t>Luis Wunpfeu</t>
  </si>
  <si>
    <t>dia. En esta situación se hicieron fuego recíprocamente mas de 4 horas esperando socorros ambas partes ; pero avisados oportunamente por el R-igadier D. Luis 'Wunpfeu., D. Fran­ cisco y D. Ramón de Míians., y 'D. Juan Claró.-» , enviaron primero el tercio de 'Talam mandado por D. Felipe tie Fieyres, y ellos mismos .con la gen…</t>
  </si>
  <si>
    <t>Wurtemberg</t>
  </si>
  <si>
    <t>nado el fuerte que componen la guardia nacional seden­ »»de Batz, habiéndose llevado los cañones taria. t „y cureñas. Las tropas holandesas ocupan El general Wurtemberg, el mas anti­ ,, la plaza." EN LA IMPRENTA REAL.</t>
  </si>
  <si>
    <t>Wussakowitz</t>
  </si>
  <si>
    <t>el campo Tenemos vino en abundancia ; y ha ha-‘ de batalla á uno de los príncipes de Rohan. bido pueblo en que hemos encontrado has­ El teniente feld-mariscal Wussakowitz ta tres millones de pintas. Por fortuna no se halla entre los prisioneros. tiene ninguna calidad maléfica. La artillería de la guardia se ha cubier­ Durante…</t>
  </si>
  <si>
    <t>Xaramillo, Juan</t>
  </si>
  <si>
    <t>Juan Xaramillo</t>
  </si>
  <si>
    <t>evos testimonios de amor y de rendimiento a su augusta Persona, y á la del.Soberano benéfico que espesa recibir de mano de V. M.” * . - , Discurso de D. Juan Xaramillo, regidor de Madrid, á nombre de esta ». villa, del cuerpo de la nobleza, del estado eclesiástico 9 de los cinco gremios mayoresy menores, y de los vecinos de l…</t>
  </si>
  <si>
    <t>Xavier, Francisco</t>
  </si>
  <si>
    <t>Francisco Xavier</t>
  </si>
  <si>
    <t>nazado Italia, varios efectos al gobierno francés; de Mendaca, y dexó encargada la defensa pero quando se trató de pagar estas cuen­ de este puerto á D. Francisco Xavier de tas, que ascienden á 24 millones de flo­ Aranguren y Urrutia, quien con 15 á 20 rines, la corte de Francia, contraviniendo hombres de la guardia nacional,…</t>
  </si>
  <si>
    <t>kel Reconozca el elegido' la beneficencia del que y D. Josef Craiwinckel, cadetes de reales le eligió, y no diga que debe á otro go­ uardias Walonas, D. Francisco Xavier bierno lo que ha recibido del actual. Mani­ f Lzpeleta, D. Mariano Tejada, D. Juan ^íanuel Errazquin , y otros. fieste cada uno su modo de pensar y sus deseo…</t>
  </si>
  <si>
    <t>el y nuestro edecán. Castiliejo ( D. Tomas). soldado del .regi­ Donna, general y gobernador del palacio. miento núm. &gt;.°, inf ntería de línea. Doran (D. Francisco Xavier), consejera de Castiüo-Ljrroi ( D. Dunasn). Estado. Cervino(D. Domin¿o) , teniente general de Echague ( D. Francisco Antonio). ejército. Echegaraya ( D. Jaco…</t>
  </si>
  <si>
    <t>Xavier, Joaquín</t>
  </si>
  <si>
    <t>Joaquín Xavier</t>
  </si>
  <si>
    <t>t ( D. Luí-.) , intendente de Cuenca. Urbina (D. Francisco María), intendente Salcedo ( D. Josef Sixto) , consejero de Es­ de Valladolid. tado. Uriz (D. Joaquín Xavier), prior de Ron— San Adrián (marques), primer maestro de cesvalles. ceremonias. art. ii. Nuestro gran canciller y gran Teso­ San Anastasio ( conde) „ secretario…</t>
  </si>
  <si>
    <t>n. — Virselet, tirador del regimiento real extrangero. — Upategui (D. Manuel María). -- Urbina (D. Francisco María) intendente de Valladolid. — Uriz (D. Joaquín Xavier) prior de Roncesvalles.” En las gazetas del mismo gobierno intruso desde el 28 de octubre hasta el 5 de noviembre se anuncia de oficio, que los consejeros de e…</t>
  </si>
  <si>
    <t>Xfntenes, Antonio</t>
  </si>
  <si>
    <t>Antonio Xfntenes</t>
  </si>
  <si>
    <t>*43 D. Antonio Xfntenes, ia rl*. ptrf nn sombrero. P. Jaoa Perez, 10 rls. para unas inedias. D. Pedro 0,úz , 30 rls. para dos mochilas. D. Antonio Cáncer, 20 rls. para dos pares de medias* T&gt;* Josef García , 30 rl</t>
  </si>
  <si>
    <t>Xidas, Ramón García</t>
  </si>
  <si>
    <t>Ramón García Xidas</t>
  </si>
  <si>
    <t>capellanía fun­ asunto se admitirán ; cuyas ventas se cxectitarán por dada por D. Sebastian de ia Cruz y.Agramóme, tasa­ ante el escribano del número D. Ramón García Xidas una y otras en 339038 rs. Quien quisiere hacer menez. postura á ellas acuda, á la nominada escribanía, en 1a Por la audiencia del Sr. D. León de Sagasta, t…</t>
  </si>
  <si>
    <t>Xifren, Bartolomé</t>
  </si>
  <si>
    <t>Bartolomé Xifren</t>
  </si>
  <si>
    <t>Juan Claros desa­ lojaron á los enemigos de algunos campamentos que tenian en las orillas del Bascara y del Fluviá,. en cuyas acciones se distinguió D. Bartolomé Xifren , que con su partida de guerrilla se mezcló entre los franceses sable en mano , obligándoles á dexar fusiles, mochilas etc.,. de cuya acción salió herido. El …</t>
  </si>
  <si>
    <t>XIII, Cárlos</t>
  </si>
  <si>
    <t>Cárlos XIII</t>
  </si>
  <si>
    <t>vvigHolstein.” En el diario político de la misma ciudad se ha publicado tam­ bién una carta del emperador Napoleón al duque de Sudermania; hoy dia el rey Cárlos XIII, que es como sigue. “Señor hermano , he recibido la carta de V. A. R. de 17 de marzo. Teneis razón de creer que deseo que la Suecia goze de la tranquilidad y ben…</t>
  </si>
  <si>
    <t>Ximencz, Tomas Domingo</t>
  </si>
  <si>
    <t>Tomas Domingo Ximencz</t>
  </si>
  <si>
    <t>cimiento baxo los auspicios de un Príncipe por tesorero á D. Rafael Alvarez; por ofi­ amigo y protector de las letras. cial mayor de la contaduría á D. Tomas Domingo Ximencz; por oficial segundo á D. Simón Antonio Eiriz ; por guarda-cuños Continúan las rejl.-xiones sobre el real de­ á D. Pedro Llamazales; por maestro fun­ cre…</t>
  </si>
  <si>
    <t>Ximenez, Eusebio</t>
  </si>
  <si>
    <t>Eusebio Ximenez</t>
  </si>
  <si>
    <t>. José Angel Foncillas. -- D. Andrés Nuñez de Haro.-~ D. Mateo Cortés.— D. Cos­ me Laredo. — D. Francisco López Pelegrin. — D. Salvador Cam­ pillo. — D. Eusebio Ximenez. — D. Pedro Calzan Se ha publicado en Lóndres un quaderno con el título de Suggestions on the cortes (Ir) Su autor es el Lord Holland; caballero tan (1) Lleva…</t>
  </si>
  <si>
    <t>Ximenez, Francisco</t>
  </si>
  <si>
    <t>Francisco Ximenez</t>
  </si>
  <si>
    <t>reales; la mar­ quesa su madre una en 550; el marques de Villaverde 2 en 1200; D. Francisco de Paula Camilla una en 650 ; D. Marcelo 'Amaya 2 en 10 ; D. Francisco Ximenez una en 850. — De Cádiz, la real aduana ocho mulos en 13.300 ; D. Fermín Elizalde2 en 5?-; Don Miguel Lobo uno en 1800; D. Ceferino Rodríguez 3 en 130; la vi…</t>
  </si>
  <si>
    <t>Ximenez, Gerónimo</t>
  </si>
  <si>
    <t>Gerónimo Ximenez</t>
  </si>
  <si>
    <t>D. José Cano, comisario de guerra de los reales exércitos, un vale real de la creación de enero de 150 pesos , número 235.641 á la ciudad de Cádiz á D. Gerónimo Ximenez,Ü quien venia endosado , y ha­ biéndose extraviado en la fecha de su remisión , que fué en 20 de noviembre de 1808 , se previene para que se entregue en es­ t…</t>
  </si>
  <si>
    <t>Ximenez, Hilario</t>
  </si>
  <si>
    <t>Hilario Ximenez</t>
  </si>
  <si>
    <t>D. Pedro Benisa. — D. Joaquin Manrique de Lara.-- D. Manuel García del Campo.— D. Vi­ cente Aragón. — D. Antonio Viscasillas. — D. Vicente Martínez.— D. Hilario Ximenez.— Angel Blanque.— Juan Domec.- D. Fran­ cisco Gantolaria — D. Francisco de Paula Perpiñan, muger é hi­ jo. — Doña Bárbara Garay. — Conde Parsen, marques de Bá…</t>
  </si>
  <si>
    <t>Ximenez, Juan</t>
  </si>
  <si>
    <t>Juan Ximenez</t>
  </si>
  <si>
    <t>ha re­ cibido este, de Córdoba 63 vestuarios. Por noticias recibidas del quartel general de santa Cruz , con fecha del 13., se sabe que la partida de D. Juan Ximenez, ha co­ gido al enemigo 80 quintales de plata y oro en Segovia, en los q-ue se&lt; comprehenden las alhajas extraidas de los conventos y parroquias de la corte, las…</t>
  </si>
  <si>
    <t>Ximenez, Ventura</t>
  </si>
  <si>
    <t>Ventura Ximenez</t>
  </si>
  <si>
    <t>e Camuñas, donde hizo 10 prisioneros de á caballo á muy cor­ ta distancia del enemigo , y en donde ménos se esperaba. Igualmente son dignos de elogio D. Ventura Ximenez , y el valiente Vel asco , por el ardor con que persiguen á los franceses. El primero puso en libertad á los prisioneros-nuestros que vió Erancisquete en Madr…</t>
  </si>
  <si>
    <t>Ximeno, Juan</t>
  </si>
  <si>
    <t>Juan Ximeno</t>
  </si>
  <si>
    <t>nte. Jaén......................... . D. Ramón María Mor toro. Mahon. ....................... Doña Catalina Germán y Ur.galde., Málaga. . . . ... .. . D. Juan Ximeno. Murcia........................ Señores Moreda y Ladalid'. Oviedo......................... Señores D. Manuel Ilubiano y Nieto.. Palma. . . . . . . D. Martin Mallo…</t>
  </si>
  <si>
    <t>Ximensz, Antonio</t>
  </si>
  <si>
    <t>Antonio Ximensz</t>
  </si>
  <si>
    <t>tonio Sánchez , 10 rls. para un par de medias» D- Francisco Barrios , 30 rls. para dos mochilas» D. Matias García , 20 rls. para dos pares de medías. D. Antonio Ximensz, 20 rls. para dos pares de medias. D. Francisco Martin , 10 para unas medias» D. Tomas González , 20 rls. para dos pares de medias» D. Manuel Alegre , 10 rls.…</t>
  </si>
  <si>
    <t>Xiskowit</t>
  </si>
  <si>
    <t>ejero de estado ruso Mr. de Rodofinikin. Han asistido con voto deli­ berativo los comandantes militares y los miembros de los tribunales. El pri­ mer secretario Xiskowit ha presentado diferentes proyectos relativos á la reforma.de las escuelas públicas: á la división de la Servia en n distritos: al laboreo de las minas: á una…</t>
  </si>
  <si>
    <t>Xoriega, José</t>
  </si>
  <si>
    <t>José Xoriega</t>
  </si>
  <si>
    <t>de agosto y l.° de setiembre ha nombrado en «1 ministerio de Indias á D. Ignacio Tejada xefe de división; k D. Mariano Blancas oficial primero , y á D. José Xoriega ar­ chivero. Por decreto de 30 de agosto lia nombrado en el ministerio de negocios eclesiásticos á D. Juan Ceaii Bermudez xefe de división; á D. Cipriano Salinero…</t>
  </si>
  <si>
    <t>y Aídana, Josef Cejudo</t>
  </si>
  <si>
    <t>Josef Cejudo y Aídana</t>
  </si>
  <si>
    <t>acto de la. gazeta de Oviedo del sá­ vacantes en la chanctllei ía. de Vallado:id, bado 0.2 de julio de 1809. \ . ; , á I&gt;. Francisco Evaristo López y D. Josef Cejudo y Aídana, alcaldes de! crimen mas Oviedo t a de julio. 2 antiguos del mismo tribunal; y1 para las dos plazas de alcaldes del crimen que re- „E1 brigadier y coman…</t>
  </si>
  <si>
    <t>y Aldama, Josef-Miría Cejudo</t>
  </si>
  <si>
    <t>Josef-Miría Cejudo y Aldama</t>
  </si>
  <si>
    <t>brar á D. Juan de Lo-; hombres de tropas de d&amp;sembaico, se han resecha, oidor del tribunal de Navasr*y retirado el 30 de agosto sin saberse el mtnr y D. Josef-Miría Cejudo* y- Aldama v' oi­ bo que han tomado, ni poderse atinar si. dor de Valladolid , alcaldes de sil reátC.isa se dirigen contra algún otro punto dfc la y Corte;…</t>
  </si>
  <si>
    <t>y Aldea, Fermín de Beunza</t>
  </si>
  <si>
    <t>Fermín de Beunza y Aldea</t>
  </si>
  <si>
    <t>. Manuel María de Upategui, cura y vicario de la villa de Mondragon, en la misma diócesis : para el arcedianato de Mayorga, dignidad de la de León, á D. Fermín de Beunza y Aldea, cura dé la parroquia de S. Martin de la ciudad de Segovia: para el arcedianato de Huete, dignidad de la de Cuenca , á D. Joaquín María Piñeiro,</t>
  </si>
  <si>
    <t>y Alonso, Francisco Perez</t>
  </si>
  <si>
    <t>Francisco Perez y Alonso</t>
  </si>
  <si>
    <t>lecta para provisión de nuestros exércitos,y cuyo importe asciende fila cantidad de 6334 pesos fuertes. * ________ El 26 de noviembre de 1808 remitió D. Francisco Perez y Alonso , de Madrid , 5 vales reales de 200 pesos , endosados á D. Miguel Joaquia Esquiu , de Zaragoza, que por las ocurrencias desgraciadas de aquellos pais…</t>
  </si>
  <si>
    <t>y Antonio, Gerónimo de Arocena</t>
  </si>
  <si>
    <t>Gerónimo de Arocena y Antonio</t>
  </si>
  <si>
    <t>a, á saber, D. Ig­ Que para consolidar la confederación del nacio Ramón de Arocena , D. Ignacio L¡Rin, y arrojar de su seno todo influxo con­ zardi , D. Gerónimo de Arocena y Antonio trario á sus principales Intereses, es indis­ Juaristi ; los quales , an¡mados¿de un celo pensable desposeer los antiguos príncipes y verdaderam…</t>
  </si>
  <si>
    <t>y Azara, Eusebio Bardaxi</t>
  </si>
  <si>
    <t>Eusebio Bardaxi y Azara</t>
  </si>
  <si>
    <t>viuda de Llerena.— D. José Amarillas.— D. Francisco Xavier Ochoa.—-D. Joaquin Tamayo. — D. José Compani. — Marques de la Romana.— Conde de Cimera. —; D. Eusebio Bardaxi y Azara. — D. Evaris­ to Perez de Castro.— D. Tadeo Francisco Calomarde.— D. Cris­ tóbal de Góngora. — D. Jacobo Parga. — D. Mateo de Mora y Lomas. — Conde de…</t>
  </si>
  <si>
    <t>y Azara, Eusebió de Bardaxi</t>
  </si>
  <si>
    <t>Eusebió de Bardaxi y Azara</t>
  </si>
  <si>
    <t>as oficiales que aquí se insertan por su 6r-' den, son de D. Carlos Alexandro de Lellis, Cónsul de Es­ paña en el puerto de Trieste , y del caballero D. Eusebió de Bardaxi y Azara, que pasa con encargo de S. M. á la Corte de Víena.</t>
  </si>
  <si>
    <t>y B, Pedro Perez</t>
  </si>
  <si>
    <t>Pedro Perez y B</t>
  </si>
  <si>
    <t>vinciales, contuso el teniente D. Antonio Bar­ rios 3 León, contuso el teniente D. Santiago Marton 3 voluntarios de la Corona , heridos los tenientes D. Pedro Perez y B. Benito Salgado , y el subteniente D. Mariano Felez 3 General, contusos el teniente D. José Huertes y el cadete D. Luis Vázquez , y muerto el cadete D. Ramón …</t>
  </si>
  <si>
    <t>y Bamtell, Juan Sanz</t>
  </si>
  <si>
    <t>Juan Sanz y Bamtell</t>
  </si>
  <si>
    <t>231 Por decreto del mismo dia ha nombrado á 15. Antonio Van-Halen xefe de división del ministerio de marina ; y por archivero á D. Juan Sanz y Bamtell. Por decreto de 22 de agosto y l.° de setiembre ha nombrado en «1 ministerio de Indias á D. Ignacio Tejada xefe de división; k D. Mariano Blancas oficial primero , y á D. José …</t>
  </si>
  <si>
    <t>y Barutell, Juan Sanz</t>
  </si>
  <si>
    <t>Juan Sanz y Barutell</t>
  </si>
  <si>
    <t>nombrado á D. Antonio Van-Halen gefe ligión católica en Francia &amp;c.- de división del m¡oistcr*o£de Marina ; y por Marsella 14 de agosto. archivero á D. Juan Sanz y Barutell. La agencia de Relaciones exteriores ha Por dééretd vd¿'ar ^ de'-ágósto y i.® de mandado publicar en el diario de esta ciu­ setiembre S- M. ha nonibrado e…</t>
  </si>
  <si>
    <t>y Berri, José Bazo</t>
  </si>
  <si>
    <t>José Bazo y Berri</t>
  </si>
  <si>
    <t>audiencia de Buenos Ayres., por promoción de D. Juan Bazo y Berri á la de Lirha, a D. Juan de Cea ■: para la de Sta. Fe, vacante por falleeimiento de D. José Bazo y Berri, á D. Juan Ju­ rado, auditor que ftié cíela capitanía-general de Caracas-: para la plaza de oidor de Caracas, vacante por .muerte de D. Miguel .Aunóles, á.D…</t>
  </si>
  <si>
    <t>y Berri, Juan Bazo</t>
  </si>
  <si>
    <t>Juan Bazo y Berri</t>
  </si>
  <si>
    <t>vacante por ascenso del cita­ do Monte., á D.. Ramón Parraguesr. para una plaza de oidor que varó en la audiencia de Buenos Ayres., por promoción de D. Juan Bazo y Berri á la de Lirha, a D. Juan de Cea ■: para la de Sta. Fe, vacante por falleeimiento de D. José Bazo y Berri, á D. Juan Ju­ rado, auditor que ftié cíela capitaní…</t>
  </si>
  <si>
    <t>y Blanco, Bernardino Blanco</t>
  </si>
  <si>
    <t>Bernardino Blanco y Blanco</t>
  </si>
  <si>
    <t>bildo limo. Sr. obispo D. Manuel Gómez dé la Salazar , Sr. deán 0. Juan Alonso Gorjon, Sr. penitenciario D. Gerónimo Angel de la Cuesta, Sr. Jectoral D. Bernardino Blanco y Blanco, y licenciado y doctoral i&gt;. Felipe Cal­ vo Rui perez. Por la ciudad D. Antonio Serviano de Revenga, regidor decano y corregidor, D. Pe­ dro López …</t>
  </si>
  <si>
    <t>y Boldú, Josef Marrugat</t>
  </si>
  <si>
    <t>Josef Marrugat y Boldú</t>
  </si>
  <si>
    <t>Lardizabal. 50.000 D. Mateo Palacios. C. — 50.000 D. Antonio Ugaldéa. C. 2.000 D. Gregorio Saenz de Sicilia. C. 15.000 D. Fernando Hermosa. C. 12.000 D. Josef Marrugat y Boldú. C. 6.00a El P. Fr. Jayme Codina., por el convento de Santo Do­ mingo. 24.00a R1 Sr. marques del Apartado. 80.000 Dst iUtstre arehicofradía del Santisi…</t>
  </si>
  <si>
    <t>y Burgo, Ramón de Oñate</t>
  </si>
  <si>
    <t>Ramón de Oñate y Burgo</t>
  </si>
  <si>
    <t>muerte de D. Juan José Tenajas; á D. Joaquín Villa'nueva, capellán de honor en la real capilla: para la vacante en dicha iglesia por fallecimiento de D. Ramón de Oñate y Burgo , á D: Nicolás de Andrade , canónigo en la dé Puerto-rico : para la dignidad de arcediano titular de Guadix, va­ cante por ascenso de D. Vicente llamos…</t>
  </si>
  <si>
    <t>y Con, Joaquín Alexandro de Agüero</t>
  </si>
  <si>
    <t>Joaquín Alexandro de Agüero y Con</t>
  </si>
  <si>
    <t>vamuel , cura de Lan— ciones con la mayor amabilidad, informán­ tueno, para una ración de la de Santander: dose al mismo tiempo del estado de aque­ á D. Joaquín Alexandro de Agüero y Con­ llos pueblos, y manifestándoles quan gra­ cha, capellán de S. Segundo en la catedral tos le son los homenages que le tributan. de Avila, pa…</t>
  </si>
  <si>
    <t>y D, Alonso Tovar y Ximenez</t>
  </si>
  <si>
    <t>Alonso Tovar y Ximenez y D</t>
  </si>
  <si>
    <t>to oficiales segundos ; y á D. José Antonio Con­ de archivero y ■bibliotecario. Por decreto del citado dia ha nombrado en el ministerio de justicia á D. Alonso Tovar y Ximenez y D. Antonio Benito xefes de división ; á D. José Ramón de Huertas y D.. Manuel Jáuregui oficiales ¿primeros ; á D. Juan Pereyra , D. Ildefonso Fignero…</t>
  </si>
  <si>
    <t>y D, Andrés Raboso</t>
  </si>
  <si>
    <t>Andrés Raboso y D</t>
  </si>
  <si>
    <t>• ■ fTr*:j v , ; r-rl por -él estado noble * D. Vicbnte Muíiarriz. •* * l\'~ • - v , , . ' ■ ' «• Por los labradores D. Juan Josef de Land* y García, D. Andrés Raboso y D. Francisco Reció. •"•••’*; * v-: -;-f; r - - : • .. ^ .... Por la contaduría de rentas decimales D. Miguel Saifz; *'■■■'"■ ■</t>
  </si>
  <si>
    <t>y D, Antonio Darcourt</t>
  </si>
  <si>
    <t>Antonio Darcourt y D</t>
  </si>
  <si>
    <t>de Benavente : a los brigadieres D. Antonio Darcourt y D. José Imaz , co­ roneles de los regimientos de Zamora y Sevilla : á D. Francisco Ano, te­ niente coronel del regimiento de Lobera : á D. Antonio Margado , te­ niente del regimiento de infan</t>
  </si>
  <si>
    <t>y D, Antonio Godinez</t>
  </si>
  <si>
    <t>Antonio Godinez y D</t>
  </si>
  <si>
    <t>Manuel Lucas de sente decreto.= Firmados YO EL REI. ss. Riaza, D. Estanislao Barceló, D. Santiago Por S. M. su ministro secretario de Estado Santos, D. Antonio Godinez y D. Guiller­ Mariano Luis de Urquijo." mo Baños. art. iv. Nuestro ministro de lo Inte­ Circular del señor ministro de lo Interior rior queda encargado de la e…</t>
  </si>
  <si>
    <t>y D, Antonio López Nuñez</t>
  </si>
  <si>
    <t>Antonio López Nuñez y D</t>
  </si>
  <si>
    <t>spailiar y í). Tomas González , universidad. Diputación de Benavente. D. Josef Fernandez Solis; D. Guillermo Gpmez Maestro; D. Diego Antonio Esmeras; D. Antonio López Nuñez y D. Miguel Alonso Conejo. Diputación de S*. Ildefonso. D. Manuel Matías de Jáuregui; D. Ventura María Sanz; D. Francisco Paula Guarnerio y D. Luis Guarne…</t>
  </si>
  <si>
    <t>y D, Antonio Loriga</t>
  </si>
  <si>
    <t>Antonio Loriga y D</t>
  </si>
  <si>
    <t>l coronel D. Matías de Ferrar, y al de igual clase agregado al estado mayor D. Joaquín Ovalle : á los capitanes D. Francisco Masia, D. José Saravia , D. Antonio Loriga y D. Joaquín Domínguez, y al subteniente D. José de Ponte. Finalmente recomiendo muy particularmente á V. E. á los maríscales de campo , mi segundo D. Gabriel …</t>
  </si>
  <si>
    <t>y D, Antonio Romanillos</t>
  </si>
  <si>
    <t>Antonio Romanillos y D</t>
  </si>
  <si>
    <t>dri­ go Sousa , herido ; 4 hombres y 7 caballos muertos; 16 hombres y 12 caballos heridos. Total, 21 hombres y 19 caballos. — Fernando Vil: alféreces D. Antonio Romanillos y D. Luis Perez, muertos ;. capitán D. Joaquín Santeandrtu herido y prisionero ; contusos el sargento mayar D. Luis Carpintero, el capitán D. Luis de los R…</t>
  </si>
  <si>
    <t>y D, Antonio Torremocha</t>
  </si>
  <si>
    <t>Antonio Torremocha y D</t>
  </si>
  <si>
    <t>Pedro Romeral , D. Josef tras del mismo colegio D. Antonio Ortega, Ortega Manceñido, D..Francisco de Cas­ D. Santiago Aívarez, D. Mariano Molla, tro, D. Antonio Torremocha y D. Ale— D. Julián Roxo, D. Francisco Lorrio y xandro Casanova. D. Manuel Josef García , y pasantes de los art. iv. Nuestro ministro de lo Inte­ mismos pr…</t>
  </si>
  <si>
    <t>y D, Antonio Xareno</t>
  </si>
  <si>
    <t>Antonio Xareno y D</t>
  </si>
  <si>
    <t>osé en el ministerio de negocios extrangeros á D. Antonio Porlier xefe de división ; á D. Joaquín Onjs y D. Manuel de Alonso oficiales pri­ meros ; á D. Antonio Xareno y D. Eduardo Santiago Palomares oficiales segundos ; y por Archivero k D. Francisco Hurtado de Mendoza. Por decreto del mismo dia 6 del corriente ha nombrado e…</t>
  </si>
  <si>
    <t>y D, Bernando Casamayor</t>
  </si>
  <si>
    <t>Bernando Casamayor y D</t>
  </si>
  <si>
    <t>n de su caballería de línea; de D. Francisco Fogueras, para otra capitanía; de- D. Fernandez Salvador, para sargento mayor de caballería de línea;'de D. Bernando Casamayor y •D. José Muntaner, para comisarios de guerra de primera cla«e; y de D. Gerónimo Miro, D. José Pazos, D. Antonio Bodoy, D. José Barrera y D. Joaquín Frías…</t>
  </si>
  <si>
    <t>y D, Blas Vidarte</t>
  </si>
  <si>
    <t>Blas Vidarte y D</t>
  </si>
  <si>
    <t>; y quando me pareció oportuno dispuse la retirada que , para verificarla en el mejor orden, man­ dé á mis ayudantes de campo los tenientes coroneles D. Blas Vidarte y D. Laureano de las Fuentes que , ocupando el primero el costado derecho , y el segundo el izquierdo, retirasen las divisiones y guerrillas , como lo executaron…</t>
  </si>
  <si>
    <t>y D, Bonifacio Muñoz</t>
  </si>
  <si>
    <t>Bonifacio Muñoz y D</t>
  </si>
  <si>
    <t>Íarcélo García y Fr. Juan Polvorosa, dominicos. Diputación de Ledesma. D. Francisco de Tapia y D. Francisco Antonio Quintana. Diputación de Villalon. D. Bonifacio Muñoz y D. Ensebio López. Diputación de Santander. D. Joaquín Ramón de Sarraga y D. Pedro de Hacha. Diputación de Medina de Ríoseco. D. Santiago Martínez Alonso; D.…</t>
  </si>
  <si>
    <t>y D, Camarero</t>
  </si>
  <si>
    <t>Camarero y D</t>
  </si>
  <si>
    <t>ranada; y sus dignos ofi-, ciales Sierra, D. Juan Triviíio, D. Domingo Delgado y D. Vi­ cente Salazar, merecen recomendación, pero particularmente el capitán Camarero y D. Lorenzo de Sierra. Continuamente se están pasando muchos dragones enemigos á nuestro exército de la Mancha ; y en estos últimos dias ha re­ cibido este, de…</t>
  </si>
  <si>
    <t>y D, Cárlos Bucho</t>
  </si>
  <si>
    <t>Cárlos Bucho y D</t>
  </si>
  <si>
    <t>ñía de mique- »que tienen los insurgentes en armas esté letes de Navarra; á D. Antonio Anguita w dictando leyes desde la capital del reiteniente, y á D. Cárlos Bucho y D. Fran­ » no.”.—Dicen que son pocas las fuerzas fran­ cisco María Díaz subtenientes de la expre­ cesas quando se trata de infatuar á los in­ sada compañía. • …</t>
  </si>
  <si>
    <t>y D, Cárlos González de Barcena</t>
  </si>
  <si>
    <t>Cárlos González de Barcena y D</t>
  </si>
  <si>
    <t>rante toda la acción para executar las providencias que yo tomabas : los brigadieres marques de Ariza, D. Josef Navarro Falcon , D. Josef de la Cruz, D. Cárlos González de Barcena y D. Samuel Fourtas , executaron lo mismo: mis ayudantes de campo el brigadier marqués del Malpiea, el coronel D. Juan de la Cuesta , el teniente c…</t>
  </si>
  <si>
    <t>y D, Cárlos Vicente</t>
  </si>
  <si>
    <t>Cárlos Vicente y D</t>
  </si>
  <si>
    <t>e la de-Antequera el subtenien­ te D. Juan Nogales y José Lugue, al capitán y subtenientes del mismo cuerpo D. Manuel Fernandez, D. Antonio Gallardo, D. Cárlos Vicente y D. Manuel Abad, al capitán, subteniente y sargento 2.° del de Sta. Fe D. Miguel Vaca, D. Francisco Trazante y Juan de Longavila, como igualmente al cabo l.Q …</t>
  </si>
  <si>
    <t>y D, Cosme de Trespalacios</t>
  </si>
  <si>
    <t>Cosme de Trespalacios y D</t>
  </si>
  <si>
    <t>D. Santiago Martínez Alonso; D. Luciano de Salcedo y D. Vicente Soto y Pastor. Diputación de Salamanca. D. Josef Pando y D, Juan de Peñalosa, ciudad. D. Cosme de Trespalacios y D. Francisco Alonso y Moral, comercio. D. Antonio Roldan; D. Lorenzo Piñuela; D. Juan Ignacio Perez,y D. Vicente Hernández Pé­ rez, cabildo. D. Josef …</t>
  </si>
  <si>
    <t>y D, Diego Cosío</t>
  </si>
  <si>
    <t>Diego Cosío y D</t>
  </si>
  <si>
    <t>y D. Luis Marcelino Pereira. La del 7 trae el nombramien­ to de D. Joaquín de Aldamar para intendente de la provincia de Santander; y la del 8 el de D. Diego Cosío y D. Laurea­ no Jado para jueces de las juntas de negocios contencicsos, pendientes en los suprimidos conse os; de D. Domingo Rico Villademoros para fiscal de esta…</t>
  </si>
  <si>
    <t>y D, Diego Entrena</t>
  </si>
  <si>
    <t>Diego Entrena y D</t>
  </si>
  <si>
    <t>del 27 hasta la noche del 28. El ge­ neral Fáne, que mandaba la Caballería pesada inglesa, me ha recomendado muy particularmente la conducta de dicho D. Diego Entrena y D. Pedro La­ drón de Guevara , y de todos los individuos de artillería que estuvieron á las órdenes de su bizarra conducta, y yo lo hago á V. E. no mános sati…</t>
  </si>
  <si>
    <t>y D, Domingo Delgado</t>
  </si>
  <si>
    <t>Domingo Delgado y D</t>
  </si>
  <si>
    <t>la eran de los regimientos de Alcántara , Montesa, Santiago , Fernando Vil y dragones de Granada; y sus dignos ofi-, ciales Sierra, D. Juan Triviíio, D. Domingo Delgado y D. Vi­ cente Salazar, merecen recomendación, pero particularmente el capitán Camarero y D. Lorenzo de Sierra. Continuamente se están pasando muchos dragones…</t>
  </si>
  <si>
    <t>y D, Domingo Gali</t>
  </si>
  <si>
    <t>Domingo Gali y D</t>
  </si>
  <si>
    <t>elasco, aquel de mi división, y este de caballería, el Ayudante de Campo de V. E. D. Fernando Ferrer, el mío D. Sebastian Mantilla, los de di­ visión D. Domingo Gali y D. Josef Falcon, el del Quartel Maestre del Exército de observación D, Manuel de Plaza, y el Subteniente D. Germán Segura, con seis Or­ denanzas de Carabineros…</t>
  </si>
  <si>
    <t>y D, Domingo Vengoa</t>
  </si>
  <si>
    <t>Domingo Vengoa y D</t>
  </si>
  <si>
    <t>ñana (1). (Se continuará J NOTICIAS DE ESPAÑA. Madrid, lO de setiembre. Por decreto de 21 de agosto S. M. (losé) ha nombrado (2) á D. Rafael Tenorio, D. Domingo Vengoa y D. Gregorio del Castillo xefes de división en el ministerio de- guerra ; á D. José Perez de Nueros y D. Camilo Arroyo ofi­ ciales primeros del mismo minister…</t>
  </si>
  <si>
    <t>y D, Felipe Luengo</t>
  </si>
  <si>
    <t>Felipe Luengo y D</t>
  </si>
  <si>
    <t>l cápitan D. Josef Mi­ randa , y en el recodo que forma la ria al mismo lado á ñor de agua otra batería de trés ¿ cañones , á cargo de los Capitanes” D. Felipe Luengo y D. Diego del Barco, los que enfilaban el vado , molestaban uir bosque, donde pusie­ ron su mayor fuerza los enemigos» Estos colocaron sus ba­ terías casi en o…</t>
  </si>
  <si>
    <t>y D, Francisco</t>
  </si>
  <si>
    <t>Francisco y D</t>
  </si>
  <si>
    <t>é Bernabé lzita. 16.000 D. Pedro Marcos Gutiérrez. 8.000 D, Francisco Almirante. 10.000 D. Juan Manuel Bustillos. 2.000 D. Manuel Diez Cortina. 1.000 D. Francisco y D. Joaquín de la Cortina. 30.000 El capitán D. Diego y D. Juan Manuel de Peredo. 30.000 D. Juan Marcos Rada. 25.000 D. Dionisio Cicero Lombrana. 2.000 D. Cecilio …</t>
  </si>
  <si>
    <t>D. Ramón Ger.— D. Francisco Xavier de Balmis. — D. Juan Polo. — Marques de. Béigída. — Marques- de Casteiar. — D. Manuel Vélaseos—D Jo­ sé Olatte. — D. Francisco y D. Manuel del Valle. — Duque de Yiilahermosa.— D. Felipe Vallejo. — Marques de las Horma­ zas.— D. Manuel Soria. — D. Ramón Arascot.—D. Antonio Komanilios. — D. Fr…</t>
  </si>
  <si>
    <t>y D, Francisco Alborná</t>
  </si>
  <si>
    <t>Francisco Alborná y D</t>
  </si>
  <si>
    <t>e S. -Feliu , y que al mismo tiempo qué los franceses com­ batían con nuestras fuerzas de Pailejá, llegaron sus somatenes al man­ do de los capitanes D. Francisco Alborná y D. José Antonio Guinovart, los. que atacaron á un mismo tiempo en dos divisiones , la una por en­ cima del referido pueblo, y la otra por S. Vicente , hab…</t>
  </si>
  <si>
    <t>y D, Francisco Antonio Zea</t>
  </si>
  <si>
    <t>Francisco Antonio Zea y D</t>
  </si>
  <si>
    <t>hivero k D. Francisco Hurtado de Mendoza. Por decreto del mismo dia 6 del corriente ha nombrado en el ministerio délo interior k D. José María Lauz , D. Francisco Antonio Zea y D. Cnstoval Cladera xefes de división ; á D. Joa­ quín Albaytua , D. Luis Bellocq y D. Pedro Isla , oficiales pri­ meros ; á D. Fausto Foronda, D. San…</t>
  </si>
  <si>
    <t>y D, Francisco Berzosa</t>
  </si>
  <si>
    <t>Francisco Berzosa y D</t>
  </si>
  <si>
    <t>illavedon, D. Josef Sacrista* y D. Tomas Moyano. Por la Ciudad D. Vicente Martin Gómez, D. Cayetano Alonso , D. Mariano Santatíder, D. Simón Durango, D. Francisco Berzosa y D. Tomas Rodríguez. Por S. Basilio P. D. Ignacio Reyezo y P. D. Luis Estevez. Por los Agustinos recoletos Fr. Leonardo García y Fr. Josef Veloso.</t>
  </si>
  <si>
    <t>y D, Francisco de Tapia</t>
  </si>
  <si>
    <t>Francisco de Tapia y D</t>
  </si>
  <si>
    <t>2o8 Luis Baj'on y Fr. Juan de Cáceres, Eenedictirios; Fr. AÍarcélo García y Fr. Juan Polvorosa, dominicos. Diputación de Ledesma. D. Francisco de Tapia y D. Francisco Antonio Quintana. Diputación de Villalon. D. Bonifacio Muñoz y D. Ensebio López. Diputación de Santander. D. Joaquín Ramón de Sarraga y D. Pedro de Hacha. Diput…</t>
  </si>
  <si>
    <t>y D, Francisco Paula Guarnerio</t>
  </si>
  <si>
    <t>Francisco Paula Guarnerio y D</t>
  </si>
  <si>
    <t>Antonio Esmeras; D. Antonio López Nuñez y D. Miguel Alonso Conejo. Diputación de S*. Ildefonso. D. Manuel Matías de Jáuregui; D. Ventura María Sanz; D. Francisco Paula Guarnerio y D. Luis Guarnerio. Diputación de Villafranca del Vierzo. D. Simón Rentería y Reyes Abad; D. Francisco Villegas y D. Josef Arias de Prada. La arenga…</t>
  </si>
  <si>
    <t>y D, Francisco Villegas</t>
  </si>
  <si>
    <t>Francisco Villegas y D</t>
  </si>
  <si>
    <t>regui; D. Ventura María Sanz; D. Francisco Paula Guarnerio y D. Luis Guarnerio. Diputación de Villafranca del Vierzo. D. Simón Rentería y Reyes Abad; D. Francisco Villegas y D. Josef Arias de Prada. La arenga que tuvo la honra de dirigir á S. M. la diputación del cabil-. do de la santa iglesia de Toledo fue en los términos si…</t>
  </si>
  <si>
    <t>y D, Gaspar Lerin de Bracamonte</t>
  </si>
  <si>
    <t>Gaspar Lerin de Bracamonte y D</t>
  </si>
  <si>
    <t>del corriente, nombramos jueces de las juntas que establecimos por él á D. Josef Perez Caballero y D. Pedro Flores Quevedo, del consejo de Hacienda; D. Gaspar Lerin de Bracamonte y D. Carlos Simón Pontero, del consejo de las Ordenes; D. Andrés Romero Valdés, D. Diego Gil Fernandez, D. Luis Marcelino Pereira, D. Tomas de Casan…</t>
  </si>
  <si>
    <t>y D, Gerónimo Miro</t>
  </si>
  <si>
    <t>Gerónimo Miro y D</t>
  </si>
  <si>
    <t>23 de abril de 1809</t>
  </si>
  <si>
    <t>Gaceta de Madrid n.º 113</t>
  </si>
  <si>
    <t>o para la ¡unta de subsistencias de de las Españas y de las Indias. la provincia de Castilla la vieja. ,,Visto el inlorme de nuestros minis­ art. ii. D. Gerónimo Miro y D. Jo­ tros de la Guerra y de Hacienda, hemos sef Gómez están no nbrados para la junta decretado y decretamos lo que dgue : ce subsistencias de Extremadura. a…</t>
  </si>
  <si>
    <t>y D, Ignacio Balanzas</t>
  </si>
  <si>
    <t>Ignacio Balanzas y D</t>
  </si>
  <si>
    <t>ldefonso Nieto , estuvieron en cominuo mo-. vimiento , comunicando mis órdenes con exactitud y desprecio del riesgo; así comales tenientes- coroneles D. Ignacio Balanzas y D.Ak-</t>
  </si>
  <si>
    <t>y D, Ignacio Paino</t>
  </si>
  <si>
    <t>Ignacio Paino y D</t>
  </si>
  <si>
    <t>r D. Josef María de Rivas el uso del distintivo que le señale ei Ge-.. r.eral en xefe , y el grado inmediato á D. Agimin-Sandoval, D. Josef Maestre , D. Ignacio Paino y D. Salvador Arsioiu Asimismo ha mandado que i la tropa que concurrió á es­ ta acción se la gratifique según lo tenga por conveniente el propio Capitán general…</t>
  </si>
  <si>
    <t>y D, Isidoro Mir</t>
  </si>
  <si>
    <t>Isidoro Mir y D</t>
  </si>
  <si>
    <t>. — A D. Martin de Garay. El capitán general del exército de Extremadura ha remitido el oficio , que á la letra dice asi: *£xcmo, br. — Los capitanes D. Isidoro Mir y D. Ventura</t>
  </si>
  <si>
    <t>y D, Jcsef Rubíes</t>
  </si>
  <si>
    <t>Jcsef Rubíes y D</t>
  </si>
  <si>
    <t>de se hallaban ar­ restados , de orden de la Junta Superior de este Principado, el Oidor de la Audiencia de Barcelona D. Manuel Epifanio Fortuny, coi D. Jcsef Rubíes y D. Josef Casals , ámbos veci­ nos de Ba!agu?r ; mataron á los dos primeros, y por la no­ che asesiüaroa igualmente á la mnger del mismo Oidor Fortuny , á un hi…</t>
  </si>
  <si>
    <t>y D, Jesef Prieto</t>
  </si>
  <si>
    <t>Jesef Prieto y D</t>
  </si>
  <si>
    <t>iente Coronel D. Josef Paredes : el Brigadier D. Ma­ nuel Zippiuo , Comandante general fl^l cuerpo de Ingenieros, los Tenientes Coroneles del .mismo- D. Jesef Prieto y D. Lu is B&amp;Ianzat manifestaron su valor , actividad y conocimien­ tos , aquellos, recorriendo las bateiías , y dando las órdenes convenientes, y estos, desempe…</t>
  </si>
  <si>
    <t>y D, Joaquín</t>
  </si>
  <si>
    <t>Joaquín y D</t>
  </si>
  <si>
    <t>tropelías con curas y alcaldes. A la misma hora llegaba otra á la villa dé Ansó , á la que sus habitan­ tes ya preparados , al mando de los oficiales D. Joaquín y D. Fermín Ornar, y el comandante D. Juan Blas Gastón, sa­ lieron á recibir y acabaron con ella , sin que ninguno esca­ pase para dar noticia, trasladándose en segui…</t>
  </si>
  <si>
    <t>calles de dicha villa con un valor y entusiasmo indecible, digno del mayor elogio, al mando de su comandante D. Juan Blas Gastón, y los subtenientes D. Joaquín y D. Fermín Ornat, cuyas casas fueron saqueadas y quemadas por los enemigos ^robándoles sus ganados y" dexándolos sin el menor recurso.' Entre 6' y y de la madrugada d…</t>
  </si>
  <si>
    <t>y D, Joaquín Camaño</t>
  </si>
  <si>
    <t>Joaquín Camaño y D</t>
  </si>
  <si>
    <t>coronel D. Ambrosio Laquadra, comandante del batallón i.° de Cataluña; al coronel D. José García Órozco , comandante del 2.0 batallón de Cataluña; á D. Joaquín Camaño y D. José Miranda, teniente coronel del real cuerpo de Artillería, y capitán con grado de teniente coronel del tiiisnio : i los ayudantes genera­ les el tenient…</t>
  </si>
  <si>
    <t>y D, Joaquín Oms</t>
  </si>
  <si>
    <t>Joaquín Oms y D</t>
  </si>
  <si>
    <t>de Negocios por lo mismo creo tendréis mucha satisfac­ extrangeros á D. Antonio Porlier gefe de ción en saber que el Emperador ha hecho división ; á D. Joaquín Oms y D. Manuel los mayores y mas honoríficos elogios de la de Alonso oficiales primeros; á D. Anto­ conducta que he guardado en circunstan­ nio Xa reño y D. Eduardo S…</t>
  </si>
  <si>
    <t>y D, Joaquín Onjs</t>
  </si>
  <si>
    <t>Joaquín Onjs y D</t>
  </si>
  <si>
    <t>cio Hermosilla. Por decreto de 6 de setiembre ha nombrado D. José en el ministerio de negocios extrangeros á D. Antonio Porlier xefe de división ; á D. Joaquín Onjs y D. Manuel de Alonso oficiales pri­ meros ; á D. Antonio Xareno y D. Eduardo Santiago Palomares oficiales segundos ; y por Archivero k D. Francisco Hurtado de Me…</t>
  </si>
  <si>
    <t>y D, Joaquín Ramón de Sarraga</t>
  </si>
  <si>
    <t>Joaquín Ramón de Sarraga y D</t>
  </si>
  <si>
    <t>desma. D. Francisco de Tapia y D. Francisco Antonio Quintana. Diputación de Villalon. D. Bonifacio Muñoz y D. Ensebio López. Diputación de Santander. D. Joaquín Ramón de Sarraga y D. Pedro de Hacha. Diputación de Medina de Ríoseco. D. Santiago Martínez Alonso; D. Luciano de Salcedo y D. Vicente Soto y Pastor. Diputación de Sa…</t>
  </si>
  <si>
    <t>y D, José Barrera</t>
  </si>
  <si>
    <t>José Barrera y D</t>
  </si>
  <si>
    <t>ea;'de D. Bernando Casamayor y •D. José Muntaner, para comisarios de guerra de primera cla«e; y de D. Gerónimo Miro, D. José Pazos, D. Antonio Bodoy, D. José Barrera y D. Joaquín Frías, para comisarios de guerra de segunda clase. En la del iy se concede á D. Juan Basil una plaza de capitán de caballería del regimiento núm. x.…</t>
  </si>
  <si>
    <t>y D, José Chueca y Mezquita</t>
  </si>
  <si>
    <t>José Chueca y Mezquita y D</t>
  </si>
  <si>
    <t>al con todos los horribles atributos de la tiranía ; mas para ocupar la pla­ za de jueces en este monumento de esclavitud , ha tenido que es­ coger á D. José Chueca y Mezquita y D. Severo Lorbés, dos</t>
  </si>
  <si>
    <t>y D, José María Carnerero</t>
  </si>
  <si>
    <t>José María Carnerero y D</t>
  </si>
  <si>
    <t>Albaytua , D. Luis Bellocq y D. Pedro Isla , oficiales pri­ meros ; á D. Fausto Foronda, D. Santiago Torres, D. Joaquín Cifuentes, D. Antonio Tejada, D. José María Carnerero y D. Ma­ nuel.García Suelto oficiales segundos ; y á D. José Antonio Con­ de archivero y ■bibliotecario. Por decreto del citado dia ha nombrado en el min…</t>
  </si>
  <si>
    <t>y D, José Perez de Nueros</t>
  </si>
  <si>
    <t>José Perez de Nueros y D</t>
  </si>
  <si>
    <t>osto S. M. (losé) ha nombrado (2) á D. Rafael Tenorio, D. Domingo Vengoa y D. Gregorio del Castillo xefes de división en el ministerio de- guerra ; á D. José Perez de Nueros y D. Camilo Arroyo ofi­ ciales primeros del mismo ministerio ; á D. Francisco Xavier Cornago archivero del propio ministerio; y por oficiales segundos ¿ …</t>
  </si>
  <si>
    <t>y D, José Ramón de Huertas</t>
  </si>
  <si>
    <t>José Ramón de Huertas y D</t>
  </si>
  <si>
    <t>liotecario. Por decreto del citado dia ha nombrado en el ministerio de justicia á D. Alonso Tovar y Ximenez y D. Antonio Benito xefes de división ; á D. José Ramón de Huertas y D.. Manuel Jáuregui oficiales ¿primeros ; á D. Juan Pereyra , D. Ildefonso Figneroa y Lope? , D. Tomás Rodríguez Buron y D..Agustín Duro oficiales seg…</t>
  </si>
  <si>
    <t>y D, Josef de Hueros</t>
  </si>
  <si>
    <t>Josef de Hueros y D</t>
  </si>
  <si>
    <t>'cngoa y.' tua, D* Luis Bellocq y D. Pedro Isla,: ofi­ JD. Gregorio del Castillo, ó á los oficiales-ciales primeros; á D. Fausto Foronda,Don primeros D. Josef de Hueros y D. Camilo Santiago. Torres, D» t Joaquín Cituentes,; Arroyo , según el asunto de que se trate. D. Antonio Tejada, D. Josef Marta £ar,-r: El gefe de división…</t>
  </si>
  <si>
    <t>y D, Josef Pando</t>
  </si>
  <si>
    <t>Josef Pando y D</t>
  </si>
  <si>
    <t>ro de Hacha. Diputación de Medina de Ríoseco. D. Santiago Martínez Alonso; D. Luciano de Salcedo y D. Vicente Soto y Pastor. Diputación de Salamanca. D. Josef Pando y D, Juan de Peñalosa, ciudad. D. Cosme de Trespalacios y D. Francisco Alonso y Moral, comercio. D. Antonio Roldan; D. Lorenzo Piñuela; D. Juan Ignacio Perez,y D.…</t>
  </si>
  <si>
    <t>y D, Josef Perez Caballero</t>
  </si>
  <si>
    <t>Josef Perez Caballero y D</t>
  </si>
  <si>
    <t>an de los pleitos pendientes en el consejo Real , con arreglo al decreto de 6 del corriente, nombramos jueces de las juntas que establecimos por él á D. Josef Perez Caballero y D. Pedro Flores Quevedo, del consejo de Hacienda; D. Gaspar Lerin de Bracamonte y D. Carlos Simón Pontero, del consejo de las Ordenes; D. Andrés Romer…</t>
  </si>
  <si>
    <t>y D, Josef Perez de Nueros</t>
  </si>
  <si>
    <t>Josef Perez de Nueros y D</t>
  </si>
  <si>
    <t>ingó Vengóa” y"D. Gregorio del-Castillo tado lo siguiente*. gefes de división en el ministerio de Guer­ articulo i. La fórmula de la oracíofi ; ra; á D. Josef Perez de Nueros y D. Ca­ siguiente será recitada al fin de los oficio* milo Arroyo oficiales"p^iS*eros delr mismo divinos en todas las iglesias católicas de los ministe…</t>
  </si>
  <si>
    <t>y D, Josef Ramón Fernandez</t>
  </si>
  <si>
    <t>Josef Ramón Fernandez y D</t>
  </si>
  <si>
    <t>lleros semi­ los auxilios que debían disfrutar los que en narista mayor D. Josef Martines: gefes de tales reformas pudieran no tener cabida para Bala D. Josef Ramón Fernandez y D. Ma­ su correspondiente Colocación. nuel Abbad: ge fes de trozo D. Pablo Unda Y eri rales circunstancias ; qué debe ha­ D. Bonifacio Ol ivencia: sem…</t>
  </si>
  <si>
    <t>y D, Josef Sacrista</t>
  </si>
  <si>
    <t>Josef Sacrista y D</t>
  </si>
  <si>
    <t>a ciudad de Valladolid son Por la Chancillería D. Manuel Cambronero y D. Diego Cosío. Por el Cabildo D. Benito Semprun, D. Josef Gómez de Villavedon, D. Josef Sacrista* y D. Tomas Moyano. Por la Ciudad D. Vicente Martin Gómez, D. Cayetano Alonso , D. Mariano Santatíder, D. Simón Durango, D. Francisco Berzosa y D. Tomas Rodríg…</t>
  </si>
  <si>
    <t>y D, Juan Abad de Barniatua</t>
  </si>
  <si>
    <t>Juan Abad de Barniatua y D</t>
  </si>
  <si>
    <t>nía de D. Gabriel de Tragón las casas y heredades siguientes: Seis heredades en términos de la villa de Guevara pertenecientes á las pías memorias de D. Juan Abad de Barniatua y D. Lucas Ruiz de Hguia, reguladas al contado 4175 rs., y al fiado 6262 y medio: tres dichas en los mismos términos pertenecientes á la cofradía del R…</t>
  </si>
  <si>
    <t>y D, Juan Antonio Melón</t>
  </si>
  <si>
    <t>Juan Antonio Melón y D</t>
  </si>
  <si>
    <t>232 do en el ministerio de hacienda á B. Juan Bautista Destouel, D. Francisco Laborda y Perez , D. Francisco Perez del Rivero, D. Juan Antonio Melón y D. Andrés Benito Quintana xefes de di­ visión; á D. Juan Joséfde Aspiróz, D. Cristóbal Fernandez'Cuesta, D. Serapio Saviñac , D. Juan Santa-María , D. Josef Antonio Ibarrela., …</t>
  </si>
  <si>
    <t>y D, Juan Baez</t>
  </si>
  <si>
    <t>Juan Baez y D</t>
  </si>
  <si>
    <t>Aniago 0. Juan Antonio Martin y D. P¿b!o Soto. - Por el monasterio de Prado Fr. Paulino Arganda y Fr. Ignacio García. Por el monasterio de Mas tenses D. Juan Baez y D. Tadeo Rodríguez. Por el convento de Franciscos Fr. Manuel Velasco y Fr. Andrés Nieto. Por el de S. Gregorio Fr. Manuel Turiz y Fr. Manuel Crespo. Por la Merced…</t>
  </si>
  <si>
    <t>y D, Juan Bautista Sauvinet</t>
  </si>
  <si>
    <t>Juan Bautista Sauvinet y D</t>
  </si>
  <si>
    <t>á D. Jo­ sé Julián Diez archivero. Por decreto de 31 del mismo ha nombrado en el ministerio secretaría de estado á D. José Fita xefe de división ; k D. Juan Bautista Sauvinet y D. Juan Agustín Ezterripa oficiales primeros, y á D. Francisco Zegers oficial segundo. Por otro decreto de 1:° de setiembre S. M. D. José ha nombra­ d…</t>
  </si>
  <si>
    <t>y D, Juan Burand</t>
  </si>
  <si>
    <t>Juan Burand y D</t>
  </si>
  <si>
    <t>Fernandez'Cuesta, D. Serapio Saviñac , D. Juan Santa-María , D. Josef Antonio Ibarrela., D. Vicente Perez de Hervás, D. Manuel Celestino Carirasco., D. Juan Burand y D. Juan Teran oficiales primeros ; á ©. Mateo Bravo y Lomas, D. Antonio Leiral , D. Carlos Reboul, ©. Francisco Guilmó , D. Benito Navarro, D. Francisco Larregui…</t>
  </si>
  <si>
    <t>y D, Juan de Molina</t>
  </si>
  <si>
    <t>Juan de Molina y D</t>
  </si>
  <si>
    <t>o de Reyna , segundo comandan­ te de la misma división.” “ En este acto se detuvo Vigodet, y dispuso que los coman­ dantes de artillería é ingenieros D. Juan de Molina y D. Eusebio Ruiz, el capitán de zapadores D. Antonio Remon del Valle, y el sargento mayor de infantería de Guadix D. Antonio Falces, reuniesen varias partidas…</t>
  </si>
  <si>
    <t>y D, Juan Donoso</t>
  </si>
  <si>
    <t>Juan Donoso y D</t>
  </si>
  <si>
    <t>tepita , el primero mayor de brigada: á ios capitanes D. Pedro Aguado y D. Diego Tolosa; y á los subtenienfes D. Valentín Ampudia , D. Miguel Ugarte, D. Juan Donoso y D. Jo­ sé María Ampudia, todos del real cuerpo de Ingenieros. A los ayudan­ tes generales D. Estanislao Sánchez Salvador , teniente coronel del regi­ miento de …</t>
  </si>
  <si>
    <t>y D, Juan Durand</t>
  </si>
  <si>
    <t>Juan Durand y D</t>
  </si>
  <si>
    <t>nio Ibarrola , D. Vicente Pe­ mando de infantería y-caballería, su ves­ rez de Hervás, D. Manuel Celestino'Car­ tuario , armamento y montnra. rasco , D. Juan Durand y D. Juan Teran oficiales primeros ; á JD. Mateo Bravo y Lomas, JD. Antonio Leiral, O. Cirios Re- Reflexiones sobre los decretos de 18 de boul, JD. Francisco Guil…</t>
  </si>
  <si>
    <t>y D, Juan Josef Recacho</t>
  </si>
  <si>
    <t>Juan Josef Recacho y D</t>
  </si>
  <si>
    <t>an 6| nigos.......................... .................. . 30*000* Id. de una subscripción que abrie­ ron en dicha Ciudad lós OydoGufídfilaxara.. res D. Juan Josef Recacho y D. Juan Nepomuceno Hernán­ Idez de Alva, según lista circuns­ tanciada que ha remitido su re­ caudador D. Juan Manuel Ca­ ballero...................... .…</t>
  </si>
  <si>
    <t>y D, Juan Nodler</t>
  </si>
  <si>
    <t>Juan Nodler y D</t>
  </si>
  <si>
    <t>1809.” Por otro decreto de 5 del corriente se ha servida S. M. nombrar capitanes de ca­ ESPAÑA. ballería de línea á los tenientes de la mis­ ma arma D. Juan Nodler y D. Pedro Vi­ Madrid &lt;S" de diciembre. cente Dombideanx; y al subteniente que En la noche del 29 al 30 de octubre fue del regimiento de caballería de Monteun cuer…</t>
  </si>
  <si>
    <t>y D, Juan Zorn</t>
  </si>
  <si>
    <t>Juan Zorn y D</t>
  </si>
  <si>
    <t>ardo. A los bia concebido el plan de esta magistratura, tenientes de inválidos de las compañías de y había ya preparado los elementos en la. Pamplona D. Juan Zorn y D. Nicolás Peconsulta de Estado.:.Hoi día_&lt; ha ..querido tit; á los tenientes agregados á la de la mis­ darle mayor importancia, y rodearla, de ma clase de Fuenre…</t>
  </si>
  <si>
    <t>y D, Julián Cid</t>
  </si>
  <si>
    <t>Julián Cid y D</t>
  </si>
  <si>
    <t>sta providencia y y dé orden para qjae se; inserte en el diario y semanario patriótico de esta ciudad. Lo mandaron los se* ñores Q. Joaquín Sistemes, D. Julián Cid y D. Froylan Araujo. Sevilla 27 de noviembre. Con fecha de 18 del corriente partici­ pó á S. M. el general en xefe del exército de la Mancha D. Juan Carlos de Arei…</t>
  </si>
  <si>
    <t>y D, Laureano Jado</t>
  </si>
  <si>
    <t>Laureano Jado y D</t>
  </si>
  <si>
    <t>sultan vacantes en la sala de Corte nombra­ mos á D. Diego Cosío, fiscal de la chancillería de Valladolid, á D. Fran­ cisco Remon, D. Manuel Saravia, D. Laureano Jado y D. Domingo Ri­ co Villa de Moros, abogados del colegio de la corte; y para la fiscalía de Valladolid, que resulta también vacante, á D. Domingo Agüero y Leira…</t>
  </si>
  <si>
    <t>y D, Lucas Blazquez</t>
  </si>
  <si>
    <t>Lucas Blazquez y D</t>
  </si>
  <si>
    <t>D. Francisco Aparkiogr Lie;i). íraacisco Saldias, r ^ 7 4 Porsu,empU} '...i'. ‘l:' '' D. Josef Antonio Huemes. ^ &gt; , f&gt; .. ; , . J Por rentas reales D. Lucas Blazquez y D. León de Ja Riva. . P°r stt empleo D. Valentín González, administrador de rentas reales. f Por las maestros ¿c obras Bernardino García. Por ¡os carpinteros …</t>
  </si>
  <si>
    <t>y D, Luciano de Salcedo</t>
  </si>
  <si>
    <t>Luciano de Salcedo y D</t>
  </si>
  <si>
    <t>nsebio López. Diputación de Santander. D. Joaquín Ramón de Sarraga y D. Pedro de Hacha. Diputación de Medina de Ríoseco. D. Santiago Martínez Alonso; D. Luciano de Salcedo y D. Vicente Soto y Pastor. Diputación de Salamanca. D. Josef Pando y D, Juan de Peñalosa, ciudad. D. Cosme de Trespalacios y D. Francisco Alonso y Moral, …</t>
  </si>
  <si>
    <t>y D, Luis Bellocq</t>
  </si>
  <si>
    <t>Luis Bellocq y D</t>
  </si>
  <si>
    <t>do en el ministerio délo interior k D. José María Lauz , D. Francisco Antonio Zea y D. Cnstoval Cladera xefes de división ; á D. Joa­ quín Albaytua , D. Luis Bellocq y D. Pedro Isla , oficiales pri­ meros ; á D. Fausto Foronda, D. Santiago Torres, D. Joaquín Cifuentes, D. Antonio Tejada, D. José María Carnerero y D. Ma­ nuel.…</t>
  </si>
  <si>
    <t>y D, Luis Lmy</t>
  </si>
  <si>
    <t>Luis Lmy y D</t>
  </si>
  <si>
    <t>endo te oído la moderación de ocultar este pro­ pio mérito.” E n su conSeqti*ncia se ha dignado S. TV?, promoverá Bigadreresde les Reales exército* á D. Luis Lmy y D. Ramón Aeiz de Zuz? ;ha jorLrido el grado tomedísto á . Jua» che O azibal , D. . fuanf F aochco Ortiz , D* Actor id de Vs D. Antonio Manso, y X&gt;. Pdio LamptrcZ, …</t>
  </si>
  <si>
    <t>y D, Macduff</t>
  </si>
  <si>
    <t>Macduff y D</t>
  </si>
  <si>
    <t>ante consideración estando al ¿reate de nuestras tropas en lo mas fuer­ te del ataque, y animándolas con su exemploy bizarría: á los coro­ neles Lord vizconde Macduff y D. Felipe Rochel, que han. manifesta­ do un valor extraordinario en esta batalla, acudiendo á todos ios pun­ tos de la línea donde habla el mayor riesgo , y d…</t>
  </si>
  <si>
    <t>y D, Manuel Alvaro Benito</t>
  </si>
  <si>
    <t>Manuel Alvaro Benito y D</t>
  </si>
  <si>
    <t>i 68 D. j u lian Tomé , por hacendados ; D. Francisco del Valle Roldan, D. An­ tonio Maregil, D. Manuel Alvaro Benito y D. Miguel de Lázaro, canóni­ gos de la catedral; D. Carlos Mesa, por la fábrica de paños; D. Diego Pir catoste, por rentas reales; D. Felipe Ledesma, por el comercio. Prelados de las religion</t>
  </si>
  <si>
    <t>y D, Manuel Cambronera</t>
  </si>
  <si>
    <t>Manuel Cambronera y D</t>
  </si>
  <si>
    <t>gobierno intruso desde el 28 de octubre hasta el 5 de noviembre se anuncia de oficio, que los consejeros de estado del rey José, marques de Ba amar, D. Manuel Cambronera y D. Bernardo Iriarte, están encarga­ dos de examinar las solicitudes relativas á la conservación de títulos de grandeza y nobleza; y que han sido nombrados …</t>
  </si>
  <si>
    <t>y D, Manuel Cambronero</t>
  </si>
  <si>
    <t>Manuel Cambronero y D</t>
  </si>
  <si>
    <t>iputaciones de la ciudad de Valladolid, de León, de Avila, de Arévalo y de Aranjuez. Los diputados de la ciudad de Valladolid son Por la Chancillería D. Manuel Cambronero y D. Diego Cosío. Por el Cabildo D. Benito Semprun, D. Josef Gómez de Villavedon, D. Josef Sacrista* y D. Tomas Moyano. Por la Ciudad D. Vicente Martin Góme…</t>
  </si>
  <si>
    <t>y D, Manuel de Alcalá</t>
  </si>
  <si>
    <t>Manuel de Alcalá y D</t>
  </si>
  <si>
    <t>140 xandro de Hore , y ios capitanes D. Manuel de Alcalá y D, Miguel Coüingtí, ¡empleados -en infsecretaría.' Merece particular mención el regimiento de caballería del Rey, por la intrepidez conque atacó y destruyó una colima de infantería enemiga. S</t>
  </si>
  <si>
    <t>y D, Manuel Silvela</t>
  </si>
  <si>
    <t>Manuel Silvela y D</t>
  </si>
  <si>
    <t>en los suprimidos conse os; de D. Domingo Rico Villademoros para fiscal de estas mismas juntas ; de D. Andrés Alfonso Choya, D. Martin de Villaíaz , D. Manuel Silvela y D. Francisco Iturribarria , para alcaldes dé casa y córte ; de D. Juan Bautista Guitart, para juez de primera instancia en Madrid; del teniente del rey José, …</t>
  </si>
  <si>
    <t>y D, Manuel Urrutia</t>
  </si>
  <si>
    <t>Manuel Urrutia y D</t>
  </si>
  <si>
    <t>is­ co^ Mariano Lebrón, Di”. D. Bernardo Merino y Dr. D. Manuel Esperanza. ' Por rentas dirímale* D.‘ Francisco Paula Sánchez Roldan. Por el comercio D. Manuel Urrutia y D. Josef Calderón, Per su tribunal de montes D. ftlartin de Astoreca. ...... .. ? Por su empleo , Dr. D. Eugenio de Llano y Pfavia , cura de S. Pedro. e P&amp;rd…</t>
  </si>
  <si>
    <t>y D, Mariano Garrido</t>
  </si>
  <si>
    <t>Mariano Garrido y D</t>
  </si>
  <si>
    <t>lia nombrado en el ministerio de negocios eclesiásticos á D. Juan Ceaii Bermudez xefe de división; á D. Cipriano Salinero , D. Nicolás María Bremond, D. Mariano Garrido y D. Pedro Alfaro y Remon oficiales segundos; y á D. Jo­ sé Julián Diez archivero. Por decreto de 31 del mismo ha nombrado en el ministerio secretaría de esta…</t>
  </si>
  <si>
    <t>y D, Mariano Vera</t>
  </si>
  <si>
    <t>Mariano Vera y D</t>
  </si>
  <si>
    <t>acio Romaza de geo­ mino, D. Josef Ortega, D. Jorge Anto­ metría descriptiva, y D. Alexandro Blan­ nio Madero, D. Francisco de Guevara, co de dibuxo. D. Mariano Vera y D. Nicolás Vieites; art. iii. Quedan nombrada* profeso­ y pasantes de los mismos profesores D. Ma­ res de las escuelas públicas de primeras le­ nuel Solis, B. …</t>
  </si>
  <si>
    <t>y D, Mateo Sánchez</t>
  </si>
  <si>
    <t>Mateo Sánchez y D</t>
  </si>
  <si>
    <t>uz y Fr. Diego de S. Josefi Por los Franciscos descalzos Fr. Pedro de S. Francisco y Fr. Felipe de San Josef. Los de Aranjuez son D. Diego Domínguez, D. Mateo Sánchez y D. Antonio de la Cámara. La dipotacion de Valladolid arengó á S. M. en estos términos: „S:eíIor; La real chancillería , el noble ayuntamiento y el clero secul…</t>
  </si>
  <si>
    <t>y D, Matías de la Torre</t>
  </si>
  <si>
    <t>Matías de la Torre y D</t>
  </si>
  <si>
    <t>, D. Félix queda otro arbitrio sino forzar la indecisión, Palacios, D. Pedro Cendeja, D. Joaquín cerrar la puerta ’á todo vano efugio ó res­ de Osés, D. Matías de la Torre y D. Fran­ tricción de la cavilosidad, precisar á que cisco. Xavier Vidarte: y se han conducido todos declaren abiertamente su buena ó mala mui bien los ge…</t>
  </si>
  <si>
    <t>y D, Nicolás García de los Reyes</t>
  </si>
  <si>
    <t>Nicolás García de los Reyes y D</t>
  </si>
  <si>
    <t>mosiila xefe de división ; á D. José Montero , D. Simón del Castiiio, D. Cándido Revenga, D. Simón Fernandez Gallardo, D. Manuel María de Echevarría, D. Nicolás García de los Reyes y D. Julián de Mena oficiales segundos ; y por archivero á D. José Mauri­ cio Hermosilla. Por decreto de 6 de setiembre ha nombrado D. José en el …</t>
  </si>
  <si>
    <t>y D, Nicolás Herrera</t>
  </si>
  <si>
    <t>Nicolás Herrera y D</t>
  </si>
  <si>
    <t>, y que.desde su [instalación recibió .con el mayor placer el homeuage de stk reconocimiento por el, ministerio de los .Diputados delicio de la Plata D. Nicolás Herrera y D. Manuel B albas; quiere que se ha­ gan públicos á toda la Nación los brillantes rasgos de .gernerosidad * fidelidad y patriotismo que .distinguen á las Am…</t>
  </si>
  <si>
    <t>y D, Nicolás Trabal</t>
  </si>
  <si>
    <t>Nicolás Trabal y D</t>
  </si>
  <si>
    <t>ser elegidos para escarmentar de nuevo la osadía y orgullo de las tropas invencibles del Corso. Fueron electos para dicho fin D.Fran­ cisco Xicola , D. Nicolás Trabal y D. Francisco Turrúl, quedán­ dome yo con dos compañías para observar los movimientos y au­ xiliar en caso necesario. Nada de esto fué preciso , pues los nombr…</t>
  </si>
  <si>
    <t>y D, Pedro Aguado</t>
  </si>
  <si>
    <t>Pedro Aguado y D</t>
  </si>
  <si>
    <t>Ramón Calvet y D. José Faic, coroneles : á los tenientes coroneles D. José Velarde y D José Fuentepita , el primero mayor de brigada: á ios capitanes D. Pedro Aguado y D. Diego Tolosa; y á los subtenienfes D. Valentín Ampudia , D. Miguel Ugarte, D. Juan Donoso y D. Jo­ sé María Ampudia, todos del real cuerpo de Ingenieros. A …</t>
  </si>
  <si>
    <t>y D, Pedro Fernandez</t>
  </si>
  <si>
    <t>Pedro Fernandez y D</t>
  </si>
  <si>
    <t>ten­ go el honor de mandarlo , haciéndose por ello muy acreedor á las gra­ cias y distinciones del Gobierno $ pero con particularidad á los capitanes D. Pedro Fernandez y D. Victor' Cordero, al subteniente y ayudante in­ terino D. Bartolomé de Luna, y al teniente -de la compañía de Lanzeros D. Cirios García Tejada. Dios, &amp;c. …</t>
  </si>
  <si>
    <t>y D, Pedro Linares</t>
  </si>
  <si>
    <t>Pedro Linares y D</t>
  </si>
  <si>
    <t>at, comandante del 1.° de Barcelo­ na : á D. Manuel Herrero , í). Pedro Perez y D. Benito Salgado, coronel y tenientes del regimiento de la Corona; i D. Pedro Linares y D. José Carrion, coronel y teniente coronel del regimiento de infantería de línea de León : á D. Pablo Morillo , coronel del regimiento de la Union ; á D. An­…</t>
  </si>
  <si>
    <t>y D, Pedro Valero</t>
  </si>
  <si>
    <t>Pedro Valero y D</t>
  </si>
  <si>
    <t>ngenieros, y ai teniente coronel D. Antonio Cano, capitán pri­ mero del batallón ligero voluntarios de Navarra : á D. Antonio Palma, D. Martin Muñoz, D. Pedro Valero y D. Francisco Martin , sargento mayor, capitán 1.° , teniente y subteniente del batallón de tiradores de Ciudad-Rodrigo: á D. Rafael Cano, capitán del regimient…</t>
  </si>
  <si>
    <t>y D, Rafael Martino</t>
  </si>
  <si>
    <t>Rafael Martino y D</t>
  </si>
  <si>
    <t>de la compañía de ,,Queriendo establecer en Madrid la bol­ vélites de su real guardia D. Antonio Ciasa de comercio que determinamos por nues­ burri, D. Rafael Martino y D. Antonio tro real decreto de 14 de octubre último, Romano; y á los vélites D. Amadeo Juy contribuir al mismo tiempo al adorno de galdo, D. Josef Manzone, D.…</t>
  </si>
  <si>
    <t>y D, Ramón Perez</t>
  </si>
  <si>
    <t>Ramón Perez y D</t>
  </si>
  <si>
    <t>te del batallón nombrado de reserva da Aragón. Con el resto del pequeño exército , es á saber, tres columnas de infantería mandadas por los coroneles D. Ramón Perez y D. Luis Andriani, y ei teniente coronel D. Manuel Carboiz , la caballería por el brigadier D. Miguel Ibarrola, y el tren de artillería por su comandante general…</t>
  </si>
  <si>
    <t>y D, Santiago Felipe Barrundos</t>
  </si>
  <si>
    <t>Santiago Felipe Barrundos y D</t>
  </si>
  <si>
    <t>Manuel Bernardo Roldan; D. Julián Gon­ zález Saez; D. Gil Antonio Laguna; D. Diego María Gallar; D. Francisco Ruano Santos; D. Joan Manuel Martínez;. D. Santiago Felipe Barrundos y D. Félix Lorenzo Sanz. Comunidades. R. P. Fr. Domingo Coronado y Fr. Josef Sánchez , dominicos; P. Fr. Francisco Gómez Barriieno y Pedro Antonio S…</t>
  </si>
  <si>
    <t>y D, Santiago Romero</t>
  </si>
  <si>
    <t>Santiago Romero y D</t>
  </si>
  <si>
    <t>nde de Melito,'el egoiímo de algunos Individuos no pueda, conde de S. Anastasio, D. Manuel Sixto para defender sus intereses , arrastrar pneEspinosa, D. Santiago Romero y D. Blas de blcs enteros á su antojo ; aquel, en que no Aranza; no habiendo asistido otros indivi­ pueda ya exáltar las pasiones mas genero­ duos del antiguo…</t>
  </si>
  <si>
    <t>y D, Sevérino Rie-zu</t>
  </si>
  <si>
    <t>Sevérino Rie-zu y D</t>
  </si>
  <si>
    <t>Reboul, ©. Francisco Guilmó , D. Benito Navarro, D. Francisco Larregui , D. Andrés Piñuela , D. Víctor Moreno, D. Juan Ribera, D. Francisco González, D. Sevérino Rie-zu y D. Eusébio Heros oficiales segundos ; á D. Juan Esteban Tricio archivero ; y á ¡B. Francisco Borda visitador general de hacienda con grado y sueldo de xefe.…</t>
  </si>
  <si>
    <t>y D, Tomas de Casanova</t>
  </si>
  <si>
    <t>Tomas de Casanova y D</t>
  </si>
  <si>
    <t>erin de Bracamonte y D. Carlos Simón Pontero, del consejo de las Ordenes; D. Andrés Romero Valdés, D. Diego Gil Fernandez, D. Luis Marcelino Pereira, D. Tomas de Casanova y D. Martin Leonés, alcaldes de Casa y Corte; y á D. Josef Ignacio Joven de Salas, abogado del colegio de ella; y por fiscal de dicha junta á D. Juan Melend…</t>
  </si>
  <si>
    <t>y D, Tomás Rodríguez Buron</t>
  </si>
  <si>
    <t>Tomás Rodríguez Buron y D</t>
  </si>
  <si>
    <t>Benito xefes de división ; á D. José Ramón de Huertas y D.. Manuel Jáuregui oficiales ¿primeros ; á D. Juan Pereyra , D. Ildefonso Figneroa y Lope? , D. Tomás Rodríguez Buron y D..Agustín Duro oficiales segundes ; y k D. Francisco Orozco archivero y bibliotecario. Por decreto del expresada dia 6 del corriente ka nombra-</t>
  </si>
  <si>
    <t>y D, Vicente Mercedes</t>
  </si>
  <si>
    <t>Vicente Mercedes y D</t>
  </si>
  <si>
    <t>roios hechos señal ados, por que to­ dos se portaron á qual mejor.0 „ A mi me mataron los dos comandantes que mandá­ banlos dos trozos do caballería, D. Vicente Mercedes y D. Antonio dfe Sota, un ayudante y tres soldados , y me hi­ rieron 45 hombres ; pero del enemigo quedaron muertos en el campo de batalla mas de 300 entre o…</t>
  </si>
  <si>
    <t>y D, Ximen Lihori</t>
  </si>
  <si>
    <t>Ximen Lihori y D</t>
  </si>
  <si>
    <t>sorprehender la batería y querer apo­ derarse de ella. El teniente coronel D. Miguel Santillana, capitán de in­ genieros, y mis dos ayudantes decampo D. Ximen Lihori y D. Antonio Gil, han llenado sus respectivos servicios á mi satisfacción, contribuyendo albuea éxito de la empresa. Dios., &amp;c. (Se concluirá), * Sevilla 24 de S…</t>
  </si>
  <si>
    <t>y D-JosefíCaravaño, Antóñio de Riaza</t>
  </si>
  <si>
    <t>Antóñio de Riaza y D-JosefíCaravaño</t>
  </si>
  <si>
    <t>P&amp;rda santa iglesia * Dr. D. Antonio Gómez de la Lastra. ■'’ - . 'Por su empleo Dr. D. Nicolás-Antonio*Heredero, '' :;i¿ -srí‘ ‘ Pét la vicaría . .. D. Antóñio’de Riaza y D-JosefíCaravaño. . ! ' ' ■ i* ^ ¿Por dos &gt;bot*farios' D. Francisco Garrido. ‘ Por las comunidades' * f-’ Fr. Tomas de S.; Fulgencio, prior de agustinos rec…</t>
  </si>
  <si>
    <t>y Darrac, Francisco de Layglesia</t>
  </si>
  <si>
    <t>Francisco de Layglesia y Darrac</t>
  </si>
  <si>
    <t>mas modernas observaciones y descubrimientos. Se vende en la misma, libre;ía á 6 rs. Canción guerrera del soldado español en el campo de batalla. Por D. Francisco de Layglesia y Darrac. Se hallará en la librería de Hidalgo á real ; y puesta en música análoga á la composi­ ción por D. J. C. Asensio , á 6 reales. En él mes de d…</t>
  </si>
  <si>
    <t>y Darracq, Francisco de Layglesia</t>
  </si>
  <si>
    <t>Francisco de Layglesia y Darracq</t>
  </si>
  <si>
    <t>rta guerrilla se han portado con un valor superior al de Marte.” Oda k Tos ex^rcitos español é ingles, vencedores de los fran­ ceses en Talayera. Por D. Francisco de Layglesia y Darracq. Hállase-en la librería de Hidalgo , calle de Genova. Los Cantos del Trovador á nuestro amado soberano D.Fernan­ do Vil. Por el mismo autor :…</t>
  </si>
  <si>
    <t>y Don, Beltran Galdes</t>
  </si>
  <si>
    <t>Beltran Galdes y Don</t>
  </si>
  <si>
    <t>D. Bar­ ,, Los disturbios y desavenencias entre los tolomé Deañino, D. Josef Palomino, Don vocales de la junta son todavía mas escan­ Manuel Litran , D. Beltran Galdes y Don dalosos. El espíritu de facción hace que se Manuel Linzuain. En caballería de línea miren unos á otros como enemigos, y que para comandante de esquadron …</t>
  </si>
  <si>
    <t>y Don, César Lebrand</t>
  </si>
  <si>
    <t>César Lebrand y Don</t>
  </si>
  <si>
    <t>Hen- san de sembrar-cizaña ; y arrimándose á al­ sique Víctor, D. Josef Cabanellas, D. To­ guno de los partidos de la junta , se esfuer­ mas Monroi, D. César Lebrand y Don zan á desacreditar el de sos contrarios para francisco Lors. derribarlos y entronizarse en su lugar. Esto ocasiona diferentes bandos y parcialidades La sig…</t>
  </si>
  <si>
    <t>y Don, Juan Casamayor</t>
  </si>
  <si>
    <t>Juan Casamayor y Don</t>
  </si>
  <si>
    <t>stera; valiente , pues por la desconfianza ninguno para tenientes á D. Juan Sánchez , D. Nar­ se atreve á decir francamente su sentir al ciso García, D. Juan Casamayor y Don vecino., Jaime Gailt; y para subtenientes á D. Bar­ ,, Los disturbios y desavenencias entre los tolomé Deañino, D. Josef Palomino, Don vocales de la junt…</t>
  </si>
  <si>
    <t>y Dr, Bernardo Merino</t>
  </si>
  <si>
    <t>Bernardo Merino y Dr</t>
  </si>
  <si>
    <t>z, teniente vicario eclesiástico. Por la universidad Dr. D. Manuel Carralero, rector de la real universidad, Dr. D. Francis­ co^ Mariano Lebrón, Di”. D. Bernardo Merino y Dr. D. Manuel Esperanza. ' Por rentas dirímale* D.‘ Francisco Paula Sánchez Roldan. Por el comercio D. Manuel Urrutia y D. Josef Calderón, Per su tribunal d…</t>
  </si>
  <si>
    <t>y ESPAÑA, Alonso Tovar</t>
  </si>
  <si>
    <t>Alonso Tovar y ESPAÑA</t>
  </si>
  <si>
    <t>problemas de geo­ fes de división D. Alonso Tovar y Ximemetría trascendental que se le propu­ nez , y D. Antonio Benito. sieron. El gefe de división D. Alonso Tovar y ESPAÑA. Ximenez tiene á su cargo la conservación de todos los reales decretos; cuida de su Madrid, 14 de setiembre. impresión , y de remitirlos á los demas mi— …</t>
  </si>
  <si>
    <t>y Euiate, Joaquín Murua</t>
  </si>
  <si>
    <t>Joaquín Murua y Euiate</t>
  </si>
  <si>
    <t>Vicente ¡Ma­ ría A guiar , abad de S. Simón de Cacheiras : para la canongia vacante en la misma iglesia por fallecimienta de D. Santiago Va­ quero, á D. Joaquín Murua y Euiate , inquisidor en Sevilla : y pa­ ra otra que vacó en dicha iglesia por muerte de D. Manuel Co­ llazo Malvar , k D. Alonso San Martin , racionero de la m…</t>
  </si>
  <si>
    <t>y Gali, Josef CoSta</t>
  </si>
  <si>
    <t>Josef CoSta y Gali</t>
  </si>
  <si>
    <t>PACHO GENERAL de la Junta Suprema Gubernativa del Reyno. SEÑORES OFICIALES. i. rtdi* • ^ 3. D. Pasqual Genaro Rodenas. 4. D¿ Pío Agustin de lenda» 5. D. Josef CoSta y Gali. 6. D. Josef Víctor Cevallos. Por auto de 19 de Octubre de i8©8 se manda citar y em­ plazar á qualquier acreedor que se conceptúe con derecho á con­ tradec…</t>
  </si>
  <si>
    <t>y Galindo, Josef Marquina</t>
  </si>
  <si>
    <t>Josef Marquina y Galindo</t>
  </si>
  <si>
    <t>de Nígrete, dé los Marqueses de Casa-calvo, de Vendaya , de Casa Palacios , y de Monte hermoso , de D¿ Manuel Romero , de D. Pablo de Ar ribas , de' D. Josef Marquina y Galindo , del Marqués de San Adrián, de D. Tomás de Moría , de D. Manuel Sixt o Espinosa, de D.Luis Marcelino Péreyra, de D* Juan Llórente, de D, Pidro de Est…</t>
  </si>
  <si>
    <t>y García, Juan Josef de Land</t>
  </si>
  <si>
    <t>Juan Josef de Land y García</t>
  </si>
  <si>
    <t>r. Manuel "Herreros. ■ ■ &lt;'■■■ * • ■ fTr*:j v , ; r-rl por -él estado noble * D. Vicbnte Muíiarriz. •* * l\'~ • - v , , . ' ■ ' «• Por los labradores D. Juan Josef de Land* y García, D. Andrés Raboso y D. Francisco Reció. •"•••’*; * v-: -;-f; r - - : • .. ^ .... Por la contaduría de rentas decimales D. Miguel Saifz; *'■■■'"■ ■</t>
  </si>
  <si>
    <t>y Gonzalez, Luis de Oni</t>
  </si>
  <si>
    <t>Luis de Oni y Gonzalez</t>
  </si>
  <si>
    <t>esitándose para este’ efecto emplear una persona de en­ tera confianza , ; conocido mérito , y distinguido patriotismo, se ha servido S. M. nombrar á D. Luis de Oni&amp; y Gonzalez^ dfictal mayor mas antiguo de la primera Secretaría de Estado, en quien concurren todas las referidas apre^ciables" circuh'stáncias, para que con él c…</t>
  </si>
  <si>
    <t>y González, Luis de Onis</t>
  </si>
  <si>
    <t>Luis de Onis y González</t>
  </si>
  <si>
    <t>ntral y Gubernativa de ios Reynós de España é Indias, conferir el Ministerio de esta cor­ te cerca del írobierno de Iosí Estados-Unidos de .América á D. Luis de Onis y González, Secretario interino que era de la Real y Distin­ guida Orden Española de Carlos III.; y no permitiéndolos estatutos de ella que su Secretaría esté se…</t>
  </si>
  <si>
    <t>y Hclstein, Pedio Soasa</t>
  </si>
  <si>
    <t>Pedio Soasa y Hclstein</t>
  </si>
  <si>
    <t>embates del Archiduque Joan en Iraíis; pero corrían noticias de que liatia conse­ guido algunas ventajas. S. A. R. ti Piírcrpe Regente la rcn.brzdo s D. Pedio Soasa y Hclstein , Enviado extraerdirario, y Mirútio pituifotcnciario cerca de -S.-M* Católica Ptieando Vil. J)e Galicia liemos recibido los siguientes documentos. Cart…</t>
  </si>
  <si>
    <t>y I, Julián Simón</t>
  </si>
  <si>
    <t>Julián Simón y I</t>
  </si>
  <si>
    <t>cando á V. E. les dispense las gracias á que son acree­ dores } pero con especialidad al sargento primero de húsares , á los capi­ tanes de mí cuerpo D. Julián- Simón y I). Francisco Bonal, al teniente D. Lorenzo Martin que salió herido, y al teniente D. Francisco Oriol, que sin experimentar lesión alguna, penetró per entre l…</t>
  </si>
  <si>
    <t>y Leira, Domingo Agüero</t>
  </si>
  <si>
    <t>Domingo Agüero y Leira</t>
  </si>
  <si>
    <t>Laureano Jado y D. Domingo Ri­ co Villa de Moros, abogados del colegio de la corte; y para la fiscalía de Valladolid, que resulta también vacante, á D. Domingo Agüero y Leira, con los sueldos señalados á estas plazas. Nuestro ministro interino de Justicia queda encargado de la execu­ cion del presente decreto. Dado en nuestro…</t>
  </si>
  <si>
    <t>y Llanes, Carlos</t>
  </si>
  <si>
    <t>Carlos y Llanes</t>
  </si>
  <si>
    <t>e Tinéo, y el regimiento de Candas y Luanco al mando del coronel del primero D. Guillermo Lusi, reforzase á Siejo ; y que los regimientos del Infante D. Carlos y Llanes al mando del brigadier Don Remigio Ohara, comandante de la segunda línea, viniese á ocupar el centro. Dadas, todas estas disposiciones , acompañado del tenien…</t>
  </si>
  <si>
    <t>y Lomas, Mateo de Mora</t>
  </si>
  <si>
    <t>Mateo de Mora y Lomas</t>
  </si>
  <si>
    <t>mera. —; D. Eusebio Bardaxi y Azara. — D. Evaris­ to Perez de Castro.— D. Tadeo Francisco Calomarde.— D. Cris­ tóbal de Góngora. — D. Jacobo Parga. — D. Mateo de Mora y Lomas. — Conde de Vaide Paraiso. — Marques de Orieco. — Duque de Abrantes. — Conde de Cervellon. — D. Mauricio Pa­ rada. — D. Ambrosio Chocano. — Conde de Cas…</t>
  </si>
  <si>
    <t>y Lope, Ildefonso Figneroa</t>
  </si>
  <si>
    <t>Ildefonso Figneroa y Lope</t>
  </si>
  <si>
    <t>so Tovar y Ximenez y D. Antonio Benito xefes de división ; á D. José Ramón de Huertas y D.. Manuel Jáuregui oficiales ¿primeros ; á D. Juan Pereyra , D. Ildefonso Figneroa y Lope? , D. Tomás Rodríguez Buron y D..Agustín Duro oficiales segundes ; y k D. Francisco Orozco archivero y bibliotecario. Por decreto del expresada dia …</t>
  </si>
  <si>
    <t>y Malvar, Manuel Acuña</t>
  </si>
  <si>
    <t>Manuel Acuña y Malvar</t>
  </si>
  <si>
    <t>se pasaron á nuestras banderas un polaco, un soldado de los juramentados que sirven al intruso rey, y un ingeniero francés. "Sevilla 11 de diciembre. D. Manuel Acuña y Malvar, canónigo y dignidad de Santiago, ha recurrido a la suprema Junta central demostrando la.série no interrumpida de sus servicios patrióticos durante nues…</t>
  </si>
  <si>
    <t>y Meló, Josef Sant'oval</t>
  </si>
  <si>
    <t>Josef Sant'oval y Meló</t>
  </si>
  <si>
    <t>a servido nombrar para la vara de Alcalde ma­ yor primero de la Ciudad de Granada , vacante por falleci­ miento de D. Francisco Velasco Ferrandiz , á D. Josef Sant'oval y Meló, Vocal Secretario de la Junta Provincial de di­ cha Ciudad. Igu .’mente se ha servido conceder Cruz pensionada de la Real Orden EspaSola de Cáxlos III,…</t>
  </si>
  <si>
    <t>y Melzi, Francisco Rebolledo de Palafox</t>
  </si>
  <si>
    <t>Francisco Rebolledo de Palafox y Melzi</t>
  </si>
  <si>
    <t>oíi, concede S. M. un escudo de distinción á cada uno de los que se hallaron en la citada empresa; y ha resuelto que se publique en la gazeta. El Sr. D. Francisco Rebolledo de Palafox y Melzi, vocal de la suprema Junta central por el reyno de Aragón , y mariscal de campo de los reales exércitos, deseando contribuir al bien de…</t>
  </si>
  <si>
    <t>y Milán, Napo de Mantua</t>
  </si>
  <si>
    <t>Napo de Mantua y Milán</t>
  </si>
  <si>
    <t>'wekr ó armamento en masa chiduque Juan por la Italia: se le suponia de sus habitantes. \ dueño de todo el estado de Venecia, del Es indudable que el Emperador Napo­ de Mantua y Milán. El nuevo Rei de Ña­ león principió las operaciones de la campa­ póles, anadian , se ha visto precisado á sa­ ña en Baviera , aun con menos de …</t>
  </si>
  <si>
    <t>y Moscoso, Pasqual Tenorio</t>
  </si>
  <si>
    <t>Pasqual Tenorio y Moscoso</t>
  </si>
  <si>
    <t>te á su cumplimiento.” Igualmente ha venido el Rey en conceder Cruz pensionada en la real Orden Española de Garlos III sobre los fondos de la Orden a D. Pasqual Tenorio y Moscoso. • Se han extraviado 2 5 vales reales de á 600 pesos , de la crea­ ción de setiembre, pertenécientés á D. Manuel de Mícheó, vecino y del comercio de…</t>
  </si>
  <si>
    <t>y Napoleón, Francisco</t>
  </si>
  <si>
    <t>Francisco y Napoleón</t>
  </si>
  <si>
    <t>libertad de la Europa. Los monitores hasta el 23 de setiembre nos dicen, que se ha des­ acreditado ya la voz de que iban á avistarse en Altemburgo el emperador Francisco y Napoleón: que la caballería de línea fran­ cesa. W principiado á salir de sus acantonamientos, moviéndose hacia la linea demarcada en el armisticio: que el…</t>
  </si>
  <si>
    <t>y Neyra, Domingo Agüero</t>
  </si>
  <si>
    <t>Domingo Agüero y Neyra</t>
  </si>
  <si>
    <t>za, alcalde de Y la del valle de Carranza el siguiente: la corte mayor del reino de Navarra •- para 7, Señor: La diputación del valle de la tercera á D. Domingo Agüero y Neyra, Carranza, en el AL N. y L. señorío de Viz­ fiscal del crimen de ia real chancillería de caya , al mismo tiempo que tiene la honra, Valladolid: para la…</t>
  </si>
  <si>
    <t>y Nieto, Manuel Ilubiano</t>
  </si>
  <si>
    <t>Manuel Ilubiano y Nieto</t>
  </si>
  <si>
    <t>y Ur.galde., Málaga. . . . ... .. . D. Juan Ximeno. Murcia........................ Señores Moreda y Ladalid'. Oviedo......................... Señores D. Manuel Ilubiano y Nieto.. Palma. . . . . . . D. Martin Mallol. Sevil. . D. José María Gómez. Sar^Ker. . Señores Vidal é hijo.. StajCriiz de Tenerife. D. Antonio García Camper…</t>
  </si>
  <si>
    <t>y Noldmanr, Mesko</t>
  </si>
  <si>
    <t>Mesko y Noldmanr</t>
  </si>
  <si>
    <t>. * El Teniente-Mariscal de Campo' Riller participa desde: S. Veit en&gt; 2 4 de abril que el 23 había atacado á la van­ guardia enemiga coir . el Máyor General Mesko y Noldmanr» y con los húsares de Kienmeyer y de Licchtenstein , y los; rayanos de Broody; y la había arrollado de manera quese retiró- hasta Stetten.. En la manana…</t>
  </si>
  <si>
    <t>y Nuñez, Teodoro Escovar</t>
  </si>
  <si>
    <t>Teodoro Escovar y Nuñez</t>
  </si>
  <si>
    <t>es. Librería de Caro. Tratado Me la-fiebre y sus principales diferencias. Obra que dexó escrita D. Juan García Carnero; ilustrada con notas, etc. por D. Teodoro Escovar y Nuñez. Dos tomos en 4.9 Se hallará en la librería de Caro á 40 rs. SEVILLA: EN LA IMPRENTA REAL.</t>
  </si>
  <si>
    <t>y O, Juan de Villa</t>
  </si>
  <si>
    <t>Juan de Villa y O</t>
  </si>
  <si>
    <t>ombramos también escriba­ pueden seguir medios uniformes para la no secretario de la n isma municipalidad Union de sus ideas. Ya es tiempo que á la i D. Juan de Villa y O.ier. obra hecha en diferentes siglos, y á peda­ ART. iv. Nutstro ministro de lo Xnte- zos, de orden y de materiales tan diversos, tlnr queda encargado de la…</t>
  </si>
  <si>
    <t>y Oque, Luzuriaga</t>
  </si>
  <si>
    <t>Luzuriaga y Oque</t>
  </si>
  <si>
    <t>lar, S. Román, al contado 1621 , y 2431 y medio al fiado de la pia memoria de Roque Erquiola: 11 hereda­ des en el de Chinchetria de la fundación del licenciado Luzuriaga y Oque— ruri, al contado 2617, y al fiado 3927 y medio: 3 casas en Eguino, Anua y barrio de Alangua de dicha villa de Salvatierra con sus huertas, 3 bordas …</t>
  </si>
  <si>
    <t>y Or, Juan Ronque</t>
  </si>
  <si>
    <t>Juan Ronque y Or</t>
  </si>
  <si>
    <t>Almagro den haber á las manos, y se consideran á D. Manuel Antonio Calvo ; y la de la distantes de los peligros de ia guerra , ar­ villa de Pozuelo á D. Juan Ronque y Or­ rancan con la mayor violencia al campo de tega . batalla al pobre labrador y al artesano in­ dustrioso para sacrificarlos á sus viles resen­ Las impostaras …</t>
  </si>
  <si>
    <t>y P, Ignacio Reyezo</t>
  </si>
  <si>
    <t>Ignacio Reyezo y P</t>
  </si>
  <si>
    <t>d D. Vicente Martin Gómez, D. Cayetano Alonso , D. Mariano Santatíder, D. Simón Durango, D. Francisco Berzosa y D. Tomas Rodríguez. Por S. Basilio P. D. Ignacio Reyezo y P. D. Luis Estevez. Por los Agustinos recoletos Fr. Leonardo García y Fr. Josef Veloso.</t>
  </si>
  <si>
    <t>y Padura, Josef de la Peña</t>
  </si>
  <si>
    <t>Josef de la Peña y Padura</t>
  </si>
  <si>
    <t>Francisco de Huerta, escribano, , Por su iglesia Dr. D. Josef García Sánchez, abad de la santa iglesia magistral, Dr. Don Manuel Padura, canónigo, y D. Josef de la Peña y Padura, ídem. • Por su empleo Drt,p. Serafín Domínguez, teniente vicario eclesiástico. Por la universidad Dr. D. Manuel Carralero, rector de la real univers…</t>
  </si>
  <si>
    <t>y Paez, Francisco Verdejo</t>
  </si>
  <si>
    <t>Francisco Verdejo y Paez</t>
  </si>
  <si>
    <t>del mismo real establecimiento D. Fulgen­ sante, ex-religioso escolapio, de retórica y cio Palet, ex-religioso de S."Cayetano, poética; D. Francisco Verdejo y Paez y de rudimentos de gramática latina; D. Ba­ D. Eugenio Roldan de aritmética, álgebra, silio Fernandez, ex-religioso escolapio, de geometría y principios de geograf…</t>
  </si>
  <si>
    <t>y Peñaredonda, Josef de Posadillo</t>
  </si>
  <si>
    <t>Josef de Posadillo y Peñaredonda</t>
  </si>
  <si>
    <t>rector de les Reales cortijos de Aranjuez..................................... ......................................... 4,000 El Comisario Ordenador D. Josef de Posadillo y Peñaredonda...................................................................................... '. 20,000 D. Pedro de Rayo de Agreda, Corredor de númer…</t>
  </si>
  <si>
    <t>y Pereyra, Joaquín de Mera</t>
  </si>
  <si>
    <t>Joaquín de Mera y Pereyra</t>
  </si>
  <si>
    <t>, ca­ pitán del regimiento de Viilavieiosa : al coronel D. Xavier Rivas'-, coman­ dante de esquadron del regimiento del Rey í á D. Manuel Rosales , á D. Joaquín de Mera y Pereyra , y á D. Juan Soto , capitanes y teniente* de las partidas de guerrilla. El comandante general de Artillería : al coronel D. Matías de Ferrar, y al …</t>
  </si>
  <si>
    <t>y Perez, Francisco Laborda</t>
  </si>
  <si>
    <t>Francisco Laborda y Perez</t>
  </si>
  <si>
    <t>ado en el minis­ El oficial primero D. Josef de Nñeros terio de Hacienda á D. Juan Bautista Hes- la custodia de leyes y decretos , lo relativo touet, D. Francisco Laborda y Perez , Don á los establecimientos de educación militar, Francisco Perez del llavero , D. Juan An­ y ios asuntos que no ^correspondan á divi—¡ tonio Melón…</t>
  </si>
  <si>
    <t>232 do en el ministerio de hacienda á B. Juan Bautista Destouel, D. Francisco Laborda y Perez , D. Francisco Perez del Rivero, D. Juan Antonio Melón y D. Andrés Benito Quintana xefes de di­ visión; á D. Juan Joséfde Aspiróz, D. Cristóbal Fernandez'Cuesta, D. Serapio Saviñac , D. Juan</t>
  </si>
  <si>
    <t>y Pfavia, Eugenio de Llano</t>
  </si>
  <si>
    <t>Eugenio de Llano y Pfavia</t>
  </si>
  <si>
    <t>hez Roldan. Por el comercio D. Manuel Urrutia y D. Josef Calderón, Per su tribunal de montes D. ftlartin de Astoreca. ...... .. ? Por su empleo , Dr. D. Eugenio de Llano y Pfavia , cura de S. Pedro. e P&amp;rda santa iglesia * Dr. D. Antonio Gómez de la Lastra. ■'’ - . 'Por su empleo Dr. D. Nicolás-Antonio*Heredero, '' :;i¿ -srí‘…</t>
  </si>
  <si>
    <t>y Político, Militar</t>
  </si>
  <si>
    <t>Militar y Político</t>
  </si>
  <si>
    <t>uiente con motiva de haber corrido la vea de que los franceses intentaban po­ ner uu sitio riguroso á esta plaza. = „ D. Miriano Al varea de Castro , Gobernador Militar y Político ictérico de est¿</t>
  </si>
  <si>
    <t>y Portillo, Nicolás del Portillo</t>
  </si>
  <si>
    <t>Nicolás del Portillo y Portillo</t>
  </si>
  <si>
    <t>............................................................................... 4,000 ' D. Antonio Saez de Antona, del comercio de esta ciudad. 4,000 D. Nicolás del Portillo y Portillo, Oficial mayor de la Real factoría de Utensilios de la tropa de Madrid. ...... 1,000 D. Juan Vicente Tinao, Corredor de número de esta ciu­ da…</t>
  </si>
  <si>
    <t>y Prado, Tomas de Sancha</t>
  </si>
  <si>
    <t>Tomas de Sancha y Prado</t>
  </si>
  <si>
    <t>oducto anual es 3960 rs., Por providencia del referido señor teniente, y es­ con respecto i ¿1 su valor al contado 87120, y ai cribanía del número de D. Tomas de Sancha y Prado, Í ado 130980. Otra en la misma calle, núms. 24 y 25, se kan mandado sacar á subasta por término de 15 días manz. 207, cuyo producto anual es 6622 rs.…</t>
  </si>
  <si>
    <t>y Quindos, José Quiroga</t>
  </si>
  <si>
    <t>José Quiroga y Quindos</t>
  </si>
  <si>
    <t>apitán del regimiento de Aragón : al brigadier conde de Friegue y á D. Benito Sierra', coronel y teniente de granaderos provin­ ciales dé Galicia : á D. José Quiroga y Quindos , y á D. Francisco Arme­ ro , coronel y ayudante ¿1 provincial de Betanzos ; y á D. Fernando Váz­ quez y D. José María de Castro, teniente coronel y sa…</t>
  </si>
  <si>
    <t>y Quintan, Lorenzo Bonifaz</t>
  </si>
  <si>
    <t>Lorenzo Bonifaz y Quintan</t>
  </si>
  <si>
    <t>ECCION DE MARINA. Exc. Señor Barón de Sabasona. Exc* Señor Conde de Ayamans* Exc. Señor Conde de Gimonde. Exc. Señor Marques de la Puebla. Exc. Señor D. Lorenzo Bonifaz y Quintan®. Exc. Señor D. Carlos .Atnatria. SECCION DE HACIENDA* Exc. Señor D. Félix Ovalle. Exc. Señor D. Lorenzo Calvo. Exc. Señor D. Sebastian de Jócano. E…</t>
  </si>
  <si>
    <t>y Ramírez, Pedro Quintana</t>
  </si>
  <si>
    <t>Pedro Quintana y Ramírez</t>
  </si>
  <si>
    <t>93’ *3 Espolón......-............... ........... "’a id. el deán............ ;........ ............;................. 2758 14 -60685 oa 91027 20 Cid. D. Pedro Quintana y Ramírez......... 2640 58080 87.120 , Cerca de los dos Mercados. .. Id. nínn. 42 en la plaza Mayor................ 953 21 23979 20 3^69 13 (Id. núm. 12.......…</t>
  </si>
  <si>
    <t>y Remom, Pedro Alfaro</t>
  </si>
  <si>
    <t>Pedro Alfaro y Remom</t>
  </si>
  <si>
    <t>.Cipriano;Salinero, D. Nico­ ,,Mui señor mío : Informado S» M. d&lt;? lás María Bremond» D. Mariano Garrido mi penosa sitnacion en Argel, y de los pe­ y D. Pedro Alfaro y Remom oficiales se­ ligros á que estaba expuesto con todos los gundos ; y i. D. Josef Julián Diez archi­ franceses que babia allí, dio ciertas provi­ vero. den…</t>
  </si>
  <si>
    <t>y Rnir, Juan de Pina</t>
  </si>
  <si>
    <t>Juan de Pina y Rnir</t>
  </si>
  <si>
    <t>mo. Sr. ministro de la Guerra, en orden los observan: ¡cómo podrán resistir á toda de r&lt;5 del corriente, se ha mandado ¿n auto de este dia por el Sr. D. Juan de Pina y Rnir, la fuerza del imperio mas poderoso del intendente de exército de Castil.a la Nueva, mundo 1 Desde la Iliria hasta el Tajo se sacar á pública subasta el s…</t>
  </si>
  <si>
    <t>y Romero, Manuel María Rodríguez</t>
  </si>
  <si>
    <t>Manuel María Rodríguez y Romero</t>
  </si>
  <si>
    <t>286</t>
  </si>
  <si>
    <t>la hasta el XXXII inclusive , que es el último (por ahora) de este periódico. Discursos sobre las observancias del monasterio de la'Trapa: por el Dr. D. Manuel María Rodríguez y Romero, capellán ma­ yor de S„ M. en.su real capilla de S. Fernando de Sevilla, etc. etc. en la librería de Hidalgo á 10 rs. En la librería de Berard…</t>
  </si>
  <si>
    <t>y Ruiz, Juan de Pifia</t>
  </si>
  <si>
    <t>Juan de Pifia y Ruiz</t>
  </si>
  <si>
    <t>an 18 y media: una viña Por providencia de 27 del presente del señor in­ y 2 casas en Hornillos, que producen 52 rs.:otras tier­ tendente de exército D. Juan de Pifia y Ruiz se ha ras y viñas en Pedrosa de Socastro, que rentan 66o-. 3 mandado sacar á pública subasta por término de 30 tierras y una viña en Presencio, que rinde…</t>
  </si>
  <si>
    <t>y S, Constantino</t>
  </si>
  <si>
    <t>Constantino y S</t>
  </si>
  <si>
    <t>llegó aquí anteayer miento en atribuir todas nuestras desgra­ de vuelta de su viage á Finlandia. cias al archiduque Luis , comandante del S. A. I. el príncipe Constantino y S. A. 5.0 cuerpo. AI parecer se quiere conservar el príncipe de Holstein Oldenburgo asistie­ la gloria militar del archiduque Carlos á ron la semana pasad…</t>
  </si>
  <si>
    <t>y S, Napoleón</t>
  </si>
  <si>
    <t>Napoleón y S</t>
  </si>
  <si>
    <t>nde alegría. e.crito esto se había olvidado sin duda que A consecuencia de un convenio ajustado hablaba de saxones. El Emperador Napo­ entre S. M. el Emperador Napoleón y S. M. león nos ha hecho.mas justicia, quando nos el Reí de Saxonia, se cedieron al Rei los dixo la tarde misma de la batalla que á ca­ pretendidos derechos …</t>
  </si>
  <si>
    <t>y S, Pedro Wassielwick-Lapuchín</t>
  </si>
  <si>
    <t>Pedro Wassielwick-Lapuchín y S</t>
  </si>
  <si>
    <t>JUEVES 12 DE OCTUBRE DE 1809. RUSIA* preparados los materiales qua han de exíthinar. Serán directores de esta comisión el Petersburgo 2 S de agosto. príncipe Pedro Wassielwick-Lapuchín y S. M. el Emperador ha manifestado á dos miembros que esten actualmente en S. A. I. el príncipe Constantino y á todos exercicio. Uno de estos…</t>
  </si>
  <si>
    <t>y Salido, Luis Funes</t>
  </si>
  <si>
    <t>Luis Funes y Salido</t>
  </si>
  <si>
    <t>y Exc. Señor Conde de Gimonde. ’**”**.............. ] Exc. Señor D. Manuel Maria Avalle. /f*Exc. Señor I&gt;. Rodrigo Rsqueltne. .......... \ Exc. Siñor D. Luis Funes y Salido. 1ae r Exc. Señor D. Francisco Castañedo. *****.... *.••••••«•'•• j7Xe. Señor D. Sebastian de . Jócano. León.... i . y Exc. Señor Baylio Fr. D. Antonio Vá…</t>
  </si>
  <si>
    <t>y Saro, Josef Coisa</t>
  </si>
  <si>
    <t>Josef Coisa y Saro</t>
  </si>
  <si>
    <t>al­ sea, el infrascrito podrá dentro de poco dar des del crimen de la misma L&gt;. Antonio á S. E. el señor de Chantpagni todas las lu­ Andeiro y Aidao, D. Josef Coisa y Saro, ces y noticias relativas á este asunto. El ¡n- D. E rancisco Juan Diaz Lavandero y Don teres que toma la corre sle Eran cía por el Hermenegildo Nieva; y p…</t>
  </si>
  <si>
    <t>y Sauvage, Drosier</t>
  </si>
  <si>
    <t>Drosier y Sauvage</t>
  </si>
  <si>
    <t>orsarios el gran duque de Perg que lleva pliegos á Paris. El 17 han pasado y el Alexandrino, de Calais , sus capitanes también el conde de Romanzoff, ministro Drosier y Sauvage. de Negocios extrangeros de S. M. el Em­ Acaba de entrar en un puerto nuestro, perador de Rusia, que vuelve de Paris á después de 6 años de navegación…</t>
  </si>
  <si>
    <t>y Soroa, Josef María de Soroa</t>
  </si>
  <si>
    <t>Josef María de Soroa y Soroa</t>
  </si>
  <si>
    <t>o­ mantener la mejor armonía entre nuestros misionó S. S. I. al diputado general de la dos gobiernos. Supongo que mi nota de este dia rela­ provincia D. Josef María de Soroa y Soroa, tiva á los buques americanos satisfará los y á su consultor D. Ramón María de Mo­ deseos de S. \1.1. y R. En lo sucesivo pro­ ya, los qua’es .en…</t>
  </si>
  <si>
    <t>y Sr, Cristóbal de Ilarraza</t>
  </si>
  <si>
    <t>Cristóbal de Ilarraza y Sr</t>
  </si>
  <si>
    <t>Tello. Sala de Alcaldes de Corte. Sr. D. Luis Marcelino Pereira, Sr. D. Manuel María de Junco y Sr. Don Angel Alfonso Noreña. Consejo de Ordenes. Sr. D. Cristóbal de Ilarraza y Sr. D. Carlos Simón Pontero. Estos caballeros llevan el expediente de las firmas dé los libros de asien­ to que se abrieran en cada quartel y barrio d…</t>
  </si>
  <si>
    <t>y Sr, Josef Justo Salcedo</t>
  </si>
  <si>
    <t>Josef Justo Salcedo y Sr</t>
  </si>
  <si>
    <t>osa y Sr. P. Domingo Garcia Fer­ nandez. Consejo de Querrá. Sr. marques de las Amarillas y Sr. marques del Norte. Consejo del Almirantazgo. Excmo* S. D. Josef Justo Salcedo y Sr. D. Josef de Espinosa Tello. Sala de Alcaldes de Corte. Sr. D. Luis Marcelino Pereira, Sr. D. Manuel María de Junco y Sr. Don Angel Alfonso Noreña. C…</t>
  </si>
  <si>
    <t>y Sr, Juan Manuel Xaramillo</t>
  </si>
  <si>
    <t>Juan Manuel Xaramillo y Sr</t>
  </si>
  <si>
    <t>r y Rei por la villa de Ma­ drid y tribunales superiores de esta capital. lia lista de todos estos sngetos es como sigue: Per la villa de Madrid. $r. D. Juan Manuel Xaramillo y Sr. D. Juan Matía de Satini, por el ayuntamiento: Sr. D. Manuel Felipe Sagarvinaga, por el cuerpo de ti no­ bleza: Sr. D. Domingo Alvarez, presbítero,…</t>
  </si>
  <si>
    <t>y Sr, Manuel de Valenzuela</t>
  </si>
  <si>
    <t>Manuel de Valenzuela y Sr</t>
  </si>
  <si>
    <t>Indias. Sr. D. Bernardo Iriarte, Sr. D. Josef Antonio de Ürrlza, Sr. D. Ful­ gencio de la Riva y Sr. conde de Torremuzquiz. Consejo de Hacienda. Sr. D. Manuel de Valenzuela y Sr. D. Francisco Xavier Carrasco. Junta de Comercio y Moneda. Excmo. Sr. D. Manuel Sixto Espinosa y Sr. P. Domingo Garcia Fer­ nandez. Consejo de Querrá…</t>
  </si>
  <si>
    <t>y Sr, Manuel María de Junco</t>
  </si>
  <si>
    <t>Manuel María de Junco y Sr</t>
  </si>
  <si>
    <t>jo del Almirantazgo. Excmo* S. D. Josef Justo Salcedo y Sr. D. Josef de Espinosa Tello. Sala de Alcaldes de Corte. Sr. D. Luis Marcelino Pereira, Sr. D. Manuel María de Junco y Sr. Don Angel Alfonso Noreña. Consejo de Ordenes. Sr. D. Cristóbal de Ilarraza y Sr. D. Carlos Simón Pontero. Estos caballeros llevan el expediente de…</t>
  </si>
  <si>
    <t>y Sr, Manuel Sixto Espinosa</t>
  </si>
  <si>
    <t>Manuel Sixto Espinosa y Sr</t>
  </si>
  <si>
    <t>r. conde de Torremuzquiz. Consejo de Hacienda. Sr. D. Manuel de Valenzuela y Sr. D. Francisco Xavier Carrasco. Junta de Comercio y Moneda. Excmo. Sr. D. Manuel Sixto Espinosa y Sr. P. Domingo Garcia Fer­ nandez. Consejo de Querrá. Sr. marques de las Amarillas y Sr. marques del Norte. Consejo del Almirantazgo. Excmo* S. D. Jos…</t>
  </si>
  <si>
    <t>y Talón, Pasqual Quiíez</t>
  </si>
  <si>
    <t>Pasqual Quiíez y Talón</t>
  </si>
  <si>
    <t>ran­ cisco Requena , D. Josef Pablo Valiente , D. Sebastian de Torres,D. Ignacio Martínez de Villela , D. Miguel Alfonso Villagomez, D. Tomás Moyano, D. Pasqual Quiíez y Talón, D. Luis Melendez Bruna, D. Juan Miguel Perez Tafalla, y el Sr. Fiscal D.An­ tonio Cano Manuel. Luego que llegó eí Sr. Decano y dexó el co­ che en el z…</t>
  </si>
  <si>
    <t>y Tcllo, Pablo Recio</t>
  </si>
  <si>
    <t>Pablo Recio y Tcllo</t>
  </si>
  <si>
    <t>az Cevallos, canónigo; D. Pa­ blo Nicolás de San Pedro, canónigo; IX Vicente Rodrigo de Mena, canó­ nigo ; D. Josef de Salcedo y Xaramillo, canónigo; D. Pablo Recio y Tcllo, canónigo; D. Pedro María Estala, canónigo. Por la ciudad de Toledo. El Sr. conde de Lerena; D. Manuel Bernardo Roldan; D. Julián Gon­ zález Saez; D. Gil …</t>
  </si>
  <si>
    <t>y Tovar, Gerónimo de Ustariz</t>
  </si>
  <si>
    <t>Gerónimo de Ustariz y Tovar</t>
  </si>
  <si>
    <t>rno, que desde luego dispuso dotarlas con las cureñas correspondientes. El día 27 de setiembre falleció en-esta corte , á los 74 años de edad, el Sr. D. Gerónimo de Ustariz y Tovar , marques- de Ustariz , ministro del supremo consejo de la Guerra, asistente de Sevi­ lla é intendente de Andalucía en comisión. Se ha perdido en …</t>
  </si>
  <si>
    <t>y Ur, Catalina Germán</t>
  </si>
  <si>
    <t>Catalina Germán y Ur</t>
  </si>
  <si>
    <t>ada......... .. D. Francisco Unzaga ó el que lo repre­ sente. Jaén......................... . D. Ramón María Mor toro. Mahon. ....................... Doña Catalina Germán y Ur.galde., Málaga. . . . ... .. . D. Juan Ximeno. Murcia........................ Señores Moreda y Ladalid'. Oviedo......................... Señores D. Man…</t>
  </si>
  <si>
    <t>y Uribe, Manuel de Lardizabal</t>
  </si>
  <si>
    <t>Manuel de Lardizabal y Uribe</t>
  </si>
  <si>
    <t>componerse por ahora el expre­ sado Tribunal en la forma siguiente, por el orden y anrtiguedad aquí señalada : de D. Josef Joaquín Colon, Deca­ no”, D. Manuel de Lardizabal y Uribe, el Conde del Pi­ llar , D. Francisco Requena , D. Josef Pablo Valiente ¿D. Sebastián de Torres , D. Antonio Ignacio Corta varría y D. Ignacio Mar…</t>
  </si>
  <si>
    <t>y Vidal, Pedro Benito</t>
  </si>
  <si>
    <t>Pedro Benito y Vidal</t>
  </si>
  <si>
    <t>tarse al cargo que se le imponía de presidir los intereses comunes. El dia 4 llegó S. E. á Medina del Campo, y concurrieron á su posada el corregidor D. Pedro Benito y Vidal con los capitulares de la villa, cu­ ras de las parroquias, y prelados regulares. Esta sesión fue igual a la de Arévaio; los mismos males, las mismas cau…</t>
  </si>
  <si>
    <t>y Viiíccb, Cayetano Cortinas</t>
  </si>
  <si>
    <t>Cayetano Cortinas y Viiíccb</t>
  </si>
  <si>
    <t>re. = D. Joaquín Fernandez' Rodríguez , 60 rs. = D. Sautisgo Martin , 120 rs. = D. Luis Pedro Perier, 200 rs.rr O. Manuel Aguilar y Gueto , 200 rs. = D. Cayetano Cortinas y Viiíccb , 300 rs. = El Hermano mayor del hospital del Buen Suceso , 6o rs. = El P. Fr. Pablo Carmena , Carmelita calza­ do , 160 rs. rzz D. Manuel María A…</t>
  </si>
  <si>
    <t>y Villegas, Francisco de Quevedo</t>
  </si>
  <si>
    <t>Francisco de Quevedo y Villegas</t>
  </si>
  <si>
    <t>predica­ do por el P. Fr. Luis-Cerezo. En la librería de Hidalgo á 6 rs: Carta del Srrno. muy alto y poderoso Luis XIII rey de Franr -cia. Escribíala D. Francisco de Quevedo y Villegas , sobre las nefandas acciones y sacrilegios execrables de ios exércitos fran­ ceses en Jlaades. Librería de Caro. Tratado Me la-fiebre y sus p…</t>
  </si>
  <si>
    <t>y Xaramillo, Josef de Salcedo</t>
  </si>
  <si>
    <t>Josef de Salcedo y Xaramillo</t>
  </si>
  <si>
    <t>Ro­ drigue»Pardo, canónigo; D. Francisco Díaz Cevallos, canónigo; D. Pa­ blo Nicolás de San Pedro, canónigo; IX Vicente Rodrigo de Mena, canó­ nigo ; D. Josef de Salcedo y Xaramillo, canónigo; D. Pablo Recio y Tcllo, canónigo; D. Pedro María Estala, canónigo. Por la ciudad de Toledo. El Sr. conde de Lerena; D. Manuel Bernardo…</t>
  </si>
  <si>
    <t>y Ximemetría, Alonso Tovar</t>
  </si>
  <si>
    <t>Alonso Tovar y Ximemetría</t>
  </si>
  <si>
    <t>el dia. estrechos: otro alumno resolvió con extra­ En el ministerio de la Justicia á los geordinaria prontitud, los problemas de geo­ fes de división D. Alonso Tovar y Ximemetría trascendental que se le propu­ nez , y D. Antonio Benito. sieron. El gefe de división D. Alonso Tovar y ESPAÑA. Ximenez tiene á su cargo la conserva…</t>
  </si>
  <si>
    <t>y Zabalza, Antonio Cortés</t>
  </si>
  <si>
    <t>Antonio Cortés y Zabalza</t>
  </si>
  <si>
    <t>Josef Sánchez Mendoza, oidor de la á V. M., y por su ciega obediencia á sus chancillería de Valladolid : para la segunda reales determinaciones.’' á D. Antonio Cortés y Zabalza, alcalde de Y la del valle de Carranza el siguiente: la corte mayor del reino de Navarra •- para 7, Señor: La diputación del valle de la tercera á D. …</t>
  </si>
  <si>
    <t>Yaldés, Antonio</t>
  </si>
  <si>
    <t>Antonio Yaldés</t>
  </si>
  <si>
    <t>A SUPREMA Gubernativa del Reyno. SECCION DE ESTADO. Serenísimo Señor Presidente. Exc. Señor Vice-Presidente Marques de Astorga. Exc. Señor Baylio Fr. D. Antonio Yaldés. Exc, Señor Marques del Villar.</t>
  </si>
  <si>
    <t>Yeia, Julián</t>
  </si>
  <si>
    <t>Julián Yeia</t>
  </si>
  <si>
    <t>ix Castríllo , Oficial 2. 0 de idem , *25. = D. Bartolomé Rigo , Guarda-mayor, 25 = D. Santiago Milla , 16. = Do­ ña Ana Francisca ftequena , 100. zz D. Julián Yeia, 500.= D. Toribio Carvajal , 25. = D. Alexandro Ramírez , 10o,^= Por ei dos por ciento que se ba beneficiado de premio sobre el total de estas cantidades por medi…</t>
  </si>
  <si>
    <t>Yoldi, Pedro</t>
  </si>
  <si>
    <t>Pedro Yoldi</t>
  </si>
  <si>
    <t>. Baltasar Val. — D. Mariano Ramírez.-- D. Lo­ renzo Puchol. — D. Vicente Laborda. — D. Antonio Vicente.— D. Vicente Puchol. — D. Julián Navarrete. — D. Pedro Yoldi. — D, José Unceta. — D. Fermín de Lusarreta. ~ D. Eulogio Espi­ no.— D. Francisco Barraneche. — D. Cipriano Iturraldé.— D. To­ mas Yoldi.—D. José Sánchez. — D. Lu…</t>
  </si>
  <si>
    <t>Yost, Josef</t>
  </si>
  <si>
    <t>Josef Yost</t>
  </si>
  <si>
    <t>ngero para ca­ pitanes á D. Mauricio Gard , D. Pedro Extracto de las minutas de la secretar!» Yung , D. Jorge Dubteuil, D. Josef Forsde Estado. ter y D. Josef Yost. Para tenientes á Don En nuestro palacio de Madrid á 27 de Juan Vareche y D. Francisco Kratzer, y •setieiríbre de 1809. para subtenientes á D. Joaquin Grauman y Do…</t>
  </si>
  <si>
    <t>Yriarte, Bernardo</t>
  </si>
  <si>
    <t>Bernardo Yriarte</t>
  </si>
  <si>
    <t>si toda nueva, no nos podian persuadir á poder hacer resistencia. ¿ Pero como capitular contra ia voz común? En fin á las quatro de la tarde salí con D. Bernardo Yriarte para tratar con eí Principe de Neufchatel sin que nadase hu­ biese decidido, y tube que decir al Populacho que iba á contextar que nos defenderíamos hasta mo…</t>
  </si>
  <si>
    <t>Yuste, Juan</t>
  </si>
  <si>
    <t>Juan Yuste</t>
  </si>
  <si>
    <t>. José Taberner, teniente coronel del de la Reyna: á D. Autolin Reguilon , comandante de esquadron del regimiento de voluntarios de Ciudad-Rodrigo: á D. Juan Yuste, á D. Ventura Blanco y á D. José Castro, sargento mayor , tenien­ te y alférez de Sagunto : al teaiente coronel D. Ignacio de Irigoyen, ca­ pitán del regimiento de…</t>
  </si>
  <si>
    <t>YVolodkiewicz</t>
  </si>
  <si>
    <t>ón. mados del mismo ardor. Los dálmatas que Escriben de Varsovia, con fecha del iS se hubieren distinguido recibirán el galardón de este ines, que el general YVolodkiewicz seguro y duradero.” lia leido al pasar por Grodno una orden del gobierno ruso, dirigida al general Lewis, GRAN BRETAÑA. en la que se le manda entrar en Gal…</t>
  </si>
  <si>
    <t>YVrede</t>
  </si>
  <si>
    <t>del exército de Italia á las órdenes taedt lo tiene estrechado, y le será mui del archiduque Juan. difícil efectuar su retirada sin dar antes una El general YVrede destaca muchas tro­ batalla, cuyo éxito ha de ser feliz para las pas ligeras para seruir e1 alcance al cuerpo armas francesas. de Jeliachich , y éi mismo ha ido en…</t>
  </si>
  <si>
    <t>YYollesiev</t>
  </si>
  <si>
    <t>unido en Toledo, si yo continuaba separado de ios ingleses. Esta congetura me hizo repasar dichorio .aver mañana y tomar la posición convenida con el general YYollesiev, formando una línea ambos exércitos delante ele Talavera aprovechándonos de los vallados, y demas ventajas del terreno. Apenas habíamos- acabado de formar nue…</t>
  </si>
  <si>
    <t>Z, Jostf</t>
  </si>
  <si>
    <t>Jostf Z</t>
  </si>
  <si>
    <t>3I^ como test'go ocular, s! Ayudaste D. Jayme Roig , los Te­ nientes D. Baltasar del Corral, D. Jostf Z: non , y D. Va­ leriano García•;-Sargenta -.2*-9 Andrés Di*z r Cabo M?t¿o Molina.; Carabin&amp;r&amp;s Francisco'Ximenea', y Francisco Peña, y los soldados Antonio Fscaloña ,■ Domingo. Gado, Franci</t>
  </si>
  <si>
    <t>Za, Luis Manuel</t>
  </si>
  <si>
    <t>Luis Manuel Za</t>
  </si>
  <si>
    <t>rana , coroDei del regimien­ to de ia Reyna : á mis ayudantes de campo, el coronel D. Antonio Aguilar , cadete garzón de reales guardias de Corps : á D. Luis Manuel Za­ mora , comandante del batallón del general de Castilla la vieja : á D. Ra­ fael Ovalie , capitán de “Fernando VII: al capitán D. Pedro Subero , te­ niente del…</t>
  </si>
  <si>
    <t>Zach</t>
  </si>
  <si>
    <t>s rusos han re­ ría en lo interior del Austria. unido en Wolhínia y en toda la Ukrania dan mucho que pensar á nuestra corte. Se ALEMANIA. cree que el general Zach, que era gefe del Orillas del Danubio 2 de marzo. estado mayor en el exército de Melas quando la batalla de Marengo, en la qual fue Según las últimas cartas de Turq…</t>
  </si>
  <si>
    <t>Zajonckek</t>
  </si>
  <si>
    <t>e Fernando, viéndose ame­ unidos dentro de los muros de sn ciudad á nazado por la espalda por las tropas del los magistrados cuya presencia fue siem­ general Zajonckek, que había pasado ya el</t>
  </si>
  <si>
    <t>Zajonzeek</t>
  </si>
  <si>
    <t>87 todos los distritos de] pala ti mulo de Sfandornir, se lia reunido con el príncipe Poníate vvski en Pólanseck. Ei general Zajonzeek, reforzado co; i una divisio! i ri luna rusa ae aba de pasar el estas fuerzas reunidas en &lt; pera de entrair en la Mora.vit ,o.-; cosacos Hacen sus excursiones 1 5 ó 20 lego as delante del ó</t>
  </si>
  <si>
    <t>Zaluski</t>
  </si>
  <si>
    <t>202 El barón Just, maestro de ceremonias de S. M.; el conde Zaluski. Por S. E. el duque de Frías, embaxador de S. M el Reí de España, El general Kindelan, miembro de la legión de Honor; el capitán Kindelan, su hijo, y edecán suyo; el caballero Larrea, inten</t>
  </si>
  <si>
    <t>Zamoiski</t>
  </si>
  <si>
    <t>r un batallón de infantería y un esda , y toda la legación. quadron de caballería. El príncipe Czartoritki levanta nn regimiento á sus expensas, y el príncipe Zamoiski ha ofrecido levan­ DINAMARCA. tar dos. BA VIERA. Copenhague G de junio. El mayor general Ewalh , comandante Munich a de junto. de las tropas danesas que han ba…</t>
  </si>
  <si>
    <t>Zanon, José</t>
  </si>
  <si>
    <t>José Zanon</t>
  </si>
  <si>
    <t>del parte de D. Juan Claros. P. S. Acaba de saber el Gobierno Supremo que ha entrado en Gerona un segundo convoy. D. Lorenzo Rico , los subtenientes D. José Zanon , D. Juan Aloy , D. Es­ teban Oros. De Suizos de Wimpffen, 1 3 muertos , 37 heridos : el capitán D. Car­ las Escolar j y el teniente D. Francisco Cructer salieron h…</t>
  </si>
  <si>
    <t>Zañurtu, Mateo</t>
  </si>
  <si>
    <t>Mateo Zañurtu</t>
  </si>
  <si>
    <t>6 rs., y 19074 al fia­ do : otra casa con su borda , era, huerta en el barrio de Opacua, y 23 he­ redades en términos de dicha villa pertenecientes á D. Mateo Zañurtu, al contado 7853, y 11779 y medio al fiado: otra sita en las olbeas de dicha villa , al contado 4840, y 7260 al fiado : 13 heredades en dicha villa y tér­ minos…</t>
  </si>
  <si>
    <t>Zapata, Santiago</t>
  </si>
  <si>
    <t>Santiago Zapata</t>
  </si>
  <si>
    <t>a victoria , en estableciéndose los pactos vido promover á oidores en la real chancide la concordia, se acabó la rivalidad , y llería de Valladolid á D. Santiago Zapata se abrazan como hermanos los que poco an­ y D. Antonio Blasco , alcaldes del crimen tes se batían como enemigos : Traternita- de ella , y conferir sus resulta…</t>
  </si>
  <si>
    <t>Zapino, Manuel</t>
  </si>
  <si>
    <t>Manuel Zapino</t>
  </si>
  <si>
    <t>os mariscales de campo D. Ramón Vffialva ; marques de Malaspina , mayor general de caballería ; D. Josef María de Alós , mayor general de infantería; D. Manuel Zapino, comandante general de in­ genieros ; D. Gregorio Rodríguez , comandante general de artillería, y D. Tomás O-Doncjú, asistieron á mi inmediación durante toda la…</t>
  </si>
  <si>
    <t>Zaraza</t>
  </si>
  <si>
    <t>rhastro, y la misma dirección tomó otra partida salida de Monzon. Se asegura que su destino es á Jaca, en cuyas _iamtídiacÍQnes,-&amp;e baila-extenúente. coronel Zaraza incomodándo­ les mucho .con; una crecida ^partida que ha, podido reunir. Id. 1.9 de. nopiernhrp.. El. 22 del pasado llegaron a la ciudad de .Vich 8Q prisioneros f…</t>
  </si>
  <si>
    <t>Zastrow</t>
  </si>
  <si>
    <t>si­ guientes : El conde deGoltz, ministro de Negocios extrangeros: el conde de Dohna, ministro de lo Interior: Mr. Beime, ministro de la Justicia: el general Zastrow, ministro de la Guerra; y Mr. de Altenstein , ministro de Hacienda. Se cree que está ya definitivamente decretado el establecimiento de una universidad en Berlin…</t>
  </si>
  <si>
    <t>Zavala, Francisco Fernandez</t>
  </si>
  <si>
    <t>Francisco Fernandez Zavala</t>
  </si>
  <si>
    <t>tonio García , á D. Mariano Gil Castroverde , cura párroco de Sta.* María de aquella ciudad : para otra vacante en la misma co­ legiata por muerte de D. Francisco Fernandez Zavala, á D. Juan Diaz Franco, fiscal de la curia eclesiástica de Cádiz : para el deanato de la colegial de Alicante, vacante por muerte de D. An­ tonio S…</t>
  </si>
  <si>
    <t>Zavala, Víctor</t>
  </si>
  <si>
    <t>Víctor Zavala</t>
  </si>
  <si>
    <t>D. Dosningó Gómez de Segura , 200, = D. Manuel Garda Muro, íaoo. = D. Miguel Rebato , 25. zz D. Gregorio Castriciones, vecino de S. Salvador , 4®. = D. Víctor Zavala , 200. zz D. Juan Hernández, 100. — D. Juan Antonio Gómez, Contador de .Ejército, 200. = D. Juan Josef Echevarría , 100. = D. Juan Antonio Ara ojo, 200. = D* Nic…</t>
  </si>
  <si>
    <t>Zayas</t>
  </si>
  <si>
    <t>es del teniente general Payne , y por la división de infantería del mayor general Mackerrzie ; y faé rota por la vanguardia española , mandada por el general Zayas y el duque de Alburquerque. Hemos perdido 11 caballos por el fuego de la batería enemiga colocada sobre el Albercbe , y los españoles han tenido algunos heridos.” …</t>
  </si>
  <si>
    <t>dicho tiempo. La noche del 2 5 recibí la orden verbal de V. E. para sos­ tener con la división de mi mando á la vanguardia del exército, al mando del brigadier Zayas. Teniendo la mañana del 26 avisos de este gefe de que los enemigos atacaban con fuerzas muy considerables este cuerpo, obligán­ dole á retirarse desde la posició…</t>
  </si>
  <si>
    <t>Zegers, Francisco</t>
  </si>
  <si>
    <t>Francisco Zegers</t>
  </si>
  <si>
    <t>el ministerio secretaría de estado á D. José Fita xefe de división ; k D. Juan Bautista Sauvinet y D. Juan Agustín Ezterripa oficiales primeros, y á D. Francisco Zegers oficial segundo. Por otro decreto de 1:° de setiembre S. M. D. José ha nombra­ do en el ministerio de policía á D. José Mamerto Gome* Hermosiila xefe de divis…</t>
  </si>
  <si>
    <t>Zerain</t>
  </si>
  <si>
    <t>105</t>
  </si>
  <si>
    <t>mi posición, situando las divisiones en escala desde Aranjuez á Tembleque donde establecí mi quartel general al medio dia del 6. El 8 me participó el general Zerain que con la quinta división de su mando estaba sobre Toledo, haber sabido que los enemigos acababan de recibir un refuerzo de 83 hombres y temia ser ataca­ do. En …</t>
  </si>
  <si>
    <t>Zerain, Tomas</t>
  </si>
  <si>
    <t>Tomas Zerain</t>
  </si>
  <si>
    <t>doba.” La caballería dividida en dos secciones á derecha é izquierda de la línea, la puse á las órdenes de los mariscales de campo, marqués de Gelo , D. Tomas Zerain y vizconde de Zolina. En este estado avanzaron sobre toda la extensión de nuestra línea las colunas enemigas, apoyadas por 40 piezas de artillería entre obuses v…</t>
  </si>
  <si>
    <t>Zichi</t>
  </si>
  <si>
    <t>I 2 *6 paso del Kídubaray'fiel Je$e;i*&gt; á pesar de. las- dinero á-todos quantqf le rodeaban.. _ ,■ viva resistencia del enemigo', d.Tquarha- El ministro Zichi es quien ha hecho es­ bian triunfado después de i o horas de com­ tos malos servicios al Austria , y al misino bate ; pero el 14 de--agosto ei exército prin­ archiduque…</t>
  </si>
  <si>
    <t>Petersburmitió el comercio á los sobrecargos ingleses, go; al príncipe Pablo Esterhazi para Mu­ los quales probaron su inocencia, aseguran­ nich ; al conde Zichi para Dresde * y al do que no tenían absolutamente noticia nin­ conde Apponi para Copenhague. guna de las miras de su gobierno. EL gran quartel general francés saldrá…</t>
  </si>
  <si>
    <t>Zijonceck</t>
  </si>
  <si>
    <t>secuencia se volvió í Fraga en la noche llitzia para retirarse á la Hungría por los del 29 al 30 de junio. montes Crapachs. El cuerpo de exé cito del general Zijonceck, reunido con el del Letjpskk ¡¿ de julio. general ruso Lewis , sigue la orilla izquier­ las tropas austríacas han evacuado ya da del Vístula , y no puede dexar…</t>
  </si>
  <si>
    <t>Zondadari</t>
  </si>
  <si>
    <t>lar , para elevarseá aquella gloria que vos, El cardenal Zondadari ha dirigido tam­ tos solo lepodíais restitúiry «amentar. bién é» italiano i S. M. el discurso si­ Orgulloso el Tiber por dos grandes siglos, guiente : tan célebres en los fastos del espíritu hu­ ,, Los súbditos de V. M. L y R, de los mano , espe</t>
  </si>
  <si>
    <t>Zuazo, Antonio</t>
  </si>
  <si>
    <t>Antonio Zuazo</t>
  </si>
  <si>
    <t>me les mo­ vimientos de oposición tan oportunamente que llenaban siempre mis ideas, dexaudo fustradas las del coHtFaría. A mi lado también asistieron,D. Antonio Zuazo, coronel agregado al regimiento .de Truxiiio, que; desde, mi mando, en el puente del Arzobispo llenaba las obligaciones de mayor de. órdenes, mis ayudantes de c…</t>
  </si>
  <si>
    <t>Zudaire, Juan Josef</t>
  </si>
  <si>
    <t>Juan Josef Zudaire</t>
  </si>
  <si>
    <t>e Ollogoyen, fueren, y por qualesquiera que hayan sido chispado de Pamplona, vacante por muer­ liechas las anteriores liquidaciones y califica­ te de D. Juan Josef Zudaire ; y á D. Juan ciones de los créditos, todo ha de pa'^ - nue­ Francisco Fresneda y Moros, sobdiácono, vamente por la vista de la liquidación: todo para una …</t>
  </si>
  <si>
    <t>Zumbado, Femando Hernández</t>
  </si>
  <si>
    <t>Femando Hernández Zumbado</t>
  </si>
  <si>
    <t>ia, por muerte de D. Buenaventura Canals, á D. Joaquin Tarin , vicario general de aquella diócesi : para la de Canarias, vacante por fallecimiento de D. Femando Hernández Zumbado , á D. Este­ ban Fernandez Salazar , racionero de la misma : para la ración que este dexa , á D. Domingo Miguel de la Cueva ; y para otra ración vac…</t>
  </si>
  <si>
    <t>Zurita, José Morales</t>
  </si>
  <si>
    <t>José Morales Zurita</t>
  </si>
  <si>
    <t>Juan Ada­ me, de D. Genaro López del Rincón, y de D. Fernando Fer­ nandez de Padilla, á D. José Garzón Berruezo , á D. José Rafael de Sebastiani, y á D. José Morales Zurita ; y para la ración de la catedral de Murcia, que resulta vacante por ascenso de D. Alfon­ so Revira en canongía de la misma iglesia, á D. Juan Nicasio Gal…</t>
  </si>
  <si>
    <t>Fuentes oficiales y criterio de elaboración · 1809</t>
  </si>
  <si>
    <t>591 archivos · 3054 páginas · enlaces al facsímil oficial</t>
  </si>
  <si>
    <t>Archivo</t>
  </si>
  <si>
    <t>Páginas PDF</t>
  </si>
  <si>
    <t>Registros del índice</t>
  </si>
  <si>
    <t>Facsímil completo</t>
  </si>
  <si>
    <t>GMD-1809-1.pdf</t>
  </si>
  <si>
    <t>GMD-E-1809-1.pdf</t>
  </si>
  <si>
    <t>2 de enero de 1809</t>
  </si>
  <si>
    <t>Gaceta de Madrid n.º 2</t>
  </si>
  <si>
    <t>GMD-1809-2.pdf</t>
  </si>
  <si>
    <t>GMD-1809-3.pdf</t>
  </si>
  <si>
    <t>GMS-1809-63.pdf</t>
  </si>
  <si>
    <t>Gaceta de Madrid n.º 4</t>
  </si>
  <si>
    <t>GMD-1809-4.pdf</t>
  </si>
  <si>
    <t>Gaceta de Madrid n.º 4 (suplemento)</t>
  </si>
  <si>
    <t>GMD-E-1809-4.pdf</t>
  </si>
  <si>
    <t>GMS-1809-63E.pdf</t>
  </si>
  <si>
    <t>GMD-1809-5.pdf</t>
  </si>
  <si>
    <t>GMD-1809-6.pdf</t>
  </si>
  <si>
    <t>Gaceta de Madrid n.º 6 (suplemento)</t>
  </si>
  <si>
    <t>GMD-E-1809-6.pdf</t>
  </si>
  <si>
    <t>GMS-1809-64.pdf</t>
  </si>
  <si>
    <t>GGB-1809-1.pdf</t>
  </si>
  <si>
    <t>GGB-G-1809-1.pdf</t>
  </si>
  <si>
    <t>GMD-1809-7.pdf</t>
  </si>
  <si>
    <t>GMD-E-1809-7.pdf</t>
  </si>
  <si>
    <t>GMD-1809-8.pdf</t>
  </si>
  <si>
    <t>GMD-1809-9.pdf</t>
  </si>
  <si>
    <t>Gaceta de Madrid n.º 9 (suplemento)</t>
  </si>
  <si>
    <t>GMD-E-1809-9.pdf</t>
  </si>
  <si>
    <t>GMD-1809-10.pdf</t>
  </si>
  <si>
    <t>GMS-1809-65.pdf</t>
  </si>
  <si>
    <t>GMD-1809-11.pdf</t>
  </si>
  <si>
    <t>Gaceta de Madrid n.º 11 (suplemento)</t>
  </si>
  <si>
    <t>GMD-E-1809-11.pdf</t>
  </si>
  <si>
    <t>GGB-1809-2.pdf</t>
  </si>
  <si>
    <t>GGB-1809-2E.pdf</t>
  </si>
  <si>
    <t>GMD-1809-12.pdf</t>
  </si>
  <si>
    <t>Gaceta de Madrid n.º 12 (suplemento)</t>
  </si>
  <si>
    <t>GMD-E-1809-12.pdf</t>
  </si>
  <si>
    <t>GMD-1809-13.pdf</t>
  </si>
  <si>
    <t>GMD-E-1809-13.pdf</t>
  </si>
  <si>
    <t>GMD-1809-14.pdf</t>
  </si>
  <si>
    <t>Gaceta de Madrid n.º 14 (suplemento)</t>
  </si>
  <si>
    <t>GMD-E-1809-14.pdf</t>
  </si>
  <si>
    <t>GGB-1809-3.pdf</t>
  </si>
  <si>
    <t>GMD-1809-15.pdf</t>
  </si>
  <si>
    <t>Gaceta de Madrid n.º 15 (suplemento)</t>
  </si>
  <si>
    <t>GMD-E-1809-15.pdf</t>
  </si>
  <si>
    <t>GMD-1809-16.pdf</t>
  </si>
  <si>
    <t>GGB-1809-3E.pdf</t>
  </si>
  <si>
    <t>GMD-1809-17.pdf</t>
  </si>
  <si>
    <t>GMD-1809-18.pdf</t>
  </si>
  <si>
    <t>GMD-1809-19.pdf</t>
  </si>
  <si>
    <t>GGB-1809-3E2.pdf</t>
  </si>
  <si>
    <t>GMD-1809-20.pdf</t>
  </si>
  <si>
    <t>GGB-1809-4.pdf</t>
  </si>
  <si>
    <t>GMD-1809-21.pdf</t>
  </si>
  <si>
    <t>GMD-1809-22.pdf</t>
  </si>
  <si>
    <t>Gaceta de Madrid n.º 23</t>
  </si>
  <si>
    <t>GMD-1809-23.pdf</t>
  </si>
  <si>
    <t>GGB-1809-4E.pdf</t>
  </si>
  <si>
    <t>GMD-1809-24.pdf</t>
  </si>
  <si>
    <t>GMD-1809-25.pdf</t>
  </si>
  <si>
    <t>GMD-1809-26.pdf</t>
  </si>
  <si>
    <t>GMD-1809-27.pdf</t>
  </si>
  <si>
    <t>GGB-1809-5.pdf</t>
  </si>
  <si>
    <t>GGB-G-1809-5.pdf</t>
  </si>
  <si>
    <t>GMD-1809-28.pdf</t>
  </si>
  <si>
    <t>GMD-1809-29.pdf</t>
  </si>
  <si>
    <t>GMD-1809-30.pdf</t>
  </si>
  <si>
    <t>GMD-1809-31.pdf</t>
  </si>
  <si>
    <t>GMD-1809-32.pdf</t>
  </si>
  <si>
    <t>GMD-1809-33.pdf</t>
  </si>
  <si>
    <t>GMD-1809-34.pdf</t>
  </si>
  <si>
    <t>GGB-1809-6.pdf</t>
  </si>
  <si>
    <t>GGB-G-1809-6.pdf</t>
  </si>
  <si>
    <t>GMD-1809-35.pdf</t>
  </si>
  <si>
    <t>GMD-1809-36.pdf</t>
  </si>
  <si>
    <t>GMD-1809-37.pdf</t>
  </si>
  <si>
    <t>GMD-1809-38.pdf</t>
  </si>
  <si>
    <t>GMD-1809-39.pdf</t>
  </si>
  <si>
    <t>GMD-1809-40.pdf</t>
  </si>
  <si>
    <t>GMD-1809-41.pdf</t>
  </si>
  <si>
    <t>GGB-1809-7.pdf</t>
  </si>
  <si>
    <t>GGB-G-1809-7.pdf</t>
  </si>
  <si>
    <t>GMD-1809-42.pdf</t>
  </si>
  <si>
    <t>GMD-1809-43.pdf</t>
  </si>
  <si>
    <t>13 de febrero de 1809</t>
  </si>
  <si>
    <t>Gaceta de Madrid n.º 44</t>
  </si>
  <si>
    <t>GMD-1809-44.pdf</t>
  </si>
  <si>
    <t>GMD-1809-45.pdf</t>
  </si>
  <si>
    <t>GMD-1809-46.pdf</t>
  </si>
  <si>
    <t>GMD-1809-47.pdf</t>
  </si>
  <si>
    <t>GMD-1809-48.pdf</t>
  </si>
  <si>
    <t>GGB-1809-8.pdf</t>
  </si>
  <si>
    <t>GGB-G-1809-8.pdf</t>
  </si>
  <si>
    <t>GMD-1809-49.pdf</t>
  </si>
  <si>
    <t>GGB-1809-8E.pdf</t>
  </si>
  <si>
    <t>GMD-1809-50.pdf</t>
  </si>
  <si>
    <t>GMD-1809-51.pdf</t>
  </si>
  <si>
    <t>Gaceta de Madrid n.º 51 (suplemento)</t>
  </si>
  <si>
    <t>GMD-E-1809-51.pdf</t>
  </si>
  <si>
    <t>GMD-1809-52.pdf</t>
  </si>
  <si>
    <t>GGB-1809-8E2.pdf</t>
  </si>
  <si>
    <t>GMD-1809-53.pdf</t>
  </si>
  <si>
    <t>GMD-1809-54.pdf</t>
  </si>
  <si>
    <t>GMD-1809-55.pdf</t>
  </si>
  <si>
    <t>GGB-1809-9.pdf</t>
  </si>
  <si>
    <t>GGB-G-1809-9.pdf</t>
  </si>
  <si>
    <t>GMD-1809-56.pdf</t>
  </si>
  <si>
    <t>GMD-1809-57.pdf</t>
  </si>
  <si>
    <t>GMD-1809-58.pdf</t>
  </si>
  <si>
    <t>GMD-1809-59.pdf</t>
  </si>
  <si>
    <t>GGB-1809-9E.pdf</t>
  </si>
  <si>
    <t>Gaceta de Madrid n.º 60</t>
  </si>
  <si>
    <t>GMD-1809-60.pdf</t>
  </si>
  <si>
    <t>GGB-1809-9E2.pdf</t>
  </si>
  <si>
    <t>GMD-1809-61.pdf</t>
  </si>
  <si>
    <t>GMD-1809-62.pdf</t>
  </si>
  <si>
    <t>GGB-1809-10.pdf</t>
  </si>
  <si>
    <t>GGB-G-1809-10.pdf</t>
  </si>
  <si>
    <t>GMD-1809-63.pdf</t>
  </si>
  <si>
    <t>GMD-1809-64.pdf</t>
  </si>
  <si>
    <t>GMD-1809-65.pdf</t>
  </si>
  <si>
    <t>GMD-1809-66.pdf</t>
  </si>
  <si>
    <t>GMD-1809-67.pdf</t>
  </si>
  <si>
    <t>GMD-1809-68.pdf</t>
  </si>
  <si>
    <t>GMD-1809-69.pdf</t>
  </si>
  <si>
    <t>GGB-1809-11.pdf</t>
  </si>
  <si>
    <t>GGB-H-1809-11.pdf</t>
  </si>
  <si>
    <t>GGB-G-1809-11.pdf</t>
  </si>
  <si>
    <t>GMD-1809-70.pdf</t>
  </si>
  <si>
    <t>GMD-1809-71.pdf</t>
  </si>
  <si>
    <t>GMD-1809-72.pdf</t>
  </si>
  <si>
    <t>GMD-1809-73.pdf</t>
  </si>
  <si>
    <t>GMD-1809-74.pdf</t>
  </si>
  <si>
    <t>GMD-1809-75.pdf</t>
  </si>
  <si>
    <t>GMD-1809-76.pdf</t>
  </si>
  <si>
    <t>GGB-1809-12.pdf</t>
  </si>
  <si>
    <t>GGB-H-1809-12.pdf</t>
  </si>
  <si>
    <t>GGB-G-1809-12.pdf</t>
  </si>
  <si>
    <t>GMD-1809-77.pdf</t>
  </si>
  <si>
    <t>GMD-1809-78.pdf</t>
  </si>
  <si>
    <t>GMD-1809-79.pdf</t>
  </si>
  <si>
    <t>GMD-1809-80.pdf</t>
  </si>
  <si>
    <t>GMD-1809-81.pdf</t>
  </si>
  <si>
    <t>GMD-1809-82.pdf</t>
  </si>
  <si>
    <t>GMD-1809-83.pdf</t>
  </si>
  <si>
    <t>GGB-1809-13.pdf</t>
  </si>
  <si>
    <t>GMD-1809-84.pdf</t>
  </si>
  <si>
    <t>GGB-1809-13E.pdf</t>
  </si>
  <si>
    <t>GMD-1809-85.pdf</t>
  </si>
  <si>
    <t>GMD-1809-86.pdf</t>
  </si>
  <si>
    <t>GGB-1809-13B.pdf</t>
  </si>
  <si>
    <t>GGB-G-1809-13B.pdf</t>
  </si>
  <si>
    <t>GMD-1809-87.pdf</t>
  </si>
  <si>
    <t>GMD-1809-88.pdf</t>
  </si>
  <si>
    <t>GMD-1809-89.pdf</t>
  </si>
  <si>
    <t>GMD-1809-90.pdf</t>
  </si>
  <si>
    <t>GGB-1809-14.pdf</t>
  </si>
  <si>
    <t>1 de abril de 1809</t>
  </si>
  <si>
    <t>Gaceta de Madrid n.º 91</t>
  </si>
  <si>
    <t>GMD-1809-91.pdf</t>
  </si>
  <si>
    <t>Gazeta del Gobierno n.º 14 (extraordinaria)</t>
  </si>
  <si>
    <t>GGB-1809-14E.pdf</t>
  </si>
  <si>
    <t>GMD-1809-92.pdf</t>
  </si>
  <si>
    <t>GGB-1809-14E2.pdf</t>
  </si>
  <si>
    <t>GMD-1809-93.pdf</t>
  </si>
  <si>
    <t>GGB-1809-14B.pdf</t>
  </si>
  <si>
    <t>GMD-1809-94.pdf</t>
  </si>
  <si>
    <t>5 de abril de 1809</t>
  </si>
  <si>
    <t>Gaceta de Madrid n.º 95</t>
  </si>
  <si>
    <t>GMD-1809-95.pdf</t>
  </si>
  <si>
    <t>GMD-1809-96.pdf</t>
  </si>
  <si>
    <t>Gazeta del Gobierno n.º 14 (extraordinaria 3)</t>
  </si>
  <si>
    <t>GGB-1809-14E3.pdf</t>
  </si>
  <si>
    <t>GMD-1809-97.pdf</t>
  </si>
  <si>
    <t>GGB-1809-15.pdf</t>
  </si>
  <si>
    <t>GGB-1809-15E.pdf</t>
  </si>
  <si>
    <t>GMD-1809-98.pdf</t>
  </si>
  <si>
    <t>GMD-1809-99.pdf</t>
  </si>
  <si>
    <t>GMD-1809-100.pdf</t>
  </si>
  <si>
    <t>GGB-1809-16.pdf</t>
  </si>
  <si>
    <t>GMD-1809-101.pdf</t>
  </si>
  <si>
    <t>GGB-1809-16E.pdf</t>
  </si>
  <si>
    <t>GMD-1809-102.pdf</t>
  </si>
  <si>
    <t>GMD-1809-103.pdf</t>
  </si>
  <si>
    <t>GMD-1809-104.pdf</t>
  </si>
  <si>
    <t>GGB-1809-17.pdf</t>
  </si>
  <si>
    <t>Gazeta del Gobierno n.º 17 (extraordinaria)</t>
  </si>
  <si>
    <t>GGB-1809-17E.pdf</t>
  </si>
  <si>
    <t>GMD-1809-105.pdf</t>
  </si>
  <si>
    <t>GGB-1809-18E.pdf</t>
  </si>
  <si>
    <t>GMD-1809-106.pdf</t>
  </si>
  <si>
    <t>GMD-1809-107.pdf</t>
  </si>
  <si>
    <t>GGB-1809-19.pdf</t>
  </si>
  <si>
    <t>GGB-G-1809-19.pdf</t>
  </si>
  <si>
    <t>GMD-1809-108.pdf</t>
  </si>
  <si>
    <t>Gaceta de Madrid n.º 109</t>
  </si>
  <si>
    <t>GMD-1809-109.pdf</t>
  </si>
  <si>
    <t>GMD-E-1809-109.pdf</t>
  </si>
  <si>
    <t>Gaceta de Madrid n.º 110</t>
  </si>
  <si>
    <t>GMD-1809-110.pdf</t>
  </si>
  <si>
    <t>GMD-E-1809-110.pdf</t>
  </si>
  <si>
    <t>GMD-1809-111.pdf</t>
  </si>
  <si>
    <t>GGB-1809-20.pdf</t>
  </si>
  <si>
    <t>GGB-1809-20E.pdf</t>
  </si>
  <si>
    <t>GMD-1809-112.pdf</t>
  </si>
  <si>
    <t>GMD-1809-113.pdf</t>
  </si>
  <si>
    <t>GMD-1809-114.pdf</t>
  </si>
  <si>
    <t>GGB-1809-21.pdf</t>
  </si>
  <si>
    <t>GGB-1809-21E.pdf</t>
  </si>
  <si>
    <t>GGB-G-1809-21.pdf</t>
  </si>
  <si>
    <t>GMD-1809-115.pdf</t>
  </si>
  <si>
    <t>GMD-1809-116.pdf</t>
  </si>
  <si>
    <t>GMD-1809-117.pdf</t>
  </si>
  <si>
    <t>GMD-1809-118.pdf</t>
  </si>
  <si>
    <t>GGB-1809-22.pdf</t>
  </si>
  <si>
    <t>GMD-1809-119.pdf</t>
  </si>
  <si>
    <t>GMD-E-1809-119.pdf</t>
  </si>
  <si>
    <t>GMD-1809-120.pdf</t>
  </si>
  <si>
    <t>GMD-E-1809-120.pdf</t>
  </si>
  <si>
    <t>GMD-1809-121.pdf</t>
  </si>
  <si>
    <t>GGB-1809-23.pdf</t>
  </si>
  <si>
    <t>GMD-1809-122.pdf</t>
  </si>
  <si>
    <t>Gaceta de Madrid n.º 123</t>
  </si>
  <si>
    <t>GMD-1809-123.pdf</t>
  </si>
  <si>
    <t>GMD-E-1809-123.pdf</t>
  </si>
  <si>
    <t>GMD-1809-124.pdf</t>
  </si>
  <si>
    <t>Gaceta de Madrid n.º 125</t>
  </si>
  <si>
    <t>GMD-1809-125.pdf</t>
  </si>
  <si>
    <t>GGB-1809-24.pdf</t>
  </si>
  <si>
    <t>GMD-1809-126.pdf</t>
  </si>
  <si>
    <t>GMD-1809-127.pdf</t>
  </si>
  <si>
    <t>GMD-1809-128.pdf</t>
  </si>
  <si>
    <t>GGB-1809-25.pdf</t>
  </si>
  <si>
    <t>GGB-G-1809-25.pdf</t>
  </si>
  <si>
    <t>GMD-1809-129.pdf</t>
  </si>
  <si>
    <t>GMD-1809-130.pdf</t>
  </si>
  <si>
    <t>GMD-1809-131.pdf</t>
  </si>
  <si>
    <t>GMD-E-1809-131.pdf</t>
  </si>
  <si>
    <t>GMD-1809-132.pdf</t>
  </si>
  <si>
    <t>GGB-1809-26.pdf</t>
  </si>
  <si>
    <t>GGB-G-1809-26.pdf</t>
  </si>
  <si>
    <t>GMD-1809-133.pdf</t>
  </si>
  <si>
    <t>GMD-1809-134.pdf</t>
  </si>
  <si>
    <t>GMD-1809-135.pdf</t>
  </si>
  <si>
    <t>GGB-1809-27.pdf</t>
  </si>
  <si>
    <t>GGB-G-1809-27.pdf</t>
  </si>
  <si>
    <t>GMD-1809-136.pdf</t>
  </si>
  <si>
    <t>GMD-1809-137.pdf</t>
  </si>
  <si>
    <t>GMD-1809-138.pdf</t>
  </si>
  <si>
    <t>GMD-1809-139.pdf</t>
  </si>
  <si>
    <t>GGB-1809-29.pdf</t>
  </si>
  <si>
    <t>GGB-1809-29E.pdf</t>
  </si>
  <si>
    <t>GMD-1809-140.pdf</t>
  </si>
  <si>
    <t>GGB-1809-29E2.pdf</t>
  </si>
  <si>
    <t>GMD-1809-141.pdf</t>
  </si>
  <si>
    <t>GMD-1809-142.pdf</t>
  </si>
  <si>
    <t>GGB-1809-30.pdf</t>
  </si>
  <si>
    <t>GGB-G-1809-30.pdf</t>
  </si>
  <si>
    <t>23 de mayo de 1809</t>
  </si>
  <si>
    <t>Gaceta de Madrid n.º 143</t>
  </si>
  <si>
    <t>GMD-1809-143.pdf</t>
  </si>
  <si>
    <t>GMD-1809-144.pdf</t>
  </si>
  <si>
    <t>GMD-1809-145.pdf</t>
  </si>
  <si>
    <t>GMD-1809-146.pdf</t>
  </si>
  <si>
    <t>GGB-1809-31.pdf</t>
  </si>
  <si>
    <t>GMD-1809-147.pdf</t>
  </si>
  <si>
    <t>Gazeta del Gobierno n.º 31 (extraordinaria)</t>
  </si>
  <si>
    <t>GGB-1809-31E.pdf</t>
  </si>
  <si>
    <t>GMD-1809-148.pdf</t>
  </si>
  <si>
    <t>GMD-E-1809-148.pdf</t>
  </si>
  <si>
    <t>GGB-1809-31E2.pdf</t>
  </si>
  <si>
    <t>GMD-1809-149.pdf</t>
  </si>
  <si>
    <t>GGB-1809-32.pdf</t>
  </si>
  <si>
    <t>GMD-1809-150.pdf</t>
  </si>
  <si>
    <t>GGB-1809-32E.pdf</t>
  </si>
  <si>
    <t>GMD-1809-151.pdf</t>
  </si>
  <si>
    <t>GMD-1809-152.pdf</t>
  </si>
  <si>
    <t>GMD-1809-153.pdf</t>
  </si>
  <si>
    <t>GGB-1809-33.pdf</t>
  </si>
  <si>
    <t>GGB-1809-33E.pdf</t>
  </si>
  <si>
    <t>GMD-1809-154.pdf</t>
  </si>
  <si>
    <t>GGB-1809-33E2.pdf</t>
  </si>
  <si>
    <t>Gazeta del Gobierno n.º 33 (extraordinaria 3)</t>
  </si>
  <si>
    <t>GGB-1809-33E3.pdf</t>
  </si>
  <si>
    <t>GMD-1809-155.pdf</t>
  </si>
  <si>
    <t>GMD-1809-156.pdf</t>
  </si>
  <si>
    <t>GGB-1809-34.pdf</t>
  </si>
  <si>
    <t>GGB-1809-34E.pdf</t>
  </si>
  <si>
    <t>GMD-1809-157.pdf</t>
  </si>
  <si>
    <t>GMD-1809-158.pdf</t>
  </si>
  <si>
    <t>GMD-1809-159.pdf</t>
  </si>
  <si>
    <t>GMD-1809-160.pdf</t>
  </si>
  <si>
    <t>GGB-1809-35.pdf</t>
  </si>
  <si>
    <t>GMD-1809-161.pdf</t>
  </si>
  <si>
    <t>GGB-1809-35E.pdf</t>
  </si>
  <si>
    <t>GMD-1809-162.pdf</t>
  </si>
  <si>
    <t>GMD-1809-163.pdf</t>
  </si>
  <si>
    <t>GGB-1809-36.pdf</t>
  </si>
  <si>
    <t>GMD-1809-164.pdf</t>
  </si>
  <si>
    <t>GMD-1809-165.pdf</t>
  </si>
  <si>
    <t>GMD-1809-166.pdf</t>
  </si>
  <si>
    <t>GMD-1809-167.pdf</t>
  </si>
  <si>
    <t>GGB-1809-37.pdf</t>
  </si>
  <si>
    <t>GMD-1809-168.pdf</t>
  </si>
  <si>
    <t>GMD-1809-169.pdf</t>
  </si>
  <si>
    <t>GMD-1809-170.pdf</t>
  </si>
  <si>
    <t>GGB-1809-38.pdf</t>
  </si>
  <si>
    <t>GGB-1809-38E.pdf</t>
  </si>
  <si>
    <t>GMD-1809-171.pdf</t>
  </si>
  <si>
    <t>GGB-1809-38E2.pdf</t>
  </si>
  <si>
    <t>GMD-1809-172.pdf</t>
  </si>
  <si>
    <t>GMD-1809-173.pdf</t>
  </si>
  <si>
    <t>GMD-1809-174.pdf</t>
  </si>
  <si>
    <t>GGB-1809-39.pdf</t>
  </si>
  <si>
    <t>GMD-1809-175.pdf</t>
  </si>
  <si>
    <t>GMD-1809-176.pdf</t>
  </si>
  <si>
    <t>GMD-1809-177.pdf</t>
  </si>
  <si>
    <t>GGB-1809-40.pdf</t>
  </si>
  <si>
    <t>GMD-1809-178.pdf</t>
  </si>
  <si>
    <t>GMD-1809-179.pdf</t>
  </si>
  <si>
    <t>GMD-1809-180.pdf</t>
  </si>
  <si>
    <t>GMD-1809-181.pdf</t>
  </si>
  <si>
    <t>GGB-1809-41.pdf</t>
  </si>
  <si>
    <t>GMD-1809-182.pdf</t>
  </si>
  <si>
    <t>GMD-1809-183.pdf</t>
  </si>
  <si>
    <t>GMD-1809-184.pdf</t>
  </si>
  <si>
    <t>GGB-1809-41E.pdf</t>
  </si>
  <si>
    <t>GMD-1809-185.pdf</t>
  </si>
  <si>
    <t>GGB-1809-42.pdf</t>
  </si>
  <si>
    <t>GMD-1809-186.pdf</t>
  </si>
  <si>
    <t>GMD-1809-187.pdf</t>
  </si>
  <si>
    <t>GMD-1809-188.pdf</t>
  </si>
  <si>
    <t>GGB-1809-43.pdf</t>
  </si>
  <si>
    <t>GGB-G-1809-43.pdf</t>
  </si>
  <si>
    <t>GMD-1809-189.pdf</t>
  </si>
  <si>
    <t>GMD-1809-190.pdf</t>
  </si>
  <si>
    <t>GMD-1809-191.pdf</t>
  </si>
  <si>
    <t>GMD-1809-192.pdf</t>
  </si>
  <si>
    <t>GGB-1809-44.pdf</t>
  </si>
  <si>
    <t>GMD-1809-193.pdf</t>
  </si>
  <si>
    <t>GMD-1809-194.pdf</t>
  </si>
  <si>
    <t>GMD-1809-195.pdf</t>
  </si>
  <si>
    <t>GGB-1809-45.pdf</t>
  </si>
  <si>
    <t>GGB-1809-45E.pdf</t>
  </si>
  <si>
    <t>GMD-1809-196.pdf</t>
  </si>
  <si>
    <t>GMD-1809-197.pdf</t>
  </si>
  <si>
    <t>GMD-1809-198.pdf</t>
  </si>
  <si>
    <t>GMD-1809-199.pdf</t>
  </si>
  <si>
    <t>GGB-1809-46.pdf</t>
  </si>
  <si>
    <t>GMD-1809-200.pdf</t>
  </si>
  <si>
    <t>GMD-1809-201.pdf</t>
  </si>
  <si>
    <t>GMD-1809-202.pdf</t>
  </si>
  <si>
    <t>GGB-1809-47.pdf</t>
  </si>
  <si>
    <t>GMD-1809-203.pdf</t>
  </si>
  <si>
    <t>GMD-1809-204.pdf</t>
  </si>
  <si>
    <t>GMD-1809-205.pdf</t>
  </si>
  <si>
    <t>GMD-1809-206.pdf</t>
  </si>
  <si>
    <t>GGB-1809-48.pdf</t>
  </si>
  <si>
    <t>GMD-1809-207.pdf</t>
  </si>
  <si>
    <t>GGB-1809-48E.pdf</t>
  </si>
  <si>
    <t>GMD-1809-208.pdf</t>
  </si>
  <si>
    <t>GMD-1809-209E.pdf</t>
  </si>
  <si>
    <t>Gazeta del Gobierno n.º 48 (extraordinaria 2)</t>
  </si>
  <si>
    <t>GGB-1809-48E2.pdf</t>
  </si>
  <si>
    <t>GMD-1809-210.pdf</t>
  </si>
  <si>
    <t>GGB-1809-49.pdf</t>
  </si>
  <si>
    <t>GMD-1809-211.pdf</t>
  </si>
  <si>
    <t>GMD-1809-212.pdf</t>
  </si>
  <si>
    <t>GMD-1809-213.pdf</t>
  </si>
  <si>
    <t>GGB-1809-49E.pdf</t>
  </si>
  <si>
    <t>GMD-1809-214.pdf</t>
  </si>
  <si>
    <t>GGB-1809-50.pdf</t>
  </si>
  <si>
    <t>GMD-1809-215.pdf</t>
  </si>
  <si>
    <t>Gaceta de Madrid n.º 216</t>
  </si>
  <si>
    <t>GMD-1809-216.pdf</t>
  </si>
  <si>
    <t>GMD-1809-217.pdf</t>
  </si>
  <si>
    <t>GMD-1809-218.pdf</t>
  </si>
  <si>
    <t>GMD-1809-219.pdf</t>
  </si>
  <si>
    <t>GMD-1809-220.pdf</t>
  </si>
  <si>
    <t>GMD-1809-221.pdf</t>
  </si>
  <si>
    <t>GMD-1809-222.pdf</t>
  </si>
  <si>
    <t>GMD-1809-223.pdf</t>
  </si>
  <si>
    <t>GMD-1809-224.pdf</t>
  </si>
  <si>
    <t>GMD-1809-225.pdf</t>
  </si>
  <si>
    <t>GGB-1809-52.pdf</t>
  </si>
  <si>
    <t>GMD-1809-226.pdf</t>
  </si>
  <si>
    <t>GMD-1809-227.pdf</t>
  </si>
  <si>
    <t>GGB-1809-52E.pdf</t>
  </si>
  <si>
    <t>GMD-1809-228.pdf</t>
  </si>
  <si>
    <t>GGB-1809-62.pdf</t>
  </si>
  <si>
    <t>16 de agosto de 1809</t>
  </si>
  <si>
    <t>Gaceta de Madrid n.º 229</t>
  </si>
  <si>
    <t>GMD-1809-229.pdf</t>
  </si>
  <si>
    <t>GMD-1809-230.pdf</t>
  </si>
  <si>
    <t>GGB-1809-72.pdf</t>
  </si>
  <si>
    <t>GMD-1809-231.pdf</t>
  </si>
  <si>
    <t>GMD-1809-232.pdf</t>
  </si>
  <si>
    <t>GGB-1809-82.pdf</t>
  </si>
  <si>
    <t>GMD-1809-233.pdf</t>
  </si>
  <si>
    <t>GMD-1809-234.pdf</t>
  </si>
  <si>
    <t>GMD-1809-235.pdf</t>
  </si>
  <si>
    <t>GGB-1809-92.pdf</t>
  </si>
  <si>
    <t>GMD-1809-236.pdf</t>
  </si>
  <si>
    <t>GMD-1809-237.pdf</t>
  </si>
  <si>
    <t>GGB-1809-102.pdf</t>
  </si>
  <si>
    <t>GMD-1809-238.pdf</t>
  </si>
  <si>
    <t>GMD-1809-239.pdf</t>
  </si>
  <si>
    <t>GGB-1809-112.pdf</t>
  </si>
  <si>
    <t>GMD-1809-240.pdf</t>
  </si>
  <si>
    <t>GGB-1809-112E.pdf</t>
  </si>
  <si>
    <t>GMD-1809-241.pdf</t>
  </si>
  <si>
    <t>GMD-1809-242.pdf</t>
  </si>
  <si>
    <t>GGB-1809-122.pdf</t>
  </si>
  <si>
    <t>GMD-1809-243.pdf</t>
  </si>
  <si>
    <t>GMD-1809-244.pdf</t>
  </si>
  <si>
    <t>GGB-1809-132.pdf</t>
  </si>
  <si>
    <t>GGB-H-1809-132.pdf</t>
  </si>
  <si>
    <t>GMD-1809-245.pdf</t>
  </si>
  <si>
    <t>GMD-1809-246.pdf</t>
  </si>
  <si>
    <t>GGB-1809-142.pdf</t>
  </si>
  <si>
    <t>GMD-1809-247.pdf</t>
  </si>
  <si>
    <t>GMD-1809-248.pdf</t>
  </si>
  <si>
    <t>GMD-1809-249.pdf</t>
  </si>
  <si>
    <t>GGB-1809-152.pdf</t>
  </si>
  <si>
    <t>GMD-1809-250.pdf</t>
  </si>
  <si>
    <t>GMD-1809-251.pdf</t>
  </si>
  <si>
    <t>GGB-1809-162.pdf</t>
  </si>
  <si>
    <t>GGB-H-1809-162.pdf</t>
  </si>
  <si>
    <t>GMD-1809-252.pdf</t>
  </si>
  <si>
    <t>Gaceta de Madrid n.º 253</t>
  </si>
  <si>
    <t>GMD-1809-253.pdf</t>
  </si>
  <si>
    <t>GGB-1809-172.pdf</t>
  </si>
  <si>
    <t>GMD-1809-254.pdf</t>
  </si>
  <si>
    <t>GMD-1809-255.pdf</t>
  </si>
  <si>
    <t>GMD-1809-256.pdf</t>
  </si>
  <si>
    <t>GGB-1809-182.pdf</t>
  </si>
  <si>
    <t>GGB-H-1809-182.pdf</t>
  </si>
  <si>
    <t>GMD-1809-257.pdf</t>
  </si>
  <si>
    <t>GMD-1809-258.pdf</t>
  </si>
  <si>
    <t>GGB-1809-192.pdf</t>
  </si>
  <si>
    <t>GMD-1809-259.pdf</t>
  </si>
  <si>
    <t>GMD-1809-260.pdf</t>
  </si>
  <si>
    <t>GGB-1809-202.pdf</t>
  </si>
  <si>
    <t>GGB-H-1809-202.pdf</t>
  </si>
  <si>
    <t>GMD-1809-261.pdf</t>
  </si>
  <si>
    <t>GMD-1809-262.pdf</t>
  </si>
  <si>
    <t>GMD-1809-263.pdf</t>
  </si>
  <si>
    <t>GGB-1809-212.pdf</t>
  </si>
  <si>
    <t>GMD-1809-264.pdf</t>
  </si>
  <si>
    <t>GMD-1809-265.pdf</t>
  </si>
  <si>
    <t>GMD-E-1809-265.pdf</t>
  </si>
  <si>
    <t>GGB-1809-222.pdf</t>
  </si>
  <si>
    <t>GMD-1809-266.pdf</t>
  </si>
  <si>
    <t>GMD-1809-267.pdf</t>
  </si>
  <si>
    <t>GGB-1809-232.pdf</t>
  </si>
  <si>
    <t>GGB-H-1809-232.pdf</t>
  </si>
  <si>
    <t>GMD-1809-268.pdf</t>
  </si>
  <si>
    <t>25 de septiembre de 1809</t>
  </si>
  <si>
    <t>Gaceta de Madrid n.º 269</t>
  </si>
  <si>
    <t>GMD-1809-269.pdf</t>
  </si>
  <si>
    <t>GMD-1809-270.pdf</t>
  </si>
  <si>
    <t>GGB-1809-242.pdf</t>
  </si>
  <si>
    <t>GMD-1809-271.pdf</t>
  </si>
  <si>
    <t>GMD-1809-272.pdf</t>
  </si>
  <si>
    <t>GGB-1809-252.pdf</t>
  </si>
  <si>
    <t>GMD-1809-273.pdf</t>
  </si>
  <si>
    <t>GMD-1809-274.pdf</t>
  </si>
  <si>
    <t>GGB-1809-262.pdf</t>
  </si>
  <si>
    <t>GGB-H-1809-262.pdf</t>
  </si>
  <si>
    <t>GMD-1809-275.pdf</t>
  </si>
  <si>
    <t>GMD-1809-276.pdf</t>
  </si>
  <si>
    <t>GMD-1809-277.pdf</t>
  </si>
  <si>
    <t>GGB-1809-272.pdf</t>
  </si>
  <si>
    <t>GMD-1809-278.pdf</t>
  </si>
  <si>
    <t>GMD-1809-279.pdf</t>
  </si>
  <si>
    <t>Gaceta de Madrid n.º 279 (suplemento)</t>
  </si>
  <si>
    <t>GMD-E-1809-279.pdf</t>
  </si>
  <si>
    <t>GGB-1809-282.pdf</t>
  </si>
  <si>
    <t>GMD-1809-280.pdf</t>
  </si>
  <si>
    <t>GMD-1809-281.pdf</t>
  </si>
  <si>
    <t>GGB-1809-292.pdf</t>
  </si>
  <si>
    <t>GGB-H-1809-292.pdf</t>
  </si>
  <si>
    <t>GMD-1809-282.pdf</t>
  </si>
  <si>
    <t>GMD-1809-283.pdf</t>
  </si>
  <si>
    <t>GMD-1809-284.pdf</t>
  </si>
  <si>
    <t>GGB-1809-302.pdf</t>
  </si>
  <si>
    <t>GMD-1809-285.pdf</t>
  </si>
  <si>
    <t>GMD-1809-286.pdf</t>
  </si>
  <si>
    <t>GGB-1809-312.pdf</t>
  </si>
  <si>
    <t>GMD-1809-287.pdf</t>
  </si>
  <si>
    <t>GMD-1809-288.pdf</t>
  </si>
  <si>
    <t>GGB-1809-322.pdf</t>
  </si>
  <si>
    <t>GGB-H-1809-322.pdf</t>
  </si>
  <si>
    <t>GMD-1809-289.pdf</t>
  </si>
  <si>
    <t>GMD-1809-290.pdf</t>
  </si>
  <si>
    <t>GMD-1809-291.pdf</t>
  </si>
  <si>
    <t>GGB-1809-332.pdf</t>
  </si>
  <si>
    <t>GMD-1809-292.pdf</t>
  </si>
  <si>
    <t>GMD-1809-293.pdf</t>
  </si>
  <si>
    <t>GGB-1809-342.pdf</t>
  </si>
  <si>
    <t>GMD-1809-294.pdf</t>
  </si>
  <si>
    <t>GMD-1809-295.pdf</t>
  </si>
  <si>
    <t>GGB-1809-352.pdf</t>
  </si>
  <si>
    <t>22 de octubre de 1809</t>
  </si>
  <si>
    <t>Gaceta de Madrid n.º 296</t>
  </si>
  <si>
    <t>GMD-1809-296.pdf</t>
  </si>
  <si>
    <t>GMD-1809-297.pdf</t>
  </si>
  <si>
    <t>GMD-E-1809-297.pdf</t>
  </si>
  <si>
    <t>Gaceta de Madrid n.º 298</t>
  </si>
  <si>
    <t>GMD-1809-298.pdf</t>
  </si>
  <si>
    <t>GGB-1809-362.pdf</t>
  </si>
  <si>
    <t>GGB-H-1809-362.pdf</t>
  </si>
  <si>
    <t>25 de octubre de 1809</t>
  </si>
  <si>
    <t>Gaceta de Madrid n.º 299</t>
  </si>
  <si>
    <t>GMD-1809-299.pdf</t>
  </si>
  <si>
    <t>GMD-1809-300.pdf</t>
  </si>
  <si>
    <t>GMD-1809-301.pdf</t>
  </si>
  <si>
    <t>GMD-1809-302.pdf</t>
  </si>
  <si>
    <t>GGB-1809-382.pdf</t>
  </si>
  <si>
    <t>GGB-1809-382E.pdf</t>
  </si>
  <si>
    <t>GMD-1809-303.pdf</t>
  </si>
  <si>
    <t>GMD-1809-304.pdf</t>
  </si>
  <si>
    <t>GMD-1809-305.pdf</t>
  </si>
  <si>
    <t>GGB-1809-392.pdf</t>
  </si>
  <si>
    <t>1 de noviembre de 1809</t>
  </si>
  <si>
    <t>Gaceta de Madrid n.º 306</t>
  </si>
  <si>
    <t>GMD-1809-306.pdf</t>
  </si>
  <si>
    <t>GMD-1809-307.pdf</t>
  </si>
  <si>
    <t>GGB-1809-402.pdf</t>
  </si>
  <si>
    <t>GMD-1809-308.pdf</t>
  </si>
  <si>
    <t>GMD-1809-309.pdf</t>
  </si>
  <si>
    <t>GGB-1809-412.pdf</t>
  </si>
  <si>
    <t>GMD-1809-310.pdf</t>
  </si>
  <si>
    <t>GMD-1809-311.pdf</t>
  </si>
  <si>
    <t>GMD-1809-312.pdf</t>
  </si>
  <si>
    <t>GGB-1809-422.pdf</t>
  </si>
  <si>
    <t>GMD-1809-313.pdf</t>
  </si>
  <si>
    <t>GMD-1809-314.pdf</t>
  </si>
  <si>
    <t>GMD-E-1809-314.pdf</t>
  </si>
  <si>
    <t>GGB-1809-432.pdf</t>
  </si>
  <si>
    <t>GMD-1809-315.pdf</t>
  </si>
  <si>
    <t>GMD-1809-316.pdf</t>
  </si>
  <si>
    <t>Gaceta de Madrid n.º 316 (suplemento)</t>
  </si>
  <si>
    <t>GMD-E-1809-316.pdf</t>
  </si>
  <si>
    <t>GGB-1809-442.pdf</t>
  </si>
  <si>
    <t>GMD-1809-317.pdf</t>
  </si>
  <si>
    <t>GMD-1809-318.pdf</t>
  </si>
  <si>
    <t>Gaceta de Madrid n.º 318 (suplemento)</t>
  </si>
  <si>
    <t>GMD-E-1809-318.pdf</t>
  </si>
  <si>
    <t>GMD-1809-319.pdf</t>
  </si>
  <si>
    <t>GGB-1809-452.pdf</t>
  </si>
  <si>
    <t>GMD-1809-320.pdf</t>
  </si>
  <si>
    <t>Gaceta de Madrid n.º 321</t>
  </si>
  <si>
    <t>GMD-1809-321.pdf</t>
  </si>
  <si>
    <t>GGB-1809-462.pdf</t>
  </si>
  <si>
    <t>GGB-H-1809-462.pdf</t>
  </si>
  <si>
    <t>GMD-1809-322.pdf</t>
  </si>
  <si>
    <t>GMD-1809-323.pdf</t>
  </si>
  <si>
    <t>GGB-1809-472.pdf</t>
  </si>
  <si>
    <t>GMD-1809-324.pdf</t>
  </si>
  <si>
    <t>Gaceta de Madrid n.º 324 (suplemento)</t>
  </si>
  <si>
    <t>GMD-E-1809-324.pdf</t>
  </si>
  <si>
    <t>GMD-1809-325.pdf</t>
  </si>
  <si>
    <t>GMD-1809-326.pdf</t>
  </si>
  <si>
    <t>GGB-1809-482.pdf</t>
  </si>
  <si>
    <t>GMD-1809-327.pdf</t>
  </si>
  <si>
    <t>GMD-1809-328.pdf</t>
  </si>
  <si>
    <t>Gaceta de Madrid n.º 328 (suplemento)</t>
  </si>
  <si>
    <t>GMD-E-1809-328.pdf</t>
  </si>
  <si>
    <t>GGB-1809-492.pdf</t>
  </si>
  <si>
    <t>GGB-1809-492E.pdf</t>
  </si>
  <si>
    <t>GMD-1809-329.pdf</t>
  </si>
  <si>
    <t>GMD-1809-330.pdf</t>
  </si>
  <si>
    <t>GGB-1809-502.pdf</t>
  </si>
  <si>
    <t>GMD-1809-331.pdf</t>
  </si>
  <si>
    <t>GMD-1809-332.pdf</t>
  </si>
  <si>
    <t>GMD-1809-333.pdf</t>
  </si>
  <si>
    <t>GGB-1809-512.pdf</t>
  </si>
  <si>
    <t>GGB-H-1809-512.pdf</t>
  </si>
  <si>
    <t>29 de noviembre de 1809</t>
  </si>
  <si>
    <t>Gaceta de Madrid n.º 334</t>
  </si>
  <si>
    <t>GMD-1809-334.pdf</t>
  </si>
  <si>
    <t>GMD-1809-335.pdf</t>
  </si>
  <si>
    <t>GGB-1809-522.pdf</t>
  </si>
  <si>
    <t>GMD-1809-336.pdf</t>
  </si>
  <si>
    <t>GMD-1809-337.pdf</t>
  </si>
  <si>
    <t>GGB-1809-532.pdf</t>
  </si>
  <si>
    <t>GMD-1809-338.pdf</t>
  </si>
  <si>
    <t>GMD-1809-339.pdf</t>
  </si>
  <si>
    <t>GMD-1809-340.pdf</t>
  </si>
  <si>
    <t>GGB-1809-542.pdf</t>
  </si>
  <si>
    <t>GGB-H-1809-542.pdf</t>
  </si>
  <si>
    <t>GMD-1809-341.pdf</t>
  </si>
  <si>
    <t>GMD-1809-342.pdf</t>
  </si>
  <si>
    <t>GMD-E-1809-342.pdf</t>
  </si>
  <si>
    <t>GGB-1809-552.pdf</t>
  </si>
  <si>
    <t>GMD-1809-343.pdf</t>
  </si>
  <si>
    <t>GGB-1809-552E.pdf</t>
  </si>
  <si>
    <t>GMD-1809-344.pdf</t>
  </si>
  <si>
    <t>GGB-1809-562.pdf</t>
  </si>
  <si>
    <t>GMD-1809-345.pdf</t>
  </si>
  <si>
    <t>GMD-1809-346.pdf</t>
  </si>
  <si>
    <t>GMD-1809-347.pdf</t>
  </si>
  <si>
    <t>GGB-1809-572.pdf</t>
  </si>
  <si>
    <t>GMD-1809-348.pdf</t>
  </si>
  <si>
    <t>GMD-1809-349.pdf</t>
  </si>
  <si>
    <t>GGB-1809-582.pdf</t>
  </si>
  <si>
    <t>GGB-H-1809-582.pdf</t>
  </si>
  <si>
    <t>GMD-1809-350.pdf</t>
  </si>
  <si>
    <t>GMD-1809-351.pdf</t>
  </si>
  <si>
    <t>GGB-1809-592.pdf</t>
  </si>
  <si>
    <t>GGB-H-1809-592.pdf</t>
  </si>
  <si>
    <t>GMD-1809-352.pdf</t>
  </si>
  <si>
    <t>GMD-1809-353.pdf</t>
  </si>
  <si>
    <t>GMD-1809-354.pdf</t>
  </si>
  <si>
    <t>Gaceta de Madrid n.º 354 (suplemento)</t>
  </si>
  <si>
    <t>GMD-E-1809-354.pdf</t>
  </si>
  <si>
    <t>GGB-1809-602.pdf</t>
  </si>
  <si>
    <t>GMD-1809-355.pdf</t>
  </si>
  <si>
    <t>GMD-1809-356.pdf</t>
  </si>
  <si>
    <t>GGB-1809-612.pdf</t>
  </si>
  <si>
    <t>22 de diciembre de 1809</t>
  </si>
  <si>
    <t>Gaceta de Madrid n.º 357</t>
  </si>
  <si>
    <t>GMD-1809-357.pdf</t>
  </si>
  <si>
    <t>GMD-1809-358.pdf</t>
  </si>
  <si>
    <t>GGB-1809-622.pdf</t>
  </si>
  <si>
    <t>GMD-1809-359.pdf</t>
  </si>
  <si>
    <t>GMD-1809-360.pdf</t>
  </si>
  <si>
    <t>GMD-1809-361.pdf</t>
  </si>
  <si>
    <t>GGB-1809-632.pdf</t>
  </si>
  <si>
    <t>GMD-1809-362.pdf</t>
  </si>
  <si>
    <t>GMD-1809-363.pdf</t>
  </si>
  <si>
    <t>GGB-1809-642.pdf</t>
  </si>
  <si>
    <t>GGB-H-1809-642.pdf</t>
  </si>
  <si>
    <t>GMD-1809-364.pdf</t>
  </si>
  <si>
    <t>GMD-1809-365.pdf</t>
  </si>
  <si>
    <t>GGB-1809-652.pdf</t>
  </si>
  <si>
    <t>GMD-1809-366.pdf</t>
  </si>
  <si>
    <t>Criterios, alcance y limitaciones</t>
  </si>
  <si>
    <t>Cobertura</t>
  </si>
  <si>
    <t>Todos los archivos localizados en la hemeroteca oficial para las fechas comprendidas entre el 1 de enero y el 31 de diciembre de 1809, incluidos suplementos y ediciones extraordinarias.</t>
  </si>
  <si>
    <t>Cabeceras</t>
  </si>
  <si>
    <t>Gaceta de Madrid (396 archivos); Gazeta del Gobierno (191); Gazeta Ministerial de Sevilla (4).</t>
  </si>
  <si>
    <t>Numeración</t>
  </si>
  <si>
    <t>La Gazeta del Gobierno reinicia su numeración el 3 de agosto de 1809; el índice distingue esta segunda serie. Los suplementos se asocian al número correspondiente.</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</si>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</sst>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2"/>
      <color rgb="FFFFFFFF"/>
      <name val="Calibri"/>
    </font>
    <font>
      <b/>
      <sz val="10"/>
      <color rgb="FF1F4E78"/>
      <name val="Calibri"/>
    </font>
    <font>
      <sz val="10"/>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s>
  <borders count="2">
    <border>
      <left/>
      <right/>
      <top/>
      <bottom/>
      <diagonal/>
    </border>
    <border>
      <left style="thin">
        <color rgb="FFB4C6E7"/>
      </left>
      <right style="thin">
        <color rgb="FFB4C6E7"/>
      </right>
      <top style="thin">
        <color rgb="FFB4C6E7"/>
      </top>
      <bottom style="thin">
        <color rgb="FFB4C6E7"/>
      </bottom>
      <diagonal/>
    </border>
  </borders>
  <cellStyleXfs count="1">
    <xf numFmtId="0" fontId="0" fillId="0" borderId="0"/>
  </cellStyleXfs>
  <cellXfs count="12">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0" fontId="9" fillId="3" borderId="1" xfId="0"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6" borderId="0" xfId="0" applyFont="1" applyFill="1" applyAlignment="1">
      <alignment vertical="center"/>
    </xf>
    <xf numFmtId="0" fontId="10" fillId="0" borderId="1" xfId="0" applyFont="1" applyBorder="1" applyAlignment="1">
      <alignment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9" displayName="IndiceOnomasticoAnual1809" ref="A6:K5660" totalsRowShown="0">
  <autoFilter ref="A6:K566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9" displayName="FuentesGacetaAnual1809" ref="A4:F595" totalsRowShown="0">
  <autoFilter ref="A4:F595"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5660"/>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5" t="s">
        <v>0</v>
      </c>
      <c r="B1" s="5"/>
      <c r="C1" s="5"/>
      <c r="D1" s="5"/>
      <c r="E1" s="5"/>
      <c r="F1" s="5"/>
      <c r="G1" s="5"/>
      <c r="H1" s="5"/>
      <c r="I1" s="5"/>
      <c r="J1" s="5"/>
      <c r="K1" s="5"/>
    </row>
    <row r="2" spans="1:11" ht="21.95" customHeight="1">
      <c r="A2" s="6" t="s">
        <v>1</v>
      </c>
      <c r="B2" s="6"/>
      <c r="C2" s="6"/>
      <c r="D2" s="6"/>
      <c r="E2" s="6"/>
      <c r="F2" s="6"/>
      <c r="G2" s="6"/>
      <c r="H2" s="6"/>
      <c r="I2" s="6"/>
      <c r="J2" s="6"/>
      <c r="K2" s="6"/>
    </row>
    <row r="3" spans="1:11" ht="33.950000000000003" customHeight="1">
      <c r="A3" s="7" t="s">
        <v>2</v>
      </c>
      <c r="B3" s="7"/>
      <c r="C3" s="7"/>
      <c r="D3" s="7"/>
      <c r="E3" s="7"/>
      <c r="F3" s="7"/>
      <c r="G3" s="7"/>
      <c r="H3" s="7"/>
      <c r="I3" s="7"/>
      <c r="J3" s="7"/>
      <c r="K3" s="7"/>
    </row>
    <row r="4" spans="1:11" ht="21.95" customHeight="1">
      <c r="A4" s="8" t="s">
        <v>3</v>
      </c>
      <c r="B4" s="8"/>
      <c r="C4" s="8"/>
      <c r="D4" s="8"/>
      <c r="E4" s="8"/>
      <c r="F4" s="8"/>
      <c r="G4" s="8"/>
      <c r="H4" s="8"/>
      <c r="I4" s="8"/>
      <c r="J4" s="8"/>
      <c r="K4" s="8"/>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3" t="s">
        <v>19</v>
      </c>
      <c r="F7" s="3" t="s">
        <v>20</v>
      </c>
      <c r="G7" s="3" t="s">
        <v>21</v>
      </c>
      <c r="H7" s="2" t="s">
        <v>22</v>
      </c>
      <c r="I7" s="2" t="s">
        <v>23</v>
      </c>
      <c r="J7" s="3" t="str">
        <f>HYPERLINK("https://www.boe.es/gazeta/dias/1809/02/11/pdfs/GMD-1809-42.pdf#page=4","Abrir facsímil")</f>
        <v>Abrir facsímil</v>
      </c>
      <c r="K7" s="3" t="s">
        <v>24</v>
      </c>
    </row>
    <row r="8" spans="1:11" ht="42" customHeight="1">
      <c r="A8" s="2" t="s">
        <v>15</v>
      </c>
      <c r="B8" s="2" t="s">
        <v>16</v>
      </c>
      <c r="C8" s="2" t="s">
        <v>25</v>
      </c>
      <c r="D8" s="2" t="s">
        <v>26</v>
      </c>
      <c r="E8" s="3" t="s">
        <v>27</v>
      </c>
      <c r="F8" s="3" t="s">
        <v>28</v>
      </c>
      <c r="G8" s="3" t="s">
        <v>29</v>
      </c>
      <c r="H8" s="2" t="s">
        <v>22</v>
      </c>
      <c r="I8" s="2" t="s">
        <v>30</v>
      </c>
      <c r="J8" s="3" t="str">
        <f>HYPERLINK("https://www.boe.es/gazeta/dias/1809/05/12/pdfs/GMD-1809-132.pdf#page=3","Abrir facsímil")</f>
        <v>Abrir facsímil</v>
      </c>
      <c r="K8" s="3" t="s">
        <v>24</v>
      </c>
    </row>
    <row r="9" spans="1:11" ht="42" customHeight="1">
      <c r="A9" s="2" t="s">
        <v>31</v>
      </c>
      <c r="B9" s="2" t="s">
        <v>32</v>
      </c>
      <c r="C9" s="2" t="s">
        <v>17</v>
      </c>
      <c r="D9" s="2" t="s">
        <v>18</v>
      </c>
      <c r="E9" s="3" t="s">
        <v>33</v>
      </c>
      <c r="F9" s="3" t="s">
        <v>34</v>
      </c>
      <c r="G9" s="3" t="s">
        <v>35</v>
      </c>
      <c r="H9" s="2" t="s">
        <v>22</v>
      </c>
      <c r="I9" s="2" t="s">
        <v>36</v>
      </c>
      <c r="J9" s="3" t="str">
        <f>HYPERLINK("https://www.boe.es/gazeta/dias/1809/12/19/pdfs/GGB-1809-602.pdf#page=5","Abrir facsímil")</f>
        <v>Abrir facsímil</v>
      </c>
      <c r="K9" s="3" t="s">
        <v>24</v>
      </c>
    </row>
    <row r="10" spans="1:11" ht="42" customHeight="1">
      <c r="A10" s="2" t="s">
        <v>37</v>
      </c>
      <c r="B10" s="2" t="s">
        <v>38</v>
      </c>
      <c r="C10" s="2" t="s">
        <v>39</v>
      </c>
      <c r="D10" s="2" t="s">
        <v>40</v>
      </c>
      <c r="E10" s="3" t="s">
        <v>41</v>
      </c>
      <c r="F10" s="3" t="s">
        <v>42</v>
      </c>
      <c r="G10" s="3" t="s">
        <v>43</v>
      </c>
      <c r="H10" s="2" t="s">
        <v>22</v>
      </c>
      <c r="I10" s="2" t="s">
        <v>44</v>
      </c>
      <c r="J10" s="3" t="str">
        <f>HYPERLINK("https://www.boe.es/gazeta/dias/1809/03/11/pdfs/GMD-1809-70.pdf#page=4","Abrir facsímil")</f>
        <v>Abrir facsímil</v>
      </c>
      <c r="K10" s="3" t="s">
        <v>24</v>
      </c>
    </row>
    <row r="11" spans="1:11" ht="42" customHeight="1">
      <c r="A11" s="2" t="s">
        <v>45</v>
      </c>
      <c r="B11" s="2" t="s">
        <v>46</v>
      </c>
      <c r="C11" s="2" t="s">
        <v>47</v>
      </c>
      <c r="D11" s="2" t="s">
        <v>18</v>
      </c>
      <c r="E11" s="3" t="s">
        <v>48</v>
      </c>
      <c r="F11" s="3" t="s">
        <v>49</v>
      </c>
      <c r="G11" s="3" t="s">
        <v>29</v>
      </c>
      <c r="H11" s="2" t="s">
        <v>22</v>
      </c>
      <c r="I11" s="2" t="s">
        <v>50</v>
      </c>
      <c r="J11" s="3" t="str">
        <f>HYPERLINK("https://www.boe.es/gazeta/dias/1809/10/03/pdfs/GMD-1809-277.pdf#page=3","Abrir facsímil")</f>
        <v>Abrir facsímil</v>
      </c>
      <c r="K11" s="3" t="s">
        <v>24</v>
      </c>
    </row>
    <row r="12" spans="1:11" ht="42" customHeight="1">
      <c r="A12" s="2" t="s">
        <v>51</v>
      </c>
      <c r="B12" s="2" t="s">
        <v>52</v>
      </c>
      <c r="C12" s="2" t="s">
        <v>17</v>
      </c>
      <c r="D12" s="2" t="s">
        <v>18</v>
      </c>
      <c r="E12" s="3" t="s">
        <v>53</v>
      </c>
      <c r="F12" s="3" t="s">
        <v>54</v>
      </c>
      <c r="G12" s="3" t="s">
        <v>29</v>
      </c>
      <c r="H12" s="2" t="s">
        <v>55</v>
      </c>
      <c r="I12" s="2" t="s">
        <v>56</v>
      </c>
      <c r="J12" s="3" t="str">
        <f>HYPERLINK("https://www.boe.es/gazeta/dias/1809/03/03/pdfs/GMD-1809-62.pdf#page=3","Abrir facsímil")</f>
        <v>Abrir facsímil</v>
      </c>
      <c r="K12" s="3" t="s">
        <v>57</v>
      </c>
    </row>
    <row r="13" spans="1:11" ht="42" customHeight="1">
      <c r="A13" s="2" t="s">
        <v>58</v>
      </c>
      <c r="B13" s="2" t="s">
        <v>59</v>
      </c>
      <c r="C13" s="2" t="s">
        <v>47</v>
      </c>
      <c r="D13" s="2" t="s">
        <v>18</v>
      </c>
      <c r="E13" s="3" t="s">
        <v>60</v>
      </c>
      <c r="F13" s="3" t="s">
        <v>61</v>
      </c>
      <c r="G13" s="3" t="s">
        <v>62</v>
      </c>
      <c r="H13" s="2" t="s">
        <v>22</v>
      </c>
      <c r="I13" s="2" t="s">
        <v>63</v>
      </c>
      <c r="J13" s="3" t="str">
        <f>HYPERLINK("https://www.boe.es/gazeta/dias/1809/02/07/pdfs/GMD-1809-38.pdf#page=4","Abrir facsímil")</f>
        <v>Abrir facsímil</v>
      </c>
      <c r="K13" s="3" t="s">
        <v>24</v>
      </c>
    </row>
    <row r="14" spans="1:11" ht="42" customHeight="1">
      <c r="A14" s="2" t="s">
        <v>64</v>
      </c>
      <c r="B14" s="2" t="s">
        <v>65</v>
      </c>
      <c r="C14" s="2" t="s">
        <v>25</v>
      </c>
      <c r="D14" s="2" t="s">
        <v>26</v>
      </c>
      <c r="E14" s="3" t="s">
        <v>66</v>
      </c>
      <c r="F14" s="3" t="s">
        <v>67</v>
      </c>
      <c r="G14" s="3" t="s">
        <v>68</v>
      </c>
      <c r="H14" s="2" t="s">
        <v>55</v>
      </c>
      <c r="I14" s="2" t="s">
        <v>69</v>
      </c>
      <c r="J14" s="3" t="str">
        <f>HYPERLINK("https://www.boe.es/gazeta/dias/1809/12/30/pdfs/GGB-1809-652.pdf#page=7","Abrir facsímil")</f>
        <v>Abrir facsímil</v>
      </c>
      <c r="K14" s="3" t="s">
        <v>57</v>
      </c>
    </row>
    <row r="15" spans="1:11" ht="42" customHeight="1">
      <c r="A15" s="2" t="s">
        <v>70</v>
      </c>
      <c r="B15" s="2" t="s">
        <v>71</v>
      </c>
      <c r="C15" s="2" t="s">
        <v>17</v>
      </c>
      <c r="D15" s="2" t="s">
        <v>72</v>
      </c>
      <c r="E15" s="3" t="s">
        <v>73</v>
      </c>
      <c r="F15" s="3" t="s">
        <v>74</v>
      </c>
      <c r="G15" s="3" t="s">
        <v>75</v>
      </c>
      <c r="H15" s="2" t="s">
        <v>55</v>
      </c>
      <c r="I15" s="2" t="s">
        <v>76</v>
      </c>
      <c r="J15" s="3" t="str">
        <f>HYPERLINK("https://www.boe.es/gazeta/dias/1809/09/21/pdfs/GMD-E-1809-265.pdf#page=2","Abrir facsímil")</f>
        <v>Abrir facsímil</v>
      </c>
      <c r="K15" s="3" t="s">
        <v>57</v>
      </c>
    </row>
    <row r="16" spans="1:11" ht="42" customHeight="1">
      <c r="A16" s="2" t="s">
        <v>77</v>
      </c>
      <c r="B16" s="2" t="s">
        <v>78</v>
      </c>
      <c r="C16" s="2" t="s">
        <v>79</v>
      </c>
      <c r="D16" s="2" t="s">
        <v>80</v>
      </c>
      <c r="E16" s="3" t="s">
        <v>81</v>
      </c>
      <c r="F16" s="3" t="s">
        <v>82</v>
      </c>
      <c r="G16" s="3" t="s">
        <v>83</v>
      </c>
      <c r="H16" s="2" t="s">
        <v>55</v>
      </c>
      <c r="I16" s="2" t="s">
        <v>84</v>
      </c>
      <c r="J16" s="3" t="str">
        <f>HYPERLINK("https://www.boe.es/gazeta/dias/1809/04/11/pdfs/GGB-1809-16E.pdf#page=4","Abrir facsímil")</f>
        <v>Abrir facsímil</v>
      </c>
      <c r="K16" s="3" t="s">
        <v>57</v>
      </c>
    </row>
    <row r="17" spans="1:11" ht="42" customHeight="1">
      <c r="A17" s="2" t="s">
        <v>85</v>
      </c>
      <c r="B17" s="2" t="s">
        <v>86</v>
      </c>
      <c r="C17" s="2" t="s">
        <v>17</v>
      </c>
      <c r="D17" s="2" t="s">
        <v>18</v>
      </c>
      <c r="E17" s="3" t="s">
        <v>87</v>
      </c>
      <c r="F17" s="3" t="s">
        <v>88</v>
      </c>
      <c r="G17" s="3" t="s">
        <v>89</v>
      </c>
      <c r="H17" s="2" t="s">
        <v>55</v>
      </c>
      <c r="I17" s="2" t="s">
        <v>90</v>
      </c>
      <c r="J17" s="3" t="str">
        <f>HYPERLINK("https://www.boe.es/gazeta/dias/1809/02/15/pdfs/GMD-1809-46.pdf#page=4","Abrir facsímil")</f>
        <v>Abrir facsímil</v>
      </c>
      <c r="K17" s="3" t="s">
        <v>57</v>
      </c>
    </row>
    <row r="18" spans="1:11" ht="42" customHeight="1">
      <c r="A18" s="2" t="s">
        <v>91</v>
      </c>
      <c r="B18" s="2" t="s">
        <v>91</v>
      </c>
      <c r="C18" s="2" t="s">
        <v>25</v>
      </c>
      <c r="D18" s="2" t="s">
        <v>26</v>
      </c>
      <c r="E18" s="3" t="s">
        <v>92</v>
      </c>
      <c r="F18" s="3" t="s">
        <v>93</v>
      </c>
      <c r="G18" s="3" t="s">
        <v>94</v>
      </c>
      <c r="H18" s="2" t="s">
        <v>55</v>
      </c>
      <c r="I18" s="2" t="s">
        <v>95</v>
      </c>
      <c r="J18" s="3" t="str">
        <f>HYPERLINK("https://www.boe.es/gazeta/dias/1809/05/22/pdfs/GGB-G-1809-30.pdf#page=5","Abrir facsímil")</f>
        <v>Abrir facsímil</v>
      </c>
      <c r="K18" s="3" t="s">
        <v>57</v>
      </c>
    </row>
    <row r="19" spans="1:11" ht="42" customHeight="1">
      <c r="A19" s="2" t="s">
        <v>96</v>
      </c>
      <c r="B19" s="2" t="s">
        <v>97</v>
      </c>
      <c r="C19" s="2" t="s">
        <v>47</v>
      </c>
      <c r="D19" s="2" t="s">
        <v>18</v>
      </c>
      <c r="E19" s="3" t="s">
        <v>33</v>
      </c>
      <c r="F19" s="3" t="s">
        <v>34</v>
      </c>
      <c r="G19" s="3" t="s">
        <v>98</v>
      </c>
      <c r="H19" s="2" t="s">
        <v>55</v>
      </c>
      <c r="I19" s="2" t="s">
        <v>99</v>
      </c>
      <c r="J19" s="3" t="str">
        <f>HYPERLINK("https://www.boe.es/gazeta/dias/1809/12/19/pdfs/GGB-1809-602.pdf#page=2","Abrir facsímil")</f>
        <v>Abrir facsímil</v>
      </c>
      <c r="K19" s="3" t="s">
        <v>57</v>
      </c>
    </row>
    <row r="20" spans="1:11" ht="42" customHeight="1">
      <c r="A20" s="2" t="s">
        <v>100</v>
      </c>
      <c r="B20" s="2" t="s">
        <v>101</v>
      </c>
      <c r="C20" s="2" t="s">
        <v>79</v>
      </c>
      <c r="D20" s="2" t="s">
        <v>18</v>
      </c>
      <c r="E20" s="3" t="s">
        <v>102</v>
      </c>
      <c r="F20" s="3" t="s">
        <v>103</v>
      </c>
      <c r="G20" s="3" t="s">
        <v>104</v>
      </c>
      <c r="H20" s="2" t="s">
        <v>55</v>
      </c>
      <c r="I20" s="2" t="s">
        <v>105</v>
      </c>
      <c r="J20" s="3" t="str">
        <f>HYPERLINK("https://www.boe.es/gazeta/dias/1809/09/28/pdfs/GGB-1809-252.pdf#page=8","Abrir facsímil")</f>
        <v>Abrir facsímil</v>
      </c>
      <c r="K20" s="3" t="s">
        <v>57</v>
      </c>
    </row>
    <row r="21" spans="1:11" ht="42" customHeight="1">
      <c r="A21" s="2" t="s">
        <v>106</v>
      </c>
      <c r="B21" s="2" t="s">
        <v>106</v>
      </c>
      <c r="C21" s="2" t="s">
        <v>25</v>
      </c>
      <c r="D21" s="2" t="s">
        <v>107</v>
      </c>
      <c r="E21" s="3" t="s">
        <v>108</v>
      </c>
      <c r="F21" s="3" t="s">
        <v>109</v>
      </c>
      <c r="G21" s="3" t="s">
        <v>110</v>
      </c>
      <c r="H21" s="2" t="s">
        <v>55</v>
      </c>
      <c r="I21" s="2" t="s">
        <v>111</v>
      </c>
      <c r="J21" s="3" t="str">
        <f>HYPERLINK("https://www.boe.es/gazeta/dias/1809/09/08/pdfs/GMD-1809-252.pdf#page=2","Abrir facsímil")</f>
        <v>Abrir facsímil</v>
      </c>
      <c r="K21" s="3" t="s">
        <v>57</v>
      </c>
    </row>
    <row r="22" spans="1:11" ht="42" customHeight="1">
      <c r="A22" s="2" t="s">
        <v>112</v>
      </c>
      <c r="B22" s="2" t="s">
        <v>112</v>
      </c>
      <c r="C22" s="2" t="s">
        <v>25</v>
      </c>
      <c r="D22" s="2" t="s">
        <v>26</v>
      </c>
      <c r="E22" s="3" t="s">
        <v>113</v>
      </c>
      <c r="F22" s="3" t="s">
        <v>114</v>
      </c>
      <c r="G22" s="3" t="s">
        <v>115</v>
      </c>
      <c r="H22" s="2" t="s">
        <v>55</v>
      </c>
      <c r="I22" s="2" t="s">
        <v>116</v>
      </c>
      <c r="J22" s="3" t="str">
        <f>HYPERLINK("https://www.boe.es/gazeta/dias/1809/04/24/pdfs/GMD-1809-114.pdf#page=2","Abrir facsímil")</f>
        <v>Abrir facsímil</v>
      </c>
      <c r="K22" s="3" t="s">
        <v>57</v>
      </c>
    </row>
    <row r="23" spans="1:11" ht="42" customHeight="1">
      <c r="A23" s="2" t="s">
        <v>117</v>
      </c>
      <c r="B23" s="2" t="s">
        <v>117</v>
      </c>
      <c r="C23" s="2" t="s">
        <v>25</v>
      </c>
      <c r="D23" s="2" t="s">
        <v>26</v>
      </c>
      <c r="E23" s="3" t="s">
        <v>118</v>
      </c>
      <c r="F23" s="3" t="s">
        <v>119</v>
      </c>
      <c r="G23" s="3" t="s">
        <v>120</v>
      </c>
      <c r="H23" s="2" t="s">
        <v>55</v>
      </c>
      <c r="I23" s="2" t="s">
        <v>121</v>
      </c>
      <c r="J23" s="3" t="str">
        <f>HYPERLINK("https://www.boe.es/gazeta/dias/1809/09/07/pdfs/GMD-1809-251.pdf#page=1","Abrir facsímil")</f>
        <v>Abrir facsímil</v>
      </c>
      <c r="K23" s="3" t="s">
        <v>57</v>
      </c>
    </row>
    <row r="24" spans="1:11" ht="42" customHeight="1">
      <c r="A24" s="2" t="s">
        <v>122</v>
      </c>
      <c r="B24" s="2" t="s">
        <v>122</v>
      </c>
      <c r="C24" s="2" t="s">
        <v>25</v>
      </c>
      <c r="D24" s="2" t="s">
        <v>107</v>
      </c>
      <c r="E24" s="3" t="s">
        <v>123</v>
      </c>
      <c r="F24" s="3" t="s">
        <v>124</v>
      </c>
      <c r="G24" s="3" t="s">
        <v>125</v>
      </c>
      <c r="H24" s="2" t="s">
        <v>55</v>
      </c>
      <c r="I24" s="2" t="s">
        <v>126</v>
      </c>
      <c r="J24" s="3" t="str">
        <f>HYPERLINK("https://www.boe.es/gazeta/dias/1809/04/21/pdfs/GMD-1809-111.pdf#page=1","Abrir facsímil")</f>
        <v>Abrir facsímil</v>
      </c>
      <c r="K24" s="3" t="s">
        <v>57</v>
      </c>
    </row>
    <row r="25" spans="1:11" ht="42" customHeight="1">
      <c r="A25" s="2" t="s">
        <v>127</v>
      </c>
      <c r="B25" s="2" t="s">
        <v>127</v>
      </c>
      <c r="C25" s="2" t="s">
        <v>25</v>
      </c>
      <c r="D25" s="2" t="s">
        <v>18</v>
      </c>
      <c r="E25" s="3" t="s">
        <v>123</v>
      </c>
      <c r="F25" s="3" t="s">
        <v>124</v>
      </c>
      <c r="G25" s="3" t="s">
        <v>125</v>
      </c>
      <c r="H25" s="2" t="s">
        <v>55</v>
      </c>
      <c r="I25" s="2" t="s">
        <v>128</v>
      </c>
      <c r="J25" s="3" t="str">
        <f>HYPERLINK("https://www.boe.es/gazeta/dias/1809/04/21/pdfs/GMD-1809-111.pdf#page=1","Abrir facsímil")</f>
        <v>Abrir facsímil</v>
      </c>
      <c r="K25" s="3" t="s">
        <v>57</v>
      </c>
    </row>
    <row r="26" spans="1:11" ht="42" customHeight="1">
      <c r="A26" s="2" t="s">
        <v>127</v>
      </c>
      <c r="B26" s="2" t="s">
        <v>127</v>
      </c>
      <c r="C26" s="2" t="s">
        <v>25</v>
      </c>
      <c r="D26" s="2" t="s">
        <v>18</v>
      </c>
      <c r="E26" s="3" t="s">
        <v>123</v>
      </c>
      <c r="F26" s="3" t="s">
        <v>124</v>
      </c>
      <c r="G26" s="3" t="s">
        <v>129</v>
      </c>
      <c r="H26" s="2" t="s">
        <v>55</v>
      </c>
      <c r="I26" s="2" t="s">
        <v>130</v>
      </c>
      <c r="J26" s="3" t="str">
        <f>HYPERLINK("https://www.boe.es/gazeta/dias/1809/04/21/pdfs/GMD-1809-111.pdf#page=2","Abrir facsímil")</f>
        <v>Abrir facsímil</v>
      </c>
      <c r="K26" s="3" t="s">
        <v>57</v>
      </c>
    </row>
    <row r="27" spans="1:11" ht="42" customHeight="1">
      <c r="A27" s="2" t="s">
        <v>127</v>
      </c>
      <c r="B27" s="2" t="s">
        <v>127</v>
      </c>
      <c r="C27" s="2" t="s">
        <v>131</v>
      </c>
      <c r="D27" s="2" t="s">
        <v>18</v>
      </c>
      <c r="E27" s="3" t="s">
        <v>113</v>
      </c>
      <c r="F27" s="3" t="s">
        <v>114</v>
      </c>
      <c r="G27" s="3" t="s">
        <v>115</v>
      </c>
      <c r="H27" s="2" t="s">
        <v>55</v>
      </c>
      <c r="I27" s="2" t="s">
        <v>132</v>
      </c>
      <c r="J27" s="3" t="str">
        <f>HYPERLINK("https://www.boe.es/gazeta/dias/1809/04/24/pdfs/GMD-1809-114.pdf#page=2","Abrir facsímil")</f>
        <v>Abrir facsímil</v>
      </c>
      <c r="K27" s="3" t="s">
        <v>57</v>
      </c>
    </row>
    <row r="28" spans="1:11" ht="42" customHeight="1">
      <c r="A28" s="2" t="s">
        <v>133</v>
      </c>
      <c r="B28" s="2" t="s">
        <v>133</v>
      </c>
      <c r="C28" s="2" t="s">
        <v>25</v>
      </c>
      <c r="D28" s="2" t="s">
        <v>18</v>
      </c>
      <c r="E28" s="3" t="s">
        <v>134</v>
      </c>
      <c r="F28" s="3" t="s">
        <v>135</v>
      </c>
      <c r="G28" s="3" t="s">
        <v>136</v>
      </c>
      <c r="H28" s="2" t="s">
        <v>55</v>
      </c>
      <c r="I28" s="2" t="s">
        <v>137</v>
      </c>
      <c r="J28" s="3" t="str">
        <f>HYPERLINK("https://www.boe.es/gazeta/dias/1809/06/07/pdfs/GMD-1809-158.pdf#page=1","Abrir facsímil")</f>
        <v>Abrir facsímil</v>
      </c>
      <c r="K28" s="3" t="s">
        <v>57</v>
      </c>
    </row>
    <row r="29" spans="1:11" ht="42" customHeight="1">
      <c r="A29" s="2" t="s">
        <v>138</v>
      </c>
      <c r="B29" s="2" t="s">
        <v>138</v>
      </c>
      <c r="C29" s="2" t="s">
        <v>131</v>
      </c>
      <c r="D29" s="2" t="s">
        <v>18</v>
      </c>
      <c r="E29" s="3" t="s">
        <v>139</v>
      </c>
      <c r="F29" s="3" t="s">
        <v>140</v>
      </c>
      <c r="G29" s="3" t="s">
        <v>141</v>
      </c>
      <c r="H29" s="2" t="s">
        <v>55</v>
      </c>
      <c r="I29" s="2" t="s">
        <v>142</v>
      </c>
      <c r="J29" s="3" t="str">
        <f>HYPERLINK("https://www.boe.es/gazeta/dias/1809/05/06/pdfs/GMD-1809-126.pdf#page=3","Abrir facsímil")</f>
        <v>Abrir facsímil</v>
      </c>
      <c r="K29" s="3" t="s">
        <v>57</v>
      </c>
    </row>
    <row r="30" spans="1:11" ht="42" customHeight="1">
      <c r="A30" s="2" t="s">
        <v>138</v>
      </c>
      <c r="B30" s="2" t="s">
        <v>138</v>
      </c>
      <c r="C30" s="2" t="s">
        <v>47</v>
      </c>
      <c r="D30" s="2" t="s">
        <v>18</v>
      </c>
      <c r="E30" s="3" t="s">
        <v>143</v>
      </c>
      <c r="F30" s="3" t="s">
        <v>144</v>
      </c>
      <c r="G30" s="3" t="s">
        <v>29</v>
      </c>
      <c r="H30" s="2" t="s">
        <v>55</v>
      </c>
      <c r="I30" s="2" t="s">
        <v>145</v>
      </c>
      <c r="J30" s="3" t="str">
        <f>HYPERLINK("https://www.boe.es/gazeta/dias/1809/11/16/pdfs/GGB-1809-462.pdf#page=3","Abrir facsímil")</f>
        <v>Abrir facsímil</v>
      </c>
      <c r="K30" s="3" t="s">
        <v>57</v>
      </c>
    </row>
    <row r="31" spans="1:11" ht="42" customHeight="1">
      <c r="A31" s="2" t="s">
        <v>146</v>
      </c>
      <c r="B31" s="2" t="s">
        <v>146</v>
      </c>
      <c r="C31" s="2" t="s">
        <v>25</v>
      </c>
      <c r="D31" s="2" t="s">
        <v>26</v>
      </c>
      <c r="E31" s="3" t="s">
        <v>147</v>
      </c>
      <c r="F31" s="3" t="s">
        <v>148</v>
      </c>
      <c r="G31" s="3" t="s">
        <v>94</v>
      </c>
      <c r="H31" s="2" t="s">
        <v>55</v>
      </c>
      <c r="I31" s="2" t="s">
        <v>149</v>
      </c>
      <c r="J31" s="3" t="str">
        <f>HYPERLINK("https://www.boe.es/gazeta/dias/1809/10/07/pdfs/GGB-1809-292.pdf#page=5","Abrir facsímil")</f>
        <v>Abrir facsímil</v>
      </c>
      <c r="K31" s="3" t="s">
        <v>57</v>
      </c>
    </row>
    <row r="32" spans="1:11" ht="42" customHeight="1">
      <c r="A32" s="2" t="s">
        <v>150</v>
      </c>
      <c r="B32" s="2" t="s">
        <v>151</v>
      </c>
      <c r="C32" s="2" t="s">
        <v>47</v>
      </c>
      <c r="D32" s="2" t="s">
        <v>18</v>
      </c>
      <c r="E32" s="3" t="s">
        <v>152</v>
      </c>
      <c r="F32" s="3" t="s">
        <v>153</v>
      </c>
      <c r="G32" s="3" t="s">
        <v>154</v>
      </c>
      <c r="H32" s="2" t="s">
        <v>55</v>
      </c>
      <c r="I32" s="2" t="s">
        <v>155</v>
      </c>
      <c r="J32" s="3" t="str">
        <f>HYPERLINK("https://www.boe.es/gazeta/dias/1809/08/26/pdfs/GGB-1809-112.pdf#page=1","Abrir facsímil")</f>
        <v>Abrir facsímil</v>
      </c>
      <c r="K32" s="3" t="s">
        <v>57</v>
      </c>
    </row>
    <row r="33" spans="1:11" ht="42" customHeight="1">
      <c r="A33" s="2" t="s">
        <v>156</v>
      </c>
      <c r="B33" s="2" t="s">
        <v>157</v>
      </c>
      <c r="C33" s="2" t="s">
        <v>17</v>
      </c>
      <c r="D33" s="2" t="s">
        <v>18</v>
      </c>
      <c r="E33" s="3" t="s">
        <v>158</v>
      </c>
      <c r="F33" s="3" t="s">
        <v>159</v>
      </c>
      <c r="G33" s="3" t="s">
        <v>21</v>
      </c>
      <c r="H33" s="2" t="s">
        <v>55</v>
      </c>
      <c r="I33" s="2" t="s">
        <v>160</v>
      </c>
      <c r="J33" s="3" t="str">
        <f>HYPERLINK("https://www.boe.es/gazeta/dias/1809/02/10/pdfs/GGB-1809-7.pdf#page=12","Abrir facsímil")</f>
        <v>Abrir facsímil</v>
      </c>
      <c r="K33" s="3" t="s">
        <v>57</v>
      </c>
    </row>
    <row r="34" spans="1:11" ht="42" customHeight="1">
      <c r="A34" s="2" t="s">
        <v>161</v>
      </c>
      <c r="B34" s="2" t="s">
        <v>162</v>
      </c>
      <c r="C34" s="2" t="s">
        <v>17</v>
      </c>
      <c r="D34" s="2" t="s">
        <v>72</v>
      </c>
      <c r="E34" s="3" t="s">
        <v>163</v>
      </c>
      <c r="F34" s="3" t="s">
        <v>164</v>
      </c>
      <c r="G34" s="3" t="s">
        <v>21</v>
      </c>
      <c r="H34" s="2" t="s">
        <v>55</v>
      </c>
      <c r="I34" s="2" t="s">
        <v>165</v>
      </c>
      <c r="J34" s="3" t="str">
        <f>HYPERLINK("https://www.boe.es/gazeta/dias/1809/03/10/pdfs/GGB-H-1809-11.pdf#page=8","Abrir facsímil")</f>
        <v>Abrir facsímil</v>
      </c>
      <c r="K34" s="3" t="s">
        <v>57</v>
      </c>
    </row>
    <row r="35" spans="1:11" ht="42" customHeight="1">
      <c r="A35" s="2" t="s">
        <v>166</v>
      </c>
      <c r="B35" s="2" t="s">
        <v>166</v>
      </c>
      <c r="C35" s="2" t="s">
        <v>25</v>
      </c>
      <c r="D35" s="2" t="s">
        <v>26</v>
      </c>
      <c r="E35" s="3" t="s">
        <v>167</v>
      </c>
      <c r="F35" s="3" t="s">
        <v>168</v>
      </c>
      <c r="G35" s="3" t="s">
        <v>169</v>
      </c>
      <c r="H35" s="2" t="s">
        <v>55</v>
      </c>
      <c r="I35" s="2" t="s">
        <v>170</v>
      </c>
      <c r="J35" s="3" t="str">
        <f>HYPERLINK("https://www.boe.es/gazeta/dias/1809/06/19/pdfs/GGB-1809-38.pdf#page=11","Abrir facsímil")</f>
        <v>Abrir facsímil</v>
      </c>
      <c r="K35" s="3" t="s">
        <v>57</v>
      </c>
    </row>
    <row r="36" spans="1:11" ht="42" customHeight="1">
      <c r="A36" s="2" t="s">
        <v>171</v>
      </c>
      <c r="B36" s="2" t="s">
        <v>172</v>
      </c>
      <c r="C36" s="2" t="s">
        <v>25</v>
      </c>
      <c r="D36" s="2" t="s">
        <v>18</v>
      </c>
      <c r="E36" s="3" t="s">
        <v>173</v>
      </c>
      <c r="F36" s="3" t="s">
        <v>174</v>
      </c>
      <c r="G36" s="3" t="s">
        <v>175</v>
      </c>
      <c r="H36" s="2" t="s">
        <v>22</v>
      </c>
      <c r="I36" s="2" t="s">
        <v>176</v>
      </c>
      <c r="J36" s="3" t="str">
        <f>HYPERLINK("https://www.boe.es/gazeta/dias/1809/09/12/pdfs/GGB-1809-182.pdf#page=7","Abrir facsímil")</f>
        <v>Abrir facsímil</v>
      </c>
      <c r="K36" s="3" t="s">
        <v>24</v>
      </c>
    </row>
    <row r="37" spans="1:11" ht="42" customHeight="1">
      <c r="A37" s="2" t="s">
        <v>177</v>
      </c>
      <c r="B37" s="2" t="s">
        <v>178</v>
      </c>
      <c r="C37" s="2" t="s">
        <v>25</v>
      </c>
      <c r="D37" s="2" t="s">
        <v>80</v>
      </c>
      <c r="E37" s="3" t="s">
        <v>179</v>
      </c>
      <c r="F37" s="3" t="s">
        <v>180</v>
      </c>
      <c r="G37" s="3" t="s">
        <v>62</v>
      </c>
      <c r="H37" s="2" t="s">
        <v>55</v>
      </c>
      <c r="I37" s="2" t="s">
        <v>181</v>
      </c>
      <c r="J37" s="3" t="str">
        <f>HYPERLINK("https://www.boe.es/gazeta/dias/1809/12/08/pdfs/GGB-1809-552E.pdf#page=1","Abrir facsímil")</f>
        <v>Abrir facsímil</v>
      </c>
      <c r="K37" s="3" t="s">
        <v>57</v>
      </c>
    </row>
    <row r="38" spans="1:11" ht="42" customHeight="1">
      <c r="A38" s="2" t="s">
        <v>182</v>
      </c>
      <c r="B38" s="2" t="s">
        <v>183</v>
      </c>
      <c r="C38" s="2" t="s">
        <v>17</v>
      </c>
      <c r="D38" s="2" t="s">
        <v>72</v>
      </c>
      <c r="E38" s="3" t="s">
        <v>184</v>
      </c>
      <c r="F38" s="3" t="s">
        <v>185</v>
      </c>
      <c r="G38" s="3" t="s">
        <v>186</v>
      </c>
      <c r="H38" s="2" t="s">
        <v>55</v>
      </c>
      <c r="I38" s="2" t="s">
        <v>187</v>
      </c>
      <c r="J38" s="3" t="str">
        <f>HYPERLINK("https://www.boe.es/gazeta/dias/1809/01/07/pdfs/GMD-E-1809-7.pdf#page=3","Abrir facsímil")</f>
        <v>Abrir facsímil</v>
      </c>
      <c r="K38" s="3" t="s">
        <v>57</v>
      </c>
    </row>
    <row r="39" spans="1:11" ht="42" customHeight="1">
      <c r="A39" s="2" t="s">
        <v>188</v>
      </c>
      <c r="B39" s="2" t="s">
        <v>189</v>
      </c>
      <c r="C39" s="2" t="s">
        <v>25</v>
      </c>
      <c r="D39" s="2" t="s">
        <v>26</v>
      </c>
      <c r="E39" s="3" t="s">
        <v>190</v>
      </c>
      <c r="F39" s="3" t="s">
        <v>191</v>
      </c>
      <c r="G39" s="3" t="s">
        <v>192</v>
      </c>
      <c r="H39" s="2" t="s">
        <v>55</v>
      </c>
      <c r="I39" s="2" t="s">
        <v>193</v>
      </c>
      <c r="J39" s="3" t="str">
        <f>HYPERLINK("https://www.boe.es/gazeta/dias/1809/10/14/pdfs/GGB-1809-322.pdf#page=6","Abrir facsímil")</f>
        <v>Abrir facsímil</v>
      </c>
      <c r="K39" s="3" t="s">
        <v>57</v>
      </c>
    </row>
    <row r="40" spans="1:11" ht="42" customHeight="1">
      <c r="A40" s="2" t="s">
        <v>194</v>
      </c>
      <c r="B40" s="2" t="s">
        <v>195</v>
      </c>
      <c r="C40" s="2" t="s">
        <v>17</v>
      </c>
      <c r="D40" s="2" t="s">
        <v>18</v>
      </c>
      <c r="E40" s="3" t="s">
        <v>196</v>
      </c>
      <c r="F40" s="3" t="s">
        <v>197</v>
      </c>
      <c r="G40" s="3" t="s">
        <v>198</v>
      </c>
      <c r="H40" s="2" t="s">
        <v>55</v>
      </c>
      <c r="I40" s="2" t="s">
        <v>199</v>
      </c>
      <c r="J40" s="3" t="str">
        <f>HYPERLINK("https://www.boe.es/gazeta/dias/1809/09/04/pdfs/GMD-1809-248.pdf#page=3","Abrir facsímil")</f>
        <v>Abrir facsímil</v>
      </c>
      <c r="K40" s="3" t="s">
        <v>57</v>
      </c>
    </row>
    <row r="41" spans="1:11" ht="42" customHeight="1">
      <c r="A41" s="2" t="s">
        <v>200</v>
      </c>
      <c r="B41" s="2" t="s">
        <v>200</v>
      </c>
      <c r="C41" s="2" t="s">
        <v>25</v>
      </c>
      <c r="D41" s="2" t="s">
        <v>18</v>
      </c>
      <c r="E41" s="3" t="s">
        <v>201</v>
      </c>
      <c r="F41" s="3" t="s">
        <v>202</v>
      </c>
      <c r="G41" s="3" t="s">
        <v>186</v>
      </c>
      <c r="H41" s="2" t="s">
        <v>55</v>
      </c>
      <c r="I41" s="2" t="s">
        <v>203</v>
      </c>
      <c r="J41" s="3" t="str">
        <f>HYPERLINK("https://www.boe.es/gazeta/dias/1809/08/15/pdfs/GGB-1809-62.pdf#page=3","Abrir facsímil")</f>
        <v>Abrir facsímil</v>
      </c>
      <c r="K41" s="3" t="s">
        <v>57</v>
      </c>
    </row>
    <row r="42" spans="1:11" ht="42" customHeight="1">
      <c r="A42" s="2" t="s">
        <v>200</v>
      </c>
      <c r="B42" s="2" t="s">
        <v>200</v>
      </c>
      <c r="C42" s="2" t="s">
        <v>17</v>
      </c>
      <c r="D42" s="2" t="s">
        <v>40</v>
      </c>
      <c r="E42" s="3" t="s">
        <v>173</v>
      </c>
      <c r="F42" s="3" t="s">
        <v>174</v>
      </c>
      <c r="G42" s="3" t="s">
        <v>204</v>
      </c>
      <c r="H42" s="2" t="s">
        <v>55</v>
      </c>
      <c r="I42" s="2" t="s">
        <v>205</v>
      </c>
      <c r="J42" s="3" t="str">
        <f>HYPERLINK("https://www.boe.es/gazeta/dias/1809/09/12/pdfs/GGB-1809-182.pdf#page=8","Abrir facsímil")</f>
        <v>Abrir facsímil</v>
      </c>
      <c r="K42" s="3" t="s">
        <v>57</v>
      </c>
    </row>
    <row r="43" spans="1:11" ht="42" customHeight="1">
      <c r="A43" s="2" t="s">
        <v>206</v>
      </c>
      <c r="B43" s="2" t="s">
        <v>206</v>
      </c>
      <c r="C43" s="2" t="s">
        <v>25</v>
      </c>
      <c r="D43" s="2" t="s">
        <v>26</v>
      </c>
      <c r="E43" s="3" t="s">
        <v>207</v>
      </c>
      <c r="F43" s="3" t="s">
        <v>208</v>
      </c>
      <c r="G43" s="3" t="s">
        <v>209</v>
      </c>
      <c r="H43" s="2" t="s">
        <v>55</v>
      </c>
      <c r="I43" s="2" t="s">
        <v>210</v>
      </c>
      <c r="J43" s="3" t="str">
        <f>HYPERLINK("https://www.boe.es/gazeta/dias/1809/09/16/pdfs/GMD-1809-260.pdf#page=4","Abrir facsímil")</f>
        <v>Abrir facsímil</v>
      </c>
      <c r="K43" s="3" t="s">
        <v>57</v>
      </c>
    </row>
    <row r="44" spans="1:11" ht="42" customHeight="1">
      <c r="A44" s="2" t="s">
        <v>206</v>
      </c>
      <c r="B44" s="2" t="s">
        <v>206</v>
      </c>
      <c r="C44" s="2" t="s">
        <v>17</v>
      </c>
      <c r="D44" s="2" t="s">
        <v>18</v>
      </c>
      <c r="E44" s="3" t="s">
        <v>211</v>
      </c>
      <c r="F44" s="3" t="s">
        <v>212</v>
      </c>
      <c r="G44" s="3" t="s">
        <v>213</v>
      </c>
      <c r="H44" s="2" t="s">
        <v>55</v>
      </c>
      <c r="I44" s="2" t="s">
        <v>214</v>
      </c>
      <c r="J44" s="3" t="str">
        <f>HYPERLINK("https://www.boe.es/gazeta/dias/1809/10/27/pdfs/GMD-1809-301.pdf#page=4","Abrir facsímil")</f>
        <v>Abrir facsímil</v>
      </c>
      <c r="K44" s="3" t="s">
        <v>57</v>
      </c>
    </row>
    <row r="45" spans="1:11" ht="42" customHeight="1">
      <c r="A45" s="2" t="s">
        <v>215</v>
      </c>
      <c r="B45" s="2" t="s">
        <v>215</v>
      </c>
      <c r="C45" s="2" t="s">
        <v>25</v>
      </c>
      <c r="D45" s="2" t="s">
        <v>72</v>
      </c>
      <c r="E45" s="3" t="s">
        <v>216</v>
      </c>
      <c r="F45" s="3" t="s">
        <v>217</v>
      </c>
      <c r="G45" s="3" t="s">
        <v>218</v>
      </c>
      <c r="H45" s="2" t="s">
        <v>55</v>
      </c>
      <c r="I45" s="2" t="s">
        <v>219</v>
      </c>
      <c r="J45" s="3" t="str">
        <f>HYPERLINK("https://www.boe.es/gazeta/dias/1809/12/05/pdfs/GGB-H-1809-542.pdf#page=6","Abrir facsímil")</f>
        <v>Abrir facsímil</v>
      </c>
      <c r="K45" s="3" t="s">
        <v>57</v>
      </c>
    </row>
    <row r="46" spans="1:11" ht="42" customHeight="1">
      <c r="A46" s="2" t="s">
        <v>206</v>
      </c>
      <c r="B46" s="2" t="s">
        <v>206</v>
      </c>
      <c r="C46" s="2" t="s">
        <v>25</v>
      </c>
      <c r="D46" s="2" t="s">
        <v>26</v>
      </c>
      <c r="E46" s="3" t="s">
        <v>220</v>
      </c>
      <c r="F46" s="3" t="s">
        <v>221</v>
      </c>
      <c r="G46" s="3" t="s">
        <v>154</v>
      </c>
      <c r="H46" s="2" t="s">
        <v>55</v>
      </c>
      <c r="I46" s="2" t="s">
        <v>222</v>
      </c>
      <c r="J46" s="3" t="str">
        <f>HYPERLINK("https://www.boe.es/gazeta/dias/1809/12/13/pdfs/GMD-1809-348.pdf#page=4","Abrir facsímil")</f>
        <v>Abrir facsímil</v>
      </c>
      <c r="K46" s="3" t="s">
        <v>57</v>
      </c>
    </row>
    <row r="47" spans="1:11" ht="42" customHeight="1">
      <c r="A47" s="2" t="s">
        <v>206</v>
      </c>
      <c r="B47" s="2" t="s">
        <v>206</v>
      </c>
      <c r="C47" s="2" t="s">
        <v>25</v>
      </c>
      <c r="D47" s="2" t="s">
        <v>26</v>
      </c>
      <c r="E47" s="3" t="s">
        <v>223</v>
      </c>
      <c r="F47" s="3" t="s">
        <v>224</v>
      </c>
      <c r="G47" s="3" t="s">
        <v>225</v>
      </c>
      <c r="H47" s="2" t="s">
        <v>55</v>
      </c>
      <c r="I47" s="2" t="s">
        <v>226</v>
      </c>
      <c r="J47" s="3" t="str">
        <f>HYPERLINK("https://www.boe.es/gazeta/dias/1809/12/17/pdfs/GMD-1809-352.pdf#page=4","Abrir facsímil")</f>
        <v>Abrir facsímil</v>
      </c>
      <c r="K47" s="3" t="s">
        <v>57</v>
      </c>
    </row>
    <row r="48" spans="1:11" ht="42" customHeight="1">
      <c r="A48" s="2" t="s">
        <v>227</v>
      </c>
      <c r="B48" s="2" t="s">
        <v>228</v>
      </c>
      <c r="C48" s="2" t="s">
        <v>17</v>
      </c>
      <c r="D48" s="2" t="s">
        <v>18</v>
      </c>
      <c r="E48" s="3" t="s">
        <v>229</v>
      </c>
      <c r="F48" s="3" t="s">
        <v>230</v>
      </c>
      <c r="G48" s="3" t="s">
        <v>154</v>
      </c>
      <c r="H48" s="2" t="s">
        <v>55</v>
      </c>
      <c r="I48" s="2" t="s">
        <v>231</v>
      </c>
      <c r="J48" s="3" t="str">
        <f>HYPERLINK("https://www.boe.es/gazeta/dias/1809/02/26/pdfs/GMD-1809-57.pdf#page=3","Abrir facsímil")</f>
        <v>Abrir facsímil</v>
      </c>
      <c r="K48" s="3" t="s">
        <v>57</v>
      </c>
    </row>
    <row r="49" spans="1:11" ht="42" customHeight="1">
      <c r="A49" s="2" t="s">
        <v>227</v>
      </c>
      <c r="B49" s="2" t="s">
        <v>228</v>
      </c>
      <c r="C49" s="2" t="s">
        <v>17</v>
      </c>
      <c r="D49" s="2" t="s">
        <v>18</v>
      </c>
      <c r="E49" s="3" t="s">
        <v>232</v>
      </c>
      <c r="F49" s="3" t="s">
        <v>233</v>
      </c>
      <c r="G49" s="3" t="s">
        <v>234</v>
      </c>
      <c r="H49" s="2" t="s">
        <v>55</v>
      </c>
      <c r="I49" s="2" t="s">
        <v>235</v>
      </c>
      <c r="J49" s="3" t="str">
        <f>HYPERLINK("https://www.boe.es/gazeta/dias/1809/06/04/pdfs/GMD-1809-155.pdf#page=4","Abrir facsímil")</f>
        <v>Abrir facsímil</v>
      </c>
      <c r="K49" s="3" t="s">
        <v>57</v>
      </c>
    </row>
    <row r="50" spans="1:11" ht="42" customHeight="1">
      <c r="A50" s="2" t="s">
        <v>236</v>
      </c>
      <c r="B50" s="2" t="s">
        <v>236</v>
      </c>
      <c r="C50" s="2" t="s">
        <v>17</v>
      </c>
      <c r="D50" s="2" t="s">
        <v>107</v>
      </c>
      <c r="E50" s="3" t="s">
        <v>237</v>
      </c>
      <c r="F50" s="3" t="s">
        <v>238</v>
      </c>
      <c r="G50" s="3" t="s">
        <v>239</v>
      </c>
      <c r="H50" s="2" t="s">
        <v>55</v>
      </c>
      <c r="I50" s="2" t="s">
        <v>240</v>
      </c>
      <c r="J50" s="3" t="str">
        <f>HYPERLINK("https://www.boe.es/gazeta/dias/1809/07/30/pdfs/GMD-1809-212.pdf#page=1","Abrir facsímil")</f>
        <v>Abrir facsímil</v>
      </c>
      <c r="K50" s="3" t="s">
        <v>57</v>
      </c>
    </row>
    <row r="51" spans="1:11" ht="42" customHeight="1">
      <c r="A51" s="2" t="s">
        <v>241</v>
      </c>
      <c r="B51" s="2" t="s">
        <v>242</v>
      </c>
      <c r="C51" s="2" t="s">
        <v>17</v>
      </c>
      <c r="D51" s="2" t="s">
        <v>72</v>
      </c>
      <c r="E51" s="3" t="s">
        <v>243</v>
      </c>
      <c r="F51" s="3" t="s">
        <v>244</v>
      </c>
      <c r="G51" s="3" t="s">
        <v>110</v>
      </c>
      <c r="H51" s="2" t="s">
        <v>55</v>
      </c>
      <c r="I51" s="2" t="s">
        <v>245</v>
      </c>
      <c r="J51" s="3" t="str">
        <f>HYPERLINK("https://www.boe.es/gazeta/dias/1809/02/17/pdfs/GGB-G-1809-8.pdf#page=6","Abrir facsímil")</f>
        <v>Abrir facsímil</v>
      </c>
      <c r="K51" s="3" t="s">
        <v>57</v>
      </c>
    </row>
    <row r="52" spans="1:11" ht="42" customHeight="1">
      <c r="A52" s="2" t="s">
        <v>246</v>
      </c>
      <c r="B52" s="2" t="s">
        <v>247</v>
      </c>
      <c r="C52" s="2" t="s">
        <v>17</v>
      </c>
      <c r="D52" s="2" t="s">
        <v>80</v>
      </c>
      <c r="E52" s="3" t="s">
        <v>248</v>
      </c>
      <c r="F52" s="3" t="s">
        <v>249</v>
      </c>
      <c r="G52" s="3" t="s">
        <v>250</v>
      </c>
      <c r="H52" s="2" t="s">
        <v>22</v>
      </c>
      <c r="I52" s="2" t="s">
        <v>251</v>
      </c>
      <c r="J52" s="3" t="str">
        <f>HYPERLINK("https://www.boe.es/gazeta/dias/1809/07/26/pdfs/GGB-1809-48E.pdf#page=9","Abrir facsímil")</f>
        <v>Abrir facsímil</v>
      </c>
      <c r="K52" s="3" t="s">
        <v>24</v>
      </c>
    </row>
    <row r="53" spans="1:11" ht="42" customHeight="1">
      <c r="A53" s="2" t="s">
        <v>252</v>
      </c>
      <c r="B53" s="2" t="s">
        <v>253</v>
      </c>
      <c r="C53" s="2" t="s">
        <v>25</v>
      </c>
      <c r="D53" s="2" t="s">
        <v>18</v>
      </c>
      <c r="E53" s="3" t="s">
        <v>27</v>
      </c>
      <c r="F53" s="3" t="s">
        <v>254</v>
      </c>
      <c r="G53" s="3" t="s">
        <v>255</v>
      </c>
      <c r="H53" s="2" t="s">
        <v>55</v>
      </c>
      <c r="I53" s="2" t="s">
        <v>256</v>
      </c>
      <c r="J53" s="3" t="str">
        <f>HYPERLINK("https://www.boe.es/gazeta/dias/1809/05/12/pdfs/GGB-1809-26.pdf#page=12","Abrir facsímil")</f>
        <v>Abrir facsímil</v>
      </c>
      <c r="K53" s="3" t="s">
        <v>57</v>
      </c>
    </row>
    <row r="54" spans="1:11" ht="42" customHeight="1">
      <c r="A54" s="2" t="s">
        <v>257</v>
      </c>
      <c r="B54" s="2" t="s">
        <v>257</v>
      </c>
      <c r="C54" s="2" t="s">
        <v>25</v>
      </c>
      <c r="D54" s="2" t="s">
        <v>18</v>
      </c>
      <c r="E54" s="3" t="s">
        <v>258</v>
      </c>
      <c r="F54" s="3" t="s">
        <v>259</v>
      </c>
      <c r="G54" s="3" t="s">
        <v>260</v>
      </c>
      <c r="H54" s="2" t="s">
        <v>55</v>
      </c>
      <c r="I54" s="2" t="s">
        <v>261</v>
      </c>
      <c r="J54" s="3" t="str">
        <f>HYPERLINK("https://www.boe.es/gazeta/dias/1809/03/17/pdfs/GMD-1809-76.pdf#page=2","Abrir facsímil")</f>
        <v>Abrir facsímil</v>
      </c>
      <c r="K54" s="3" t="s">
        <v>57</v>
      </c>
    </row>
    <row r="55" spans="1:11" ht="42" customHeight="1">
      <c r="A55" s="2" t="s">
        <v>262</v>
      </c>
      <c r="B55" s="2" t="s">
        <v>262</v>
      </c>
      <c r="C55" s="2" t="s">
        <v>47</v>
      </c>
      <c r="D55" s="2" t="s">
        <v>107</v>
      </c>
      <c r="E55" s="3" t="s">
        <v>263</v>
      </c>
      <c r="F55" s="3" t="s">
        <v>264</v>
      </c>
      <c r="G55" s="3" t="s">
        <v>265</v>
      </c>
      <c r="H55" s="2" t="s">
        <v>55</v>
      </c>
      <c r="I55" s="2" t="s">
        <v>266</v>
      </c>
      <c r="J55" s="3" t="str">
        <f>HYPERLINK("https://www.boe.es/gazeta/dias/1809/11/21/pdfs/GGB-1809-482.pdf#page=2","Abrir facsímil")</f>
        <v>Abrir facsímil</v>
      </c>
      <c r="K55" s="3" t="s">
        <v>57</v>
      </c>
    </row>
    <row r="56" spans="1:11" ht="42" customHeight="1">
      <c r="A56" s="2" t="s">
        <v>267</v>
      </c>
      <c r="B56" s="2" t="s">
        <v>267</v>
      </c>
      <c r="C56" s="2" t="s">
        <v>25</v>
      </c>
      <c r="D56" s="2" t="s">
        <v>18</v>
      </c>
      <c r="E56" s="3" t="s">
        <v>268</v>
      </c>
      <c r="F56" s="3" t="s">
        <v>269</v>
      </c>
      <c r="G56" s="3" t="s">
        <v>270</v>
      </c>
      <c r="H56" s="2" t="s">
        <v>55</v>
      </c>
      <c r="I56" s="2" t="s">
        <v>271</v>
      </c>
      <c r="J56" s="3" t="str">
        <f>HYPERLINK("https://www.boe.es/gazeta/dias/1809/06/05/pdfs/GMD-1809-156.pdf#page=1","Abrir facsímil")</f>
        <v>Abrir facsímil</v>
      </c>
      <c r="K56" s="3" t="s">
        <v>57</v>
      </c>
    </row>
    <row r="57" spans="1:11" ht="42" customHeight="1">
      <c r="A57" s="2" t="s">
        <v>272</v>
      </c>
      <c r="B57" s="2" t="s">
        <v>272</v>
      </c>
      <c r="C57" s="2" t="s">
        <v>25</v>
      </c>
      <c r="D57" s="2" t="s">
        <v>18</v>
      </c>
      <c r="E57" s="3" t="s">
        <v>273</v>
      </c>
      <c r="F57" s="3" t="s">
        <v>274</v>
      </c>
      <c r="G57" s="3" t="s">
        <v>275</v>
      </c>
      <c r="H57" s="2" t="s">
        <v>55</v>
      </c>
      <c r="I57" s="2" t="s">
        <v>276</v>
      </c>
      <c r="J57" s="3" t="str">
        <f>HYPERLINK("https://www.boe.es/gazeta/dias/1809/08/13/pdfs/GMD-1809-226.pdf#page=1","Abrir facsímil")</f>
        <v>Abrir facsímil</v>
      </c>
      <c r="K57" s="3" t="s">
        <v>57</v>
      </c>
    </row>
    <row r="58" spans="1:11" ht="42" customHeight="1">
      <c r="A58" s="2" t="s">
        <v>277</v>
      </c>
      <c r="B58" s="2" t="s">
        <v>277</v>
      </c>
      <c r="C58" s="2" t="s">
        <v>131</v>
      </c>
      <c r="D58" s="2" t="s">
        <v>26</v>
      </c>
      <c r="E58" s="3" t="s">
        <v>278</v>
      </c>
      <c r="F58" s="3" t="s">
        <v>279</v>
      </c>
      <c r="G58" s="3" t="s">
        <v>280</v>
      </c>
      <c r="H58" s="2" t="s">
        <v>55</v>
      </c>
      <c r="I58" s="2" t="s">
        <v>281</v>
      </c>
      <c r="J58" s="3" t="str">
        <f>HYPERLINK("https://www.boe.es/gazeta/dias/1809/03/26/pdfs/GMD-1809-85.pdf#page=1","Abrir facsímil")</f>
        <v>Abrir facsímil</v>
      </c>
      <c r="K58" s="3" t="s">
        <v>57</v>
      </c>
    </row>
    <row r="59" spans="1:11" ht="42" customHeight="1">
      <c r="A59" s="2" t="s">
        <v>282</v>
      </c>
      <c r="B59" s="2" t="s">
        <v>282</v>
      </c>
      <c r="C59" s="2" t="s">
        <v>25</v>
      </c>
      <c r="D59" s="2" t="s">
        <v>18</v>
      </c>
      <c r="E59" s="3" t="s">
        <v>283</v>
      </c>
      <c r="F59" s="3" t="s">
        <v>284</v>
      </c>
      <c r="G59" s="3" t="s">
        <v>110</v>
      </c>
      <c r="H59" s="2" t="s">
        <v>55</v>
      </c>
      <c r="I59" s="2" t="s">
        <v>285</v>
      </c>
      <c r="J59" s="3" t="str">
        <f>HYPERLINK("https://www.boe.es/gazeta/dias/1809/02/09/pdfs/GMD-1809-40.pdf#page=2","Abrir facsímil")</f>
        <v>Abrir facsímil</v>
      </c>
      <c r="K59" s="3" t="s">
        <v>57</v>
      </c>
    </row>
    <row r="60" spans="1:11" ht="42" customHeight="1">
      <c r="A60" s="2" t="s">
        <v>286</v>
      </c>
      <c r="B60" s="2" t="s">
        <v>287</v>
      </c>
      <c r="C60" s="2" t="s">
        <v>288</v>
      </c>
      <c r="D60" s="2" t="s">
        <v>18</v>
      </c>
      <c r="E60" s="3" t="s">
        <v>289</v>
      </c>
      <c r="F60" s="3" t="s">
        <v>290</v>
      </c>
      <c r="G60" s="3" t="s">
        <v>225</v>
      </c>
      <c r="H60" s="2" t="s">
        <v>55</v>
      </c>
      <c r="I60" s="2" t="s">
        <v>291</v>
      </c>
      <c r="J60" s="3" t="str">
        <f>HYPERLINK("https://www.boe.es/gazeta/dias/1809/05/15/pdfs/GMD-1809-135.pdf#page=4","Abrir facsímil")</f>
        <v>Abrir facsímil</v>
      </c>
      <c r="K60" s="3" t="s">
        <v>57</v>
      </c>
    </row>
    <row r="61" spans="1:11" ht="42" customHeight="1">
      <c r="A61" s="2" t="s">
        <v>292</v>
      </c>
      <c r="B61" s="2" t="s">
        <v>293</v>
      </c>
      <c r="C61" s="2" t="s">
        <v>25</v>
      </c>
      <c r="D61" s="2" t="s">
        <v>72</v>
      </c>
      <c r="E61" s="3" t="s">
        <v>294</v>
      </c>
      <c r="F61" s="3" t="s">
        <v>295</v>
      </c>
      <c r="G61" s="3" t="s">
        <v>154</v>
      </c>
      <c r="H61" s="2" t="s">
        <v>55</v>
      </c>
      <c r="I61" s="2" t="s">
        <v>296</v>
      </c>
      <c r="J61" s="3" t="str">
        <f>HYPERLINK("https://www.boe.es/gazeta/dias/1809/09/30/pdfs/GGB-H-1809-262.pdf#page=3","Abrir facsímil")</f>
        <v>Abrir facsímil</v>
      </c>
      <c r="K61" s="3" t="s">
        <v>57</v>
      </c>
    </row>
    <row r="62" spans="1:11" ht="42" customHeight="1">
      <c r="A62" s="2" t="s">
        <v>297</v>
      </c>
      <c r="B62" s="2" t="s">
        <v>298</v>
      </c>
      <c r="C62" s="2" t="s">
        <v>79</v>
      </c>
      <c r="D62" s="2" t="s">
        <v>18</v>
      </c>
      <c r="E62" s="3" t="s">
        <v>299</v>
      </c>
      <c r="F62" s="3" t="s">
        <v>300</v>
      </c>
      <c r="G62" s="3" t="s">
        <v>301</v>
      </c>
      <c r="H62" s="2" t="s">
        <v>55</v>
      </c>
      <c r="I62" s="2" t="s">
        <v>302</v>
      </c>
      <c r="J62" s="3" t="str">
        <f>HYPERLINK("https://www.boe.es/gazeta/dias/1809/05/26/pdfs/GGB-1809-31.pdf#page=10","Abrir facsímil")</f>
        <v>Abrir facsímil</v>
      </c>
      <c r="K62" s="3" t="s">
        <v>57</v>
      </c>
    </row>
    <row r="63" spans="1:11" ht="42" customHeight="1">
      <c r="A63" s="2" t="s">
        <v>303</v>
      </c>
      <c r="B63" s="2" t="s">
        <v>304</v>
      </c>
      <c r="C63" s="2" t="s">
        <v>17</v>
      </c>
      <c r="D63" s="2" t="s">
        <v>18</v>
      </c>
      <c r="E63" s="3" t="s">
        <v>305</v>
      </c>
      <c r="F63" s="3" t="s">
        <v>306</v>
      </c>
      <c r="G63" s="3" t="s">
        <v>29</v>
      </c>
      <c r="H63" s="2" t="s">
        <v>55</v>
      </c>
      <c r="I63" s="2" t="s">
        <v>307</v>
      </c>
      <c r="J63" s="3" t="str">
        <f>HYPERLINK("https://www.boe.es/gazeta/dias/1809/10/20/pdfs/GMD-1809-294.pdf#page=3","Abrir facsímil")</f>
        <v>Abrir facsímil</v>
      </c>
      <c r="K63" s="3" t="s">
        <v>57</v>
      </c>
    </row>
    <row r="64" spans="1:11" ht="42" customHeight="1">
      <c r="A64" s="2" t="s">
        <v>308</v>
      </c>
      <c r="B64" s="2" t="s">
        <v>309</v>
      </c>
      <c r="C64" s="2" t="s">
        <v>25</v>
      </c>
      <c r="D64" s="2" t="s">
        <v>18</v>
      </c>
      <c r="E64" s="3" t="s">
        <v>123</v>
      </c>
      <c r="F64" s="3" t="s">
        <v>310</v>
      </c>
      <c r="G64" s="3" t="s">
        <v>120</v>
      </c>
      <c r="H64" s="2" t="s">
        <v>55</v>
      </c>
      <c r="I64" s="2" t="s">
        <v>311</v>
      </c>
      <c r="J64" s="3" t="str">
        <f>HYPERLINK("https://www.boe.es/gazeta/dias/1809/04/21/pdfs/GGB-1809-20.pdf#page=4","Abrir facsímil")</f>
        <v>Abrir facsímil</v>
      </c>
      <c r="K64" s="3" t="s">
        <v>57</v>
      </c>
    </row>
    <row r="65" spans="1:11" ht="42" customHeight="1">
      <c r="A65" s="2" t="s">
        <v>312</v>
      </c>
      <c r="B65" s="2" t="s">
        <v>313</v>
      </c>
      <c r="C65" s="2" t="s">
        <v>17</v>
      </c>
      <c r="D65" s="2" t="s">
        <v>18</v>
      </c>
      <c r="E65" s="3" t="s">
        <v>314</v>
      </c>
      <c r="F65" s="3" t="s">
        <v>315</v>
      </c>
      <c r="G65" s="3" t="s">
        <v>316</v>
      </c>
      <c r="H65" s="2" t="s">
        <v>22</v>
      </c>
      <c r="I65" s="2" t="s">
        <v>317</v>
      </c>
      <c r="J65" s="3" t="str">
        <f>HYPERLINK("https://www.boe.es/gazeta/dias/1809/12/11/pdfs/GMD-1809-346.pdf#page=1","Abrir facsímil")</f>
        <v>Abrir facsímil</v>
      </c>
      <c r="K65" s="3" t="s">
        <v>24</v>
      </c>
    </row>
    <row r="66" spans="1:11" ht="42" customHeight="1">
      <c r="A66" s="2" t="s">
        <v>318</v>
      </c>
      <c r="B66" s="2" t="s">
        <v>319</v>
      </c>
      <c r="C66" s="2" t="s">
        <v>17</v>
      </c>
      <c r="D66" s="2" t="s">
        <v>18</v>
      </c>
      <c r="E66" s="3" t="s">
        <v>196</v>
      </c>
      <c r="F66" s="3" t="s">
        <v>197</v>
      </c>
      <c r="G66" s="3" t="s">
        <v>198</v>
      </c>
      <c r="H66" s="2" t="s">
        <v>55</v>
      </c>
      <c r="I66" s="2" t="s">
        <v>320</v>
      </c>
      <c r="J66" s="3" t="str">
        <f>HYPERLINK("https://www.boe.es/gazeta/dias/1809/09/04/pdfs/GMD-1809-248.pdf#page=3","Abrir facsímil")</f>
        <v>Abrir facsímil</v>
      </c>
      <c r="K66" s="3" t="s">
        <v>57</v>
      </c>
    </row>
    <row r="67" spans="1:11" ht="42" customHeight="1">
      <c r="A67" s="2" t="s">
        <v>321</v>
      </c>
      <c r="B67" s="2" t="s">
        <v>321</v>
      </c>
      <c r="C67" s="2" t="s">
        <v>25</v>
      </c>
      <c r="D67" s="2" t="s">
        <v>26</v>
      </c>
      <c r="E67" s="3" t="s">
        <v>322</v>
      </c>
      <c r="F67" s="3" t="s">
        <v>323</v>
      </c>
      <c r="G67" s="3" t="s">
        <v>21</v>
      </c>
      <c r="H67" s="2" t="s">
        <v>55</v>
      </c>
      <c r="I67" s="2" t="s">
        <v>324</v>
      </c>
      <c r="J67" s="3" t="str">
        <f>HYPERLINK("https://www.boe.es/gazeta/dias/1809/07/21/pdfs/GMD-1809-202.pdf#page=1","Abrir facsímil")</f>
        <v>Abrir facsímil</v>
      </c>
      <c r="K67" s="3" t="s">
        <v>57</v>
      </c>
    </row>
    <row r="68" spans="1:11" ht="42" customHeight="1">
      <c r="A68" s="2" t="s">
        <v>325</v>
      </c>
      <c r="B68" s="2" t="s">
        <v>326</v>
      </c>
      <c r="C68" s="2" t="s">
        <v>79</v>
      </c>
      <c r="D68" s="2" t="s">
        <v>18</v>
      </c>
      <c r="E68" s="3" t="s">
        <v>327</v>
      </c>
      <c r="F68" s="3" t="s">
        <v>328</v>
      </c>
      <c r="G68" s="3" t="s">
        <v>329</v>
      </c>
      <c r="H68" s="2" t="s">
        <v>55</v>
      </c>
      <c r="I68" s="2" t="s">
        <v>330</v>
      </c>
      <c r="J68" s="3" t="str">
        <f>HYPERLINK("https://www.boe.es/gazeta/dias/1809/09/14/pdfs/GGB-1809-192.pdf#page=8","Abrir facsímil")</f>
        <v>Abrir facsímil</v>
      </c>
      <c r="K68" s="3" t="s">
        <v>57</v>
      </c>
    </row>
    <row r="69" spans="1:11" ht="42" customHeight="1">
      <c r="A69" s="2" t="s">
        <v>331</v>
      </c>
      <c r="B69" s="2" t="s">
        <v>331</v>
      </c>
      <c r="C69" s="2" t="s">
        <v>47</v>
      </c>
      <c r="D69" s="2" t="s">
        <v>18</v>
      </c>
      <c r="E69" s="3" t="s">
        <v>332</v>
      </c>
      <c r="F69" s="3" t="s">
        <v>333</v>
      </c>
      <c r="G69" s="3" t="s">
        <v>239</v>
      </c>
      <c r="H69" s="2" t="s">
        <v>55</v>
      </c>
      <c r="I69" s="2" t="s">
        <v>334</v>
      </c>
      <c r="J69" s="3" t="str">
        <f>HYPERLINK("https://www.boe.es/gazeta/dias/1809/02/23/pdfs/GMD-1809-54.pdf#page=2","Abrir facsímil")</f>
        <v>Abrir facsímil</v>
      </c>
      <c r="K69" s="3" t="s">
        <v>57</v>
      </c>
    </row>
    <row r="70" spans="1:11" ht="42" customHeight="1">
      <c r="A70" s="2" t="s">
        <v>335</v>
      </c>
      <c r="B70" s="2" t="s">
        <v>335</v>
      </c>
      <c r="C70" s="2" t="s">
        <v>25</v>
      </c>
      <c r="D70" s="2" t="s">
        <v>107</v>
      </c>
      <c r="E70" s="3" t="s">
        <v>278</v>
      </c>
      <c r="F70" s="3" t="s">
        <v>279</v>
      </c>
      <c r="G70" s="3" t="s">
        <v>280</v>
      </c>
      <c r="H70" s="2" t="s">
        <v>55</v>
      </c>
      <c r="I70" s="2" t="s">
        <v>336</v>
      </c>
      <c r="J70" s="3" t="str">
        <f>HYPERLINK("https://www.boe.es/gazeta/dias/1809/03/26/pdfs/GMD-1809-85.pdf#page=1","Abrir facsímil")</f>
        <v>Abrir facsímil</v>
      </c>
      <c r="K70" s="3" t="s">
        <v>57</v>
      </c>
    </row>
    <row r="71" spans="1:11" ht="42" customHeight="1">
      <c r="A71" s="2" t="s">
        <v>337</v>
      </c>
      <c r="B71" s="2" t="s">
        <v>337</v>
      </c>
      <c r="C71" s="2" t="s">
        <v>25</v>
      </c>
      <c r="D71" s="2" t="s">
        <v>26</v>
      </c>
      <c r="E71" s="3" t="s">
        <v>338</v>
      </c>
      <c r="F71" s="3" t="s">
        <v>339</v>
      </c>
      <c r="G71" s="3" t="s">
        <v>340</v>
      </c>
      <c r="H71" s="2" t="s">
        <v>55</v>
      </c>
      <c r="I71" s="2" t="s">
        <v>341</v>
      </c>
      <c r="J71" s="3" t="str">
        <f>HYPERLINK("https://www.boe.es/gazeta/dias/1809/08/04/pdfs/GMD-1809-217.pdf#page=2","Abrir facsímil")</f>
        <v>Abrir facsímil</v>
      </c>
      <c r="K71" s="3" t="s">
        <v>57</v>
      </c>
    </row>
    <row r="72" spans="1:11" ht="42" customHeight="1">
      <c r="A72" s="2" t="s">
        <v>342</v>
      </c>
      <c r="B72" s="2" t="s">
        <v>342</v>
      </c>
      <c r="C72" s="2" t="s">
        <v>25</v>
      </c>
      <c r="D72" s="2" t="s">
        <v>80</v>
      </c>
      <c r="E72" s="3" t="s">
        <v>343</v>
      </c>
      <c r="F72" s="3" t="s">
        <v>344</v>
      </c>
      <c r="G72" s="3" t="s">
        <v>129</v>
      </c>
      <c r="H72" s="2" t="s">
        <v>55</v>
      </c>
      <c r="I72" s="2" t="s">
        <v>345</v>
      </c>
      <c r="J72" s="3" t="str">
        <f>HYPERLINK("https://www.boe.es/gazeta/dias/1809/03/01/pdfs/GGB-1809-9E2.pdf#page=2","Abrir facsímil")</f>
        <v>Abrir facsímil</v>
      </c>
      <c r="K72" s="3" t="s">
        <v>57</v>
      </c>
    </row>
    <row r="73" spans="1:11" ht="42" customHeight="1">
      <c r="A73" s="2" t="s">
        <v>342</v>
      </c>
      <c r="B73" s="2" t="s">
        <v>342</v>
      </c>
      <c r="C73" s="2" t="s">
        <v>25</v>
      </c>
      <c r="D73" s="2" t="s">
        <v>80</v>
      </c>
      <c r="E73" s="3" t="s">
        <v>343</v>
      </c>
      <c r="F73" s="3" t="s">
        <v>344</v>
      </c>
      <c r="G73" s="3" t="s">
        <v>29</v>
      </c>
      <c r="H73" s="2" t="s">
        <v>55</v>
      </c>
      <c r="I73" s="2" t="s">
        <v>346</v>
      </c>
      <c r="J73" s="3" t="str">
        <f>HYPERLINK("https://www.boe.es/gazeta/dias/1809/03/01/pdfs/GGB-1809-9E2.pdf#page=3","Abrir facsímil")</f>
        <v>Abrir facsímil</v>
      </c>
      <c r="K73" s="3" t="s">
        <v>57</v>
      </c>
    </row>
    <row r="74" spans="1:11" ht="42" customHeight="1">
      <c r="A74" s="2" t="s">
        <v>342</v>
      </c>
      <c r="B74" s="2" t="s">
        <v>342</v>
      </c>
      <c r="C74" s="2" t="s">
        <v>25</v>
      </c>
      <c r="D74" s="2" t="s">
        <v>26</v>
      </c>
      <c r="E74" s="3" t="s">
        <v>347</v>
      </c>
      <c r="F74" s="3" t="s">
        <v>348</v>
      </c>
      <c r="G74" s="3" t="s">
        <v>349</v>
      </c>
      <c r="H74" s="2" t="s">
        <v>55</v>
      </c>
      <c r="I74" s="2" t="s">
        <v>350</v>
      </c>
      <c r="J74" s="3" t="str">
        <f>HYPERLINK("https://www.boe.es/gazeta/dias/1809/03/07/pdfs/GMD-1809-66.pdf#page=3","Abrir facsímil")</f>
        <v>Abrir facsímil</v>
      </c>
      <c r="K74" s="3" t="s">
        <v>57</v>
      </c>
    </row>
    <row r="75" spans="1:11" ht="42" customHeight="1">
      <c r="A75" s="2" t="s">
        <v>351</v>
      </c>
      <c r="B75" s="2" t="s">
        <v>351</v>
      </c>
      <c r="C75" s="2" t="s">
        <v>25</v>
      </c>
      <c r="D75" s="2" t="s">
        <v>18</v>
      </c>
      <c r="E75" s="3" t="s">
        <v>243</v>
      </c>
      <c r="F75" s="3" t="s">
        <v>352</v>
      </c>
      <c r="G75" s="3" t="s">
        <v>353</v>
      </c>
      <c r="H75" s="2" t="s">
        <v>55</v>
      </c>
      <c r="I75" s="2" t="s">
        <v>354</v>
      </c>
      <c r="J75" s="3" t="str">
        <f>HYPERLINK("https://www.boe.es/gazeta/dias/1809/02/17/pdfs/GMD-1809-48.pdf#page=3","Abrir facsímil")</f>
        <v>Abrir facsímil</v>
      </c>
      <c r="K75" s="3" t="s">
        <v>57</v>
      </c>
    </row>
    <row r="76" spans="1:11" ht="42" customHeight="1">
      <c r="A76" s="2" t="s">
        <v>355</v>
      </c>
      <c r="B76" s="2" t="s">
        <v>356</v>
      </c>
      <c r="C76" s="2" t="s">
        <v>17</v>
      </c>
      <c r="D76" s="2" t="s">
        <v>18</v>
      </c>
      <c r="E76" s="3" t="s">
        <v>357</v>
      </c>
      <c r="F76" s="3" t="s">
        <v>358</v>
      </c>
      <c r="G76" s="3" t="s">
        <v>225</v>
      </c>
      <c r="H76" s="2" t="s">
        <v>55</v>
      </c>
      <c r="I76" s="2" t="s">
        <v>359</v>
      </c>
      <c r="J76" s="3" t="str">
        <f>HYPERLINK("https://www.boe.es/gazeta/dias/1809/03/20/pdfs/GMD-1809-79.pdf#page=4","Abrir facsímil")</f>
        <v>Abrir facsímil</v>
      </c>
      <c r="K76" s="3" t="s">
        <v>57</v>
      </c>
    </row>
    <row r="77" spans="1:11" ht="42" customHeight="1">
      <c r="A77" s="2" t="s">
        <v>355</v>
      </c>
      <c r="B77" s="2" t="s">
        <v>356</v>
      </c>
      <c r="C77" s="2" t="s">
        <v>17</v>
      </c>
      <c r="D77" s="2" t="s">
        <v>40</v>
      </c>
      <c r="E77" s="3" t="s">
        <v>123</v>
      </c>
      <c r="F77" s="3" t="s">
        <v>310</v>
      </c>
      <c r="G77" s="3" t="s">
        <v>120</v>
      </c>
      <c r="H77" s="2" t="s">
        <v>55</v>
      </c>
      <c r="I77" s="2" t="s">
        <v>360</v>
      </c>
      <c r="J77" s="3" t="str">
        <f>HYPERLINK("https://www.boe.es/gazeta/dias/1809/04/21/pdfs/GGB-1809-20.pdf#page=4","Abrir facsímil")</f>
        <v>Abrir facsímil</v>
      </c>
      <c r="K77" s="3" t="s">
        <v>57</v>
      </c>
    </row>
    <row r="78" spans="1:11" ht="42" customHeight="1">
      <c r="A78" s="2" t="s">
        <v>361</v>
      </c>
      <c r="B78" s="2" t="s">
        <v>361</v>
      </c>
      <c r="C78" s="2" t="s">
        <v>47</v>
      </c>
      <c r="D78" s="2" t="s">
        <v>107</v>
      </c>
      <c r="E78" s="3" t="s">
        <v>152</v>
      </c>
      <c r="F78" s="3" t="s">
        <v>153</v>
      </c>
      <c r="G78" s="3" t="s">
        <v>362</v>
      </c>
      <c r="H78" s="2" t="s">
        <v>55</v>
      </c>
      <c r="I78" s="2" t="s">
        <v>363</v>
      </c>
      <c r="J78" s="3" t="str">
        <f>HYPERLINK("https://www.boe.es/gazeta/dias/1809/08/26/pdfs/GGB-1809-112.pdf#page=3","Abrir facsímil")</f>
        <v>Abrir facsímil</v>
      </c>
      <c r="K78" s="3" t="s">
        <v>57</v>
      </c>
    </row>
    <row r="79" spans="1:11" ht="42" customHeight="1">
      <c r="A79" s="2" t="s">
        <v>364</v>
      </c>
      <c r="B79" s="2" t="s">
        <v>365</v>
      </c>
      <c r="C79" s="2" t="s">
        <v>17</v>
      </c>
      <c r="D79" s="2" t="s">
        <v>80</v>
      </c>
      <c r="E79" s="3" t="s">
        <v>179</v>
      </c>
      <c r="F79" s="3" t="s">
        <v>180</v>
      </c>
      <c r="G79" s="3" t="s">
        <v>239</v>
      </c>
      <c r="H79" s="2" t="s">
        <v>55</v>
      </c>
      <c r="I79" s="2" t="s">
        <v>366</v>
      </c>
      <c r="J79" s="3" t="str">
        <f>HYPERLINK("https://www.boe.es/gazeta/dias/1809/12/08/pdfs/GGB-1809-552E.pdf#page=2","Abrir facsímil")</f>
        <v>Abrir facsímil</v>
      </c>
      <c r="K79" s="3" t="s">
        <v>57</v>
      </c>
    </row>
    <row r="80" spans="1:11" ht="42" customHeight="1">
      <c r="A80" s="2" t="s">
        <v>367</v>
      </c>
      <c r="B80" s="2" t="s">
        <v>368</v>
      </c>
      <c r="C80" s="2" t="s">
        <v>369</v>
      </c>
      <c r="D80" s="2" t="s">
        <v>107</v>
      </c>
      <c r="E80" s="3" t="s">
        <v>370</v>
      </c>
      <c r="F80" s="3" t="s">
        <v>371</v>
      </c>
      <c r="G80" s="3" t="s">
        <v>234</v>
      </c>
      <c r="H80" s="2" t="s">
        <v>55</v>
      </c>
      <c r="I80" s="2" t="s">
        <v>372</v>
      </c>
      <c r="J80" s="3" t="str">
        <f>HYPERLINK("https://www.boe.es/gazeta/dias/1809/08/20/pdfs/GMD-1809-233.pdf#page=2","Abrir facsímil")</f>
        <v>Abrir facsímil</v>
      </c>
      <c r="K80" s="3" t="s">
        <v>57</v>
      </c>
    </row>
    <row r="81" spans="1:11" ht="42" customHeight="1">
      <c r="A81" s="2" t="s">
        <v>373</v>
      </c>
      <c r="B81" s="2" t="s">
        <v>373</v>
      </c>
      <c r="C81" s="2" t="s">
        <v>25</v>
      </c>
      <c r="D81" s="2" t="s">
        <v>26</v>
      </c>
      <c r="E81" s="3" t="s">
        <v>196</v>
      </c>
      <c r="F81" s="3" t="s">
        <v>197</v>
      </c>
      <c r="G81" s="3" t="s">
        <v>374</v>
      </c>
      <c r="H81" s="2" t="s">
        <v>55</v>
      </c>
      <c r="I81" s="2" t="s">
        <v>375</v>
      </c>
      <c r="J81" s="3" t="str">
        <f>HYPERLINK("https://www.boe.es/gazeta/dias/1809/09/04/pdfs/GMD-1809-248.pdf#page=2","Abrir facsímil")</f>
        <v>Abrir facsímil</v>
      </c>
      <c r="K81" s="3" t="s">
        <v>57</v>
      </c>
    </row>
    <row r="82" spans="1:11" ht="42" customHeight="1">
      <c r="A82" s="2" t="s">
        <v>376</v>
      </c>
      <c r="B82" s="2" t="s">
        <v>376</v>
      </c>
      <c r="C82" s="2" t="s">
        <v>47</v>
      </c>
      <c r="D82" s="2" t="s">
        <v>18</v>
      </c>
      <c r="E82" s="3" t="s">
        <v>377</v>
      </c>
      <c r="F82" s="3" t="s">
        <v>378</v>
      </c>
      <c r="G82" s="3" t="s">
        <v>379</v>
      </c>
      <c r="H82" s="2" t="s">
        <v>55</v>
      </c>
      <c r="I82" s="2" t="s">
        <v>380</v>
      </c>
      <c r="J82" s="3" t="str">
        <f>HYPERLINK("https://www.boe.es/gazeta/dias/1809/03/19/pdfs/GMD-1809-78.pdf#page=1","Abrir facsímil")</f>
        <v>Abrir facsímil</v>
      </c>
      <c r="K82" s="3" t="s">
        <v>57</v>
      </c>
    </row>
    <row r="83" spans="1:11" ht="42" customHeight="1">
      <c r="A83" s="2" t="s">
        <v>376</v>
      </c>
      <c r="B83" s="2" t="s">
        <v>376</v>
      </c>
      <c r="C83" s="2" t="s">
        <v>25</v>
      </c>
      <c r="D83" s="2" t="s">
        <v>18</v>
      </c>
      <c r="E83" s="3" t="s">
        <v>381</v>
      </c>
      <c r="F83" s="3" t="s">
        <v>382</v>
      </c>
      <c r="G83" s="3" t="s">
        <v>75</v>
      </c>
      <c r="H83" s="2" t="s">
        <v>55</v>
      </c>
      <c r="I83" s="2" t="s">
        <v>383</v>
      </c>
      <c r="J83" s="3" t="str">
        <f>HYPERLINK("https://www.boe.es/gazeta/dias/1809/06/27/pdfs/GMD-1809-178.pdf#page=2","Abrir facsímil")</f>
        <v>Abrir facsímil</v>
      </c>
      <c r="K83" s="3" t="s">
        <v>57</v>
      </c>
    </row>
    <row r="84" spans="1:11" ht="42" customHeight="1">
      <c r="A84" s="2" t="s">
        <v>376</v>
      </c>
      <c r="B84" s="2" t="s">
        <v>376</v>
      </c>
      <c r="C84" s="2" t="s">
        <v>25</v>
      </c>
      <c r="D84" s="2" t="s">
        <v>18</v>
      </c>
      <c r="E84" s="3" t="s">
        <v>384</v>
      </c>
      <c r="F84" s="3" t="s">
        <v>385</v>
      </c>
      <c r="G84" s="3" t="s">
        <v>120</v>
      </c>
      <c r="H84" s="2" t="s">
        <v>55</v>
      </c>
      <c r="I84" s="2" t="s">
        <v>386</v>
      </c>
      <c r="J84" s="3" t="str">
        <f>HYPERLINK("https://www.boe.es/gazeta/dias/1809/07/27/pdfs/GMD-1809-208.pdf#page=1","Abrir facsímil")</f>
        <v>Abrir facsímil</v>
      </c>
      <c r="K84" s="3" t="s">
        <v>57</v>
      </c>
    </row>
    <row r="85" spans="1:11" ht="42" customHeight="1">
      <c r="A85" s="2" t="s">
        <v>376</v>
      </c>
      <c r="B85" s="2" t="s">
        <v>376</v>
      </c>
      <c r="C85" s="2" t="s">
        <v>25</v>
      </c>
      <c r="D85" s="2" t="s">
        <v>26</v>
      </c>
      <c r="E85" s="3" t="s">
        <v>387</v>
      </c>
      <c r="F85" s="3" t="s">
        <v>388</v>
      </c>
      <c r="G85" s="3" t="s">
        <v>29</v>
      </c>
      <c r="H85" s="2" t="s">
        <v>55</v>
      </c>
      <c r="I85" s="2" t="s">
        <v>389</v>
      </c>
      <c r="J85" s="3" t="str">
        <f>HYPERLINK("https://www.boe.es/gazeta/dias/1809/09/26/pdfs/GMD-1809-270.pdf#page=3","Abrir facsímil")</f>
        <v>Abrir facsímil</v>
      </c>
      <c r="K85" s="3" t="s">
        <v>57</v>
      </c>
    </row>
    <row r="86" spans="1:11" ht="42" customHeight="1">
      <c r="A86" s="2" t="s">
        <v>376</v>
      </c>
      <c r="B86" s="2" t="s">
        <v>376</v>
      </c>
      <c r="C86" s="2" t="s">
        <v>25</v>
      </c>
      <c r="D86" s="2" t="s">
        <v>107</v>
      </c>
      <c r="E86" s="3" t="s">
        <v>390</v>
      </c>
      <c r="F86" s="3" t="s">
        <v>391</v>
      </c>
      <c r="G86" s="3" t="s">
        <v>392</v>
      </c>
      <c r="H86" s="2" t="s">
        <v>55</v>
      </c>
      <c r="I86" s="2" t="s">
        <v>393</v>
      </c>
      <c r="J86" s="3" t="str">
        <f>HYPERLINK("https://www.boe.es/gazeta/dias/1809/10/19/pdfs/GGB-1809-342.pdf#page=3","Abrir facsímil")</f>
        <v>Abrir facsímil</v>
      </c>
      <c r="K86" s="3" t="s">
        <v>57</v>
      </c>
    </row>
    <row r="87" spans="1:11" ht="42" customHeight="1">
      <c r="A87" s="2" t="s">
        <v>376</v>
      </c>
      <c r="B87" s="2" t="s">
        <v>376</v>
      </c>
      <c r="C87" s="2" t="s">
        <v>17</v>
      </c>
      <c r="D87" s="2" t="s">
        <v>72</v>
      </c>
      <c r="E87" s="3" t="s">
        <v>394</v>
      </c>
      <c r="F87" s="3" t="s">
        <v>395</v>
      </c>
      <c r="G87" s="3" t="s">
        <v>396</v>
      </c>
      <c r="H87" s="2" t="s">
        <v>55</v>
      </c>
      <c r="I87" s="2" t="s">
        <v>397</v>
      </c>
      <c r="J87" s="3" t="str">
        <f>HYPERLINK("https://www.boe.es/gazeta/dias/1809/12/14/pdfs/GGB-H-1809-582.pdf#page=2","Abrir facsímil")</f>
        <v>Abrir facsímil</v>
      </c>
      <c r="K87" s="3" t="s">
        <v>57</v>
      </c>
    </row>
    <row r="88" spans="1:11" ht="42" customHeight="1">
      <c r="A88" s="2" t="s">
        <v>398</v>
      </c>
      <c r="B88" s="2" t="s">
        <v>399</v>
      </c>
      <c r="C88" s="2" t="s">
        <v>17</v>
      </c>
      <c r="D88" s="2" t="s">
        <v>72</v>
      </c>
      <c r="E88" s="3" t="s">
        <v>243</v>
      </c>
      <c r="F88" s="3" t="s">
        <v>244</v>
      </c>
      <c r="G88" s="3" t="s">
        <v>110</v>
      </c>
      <c r="H88" s="2" t="s">
        <v>55</v>
      </c>
      <c r="I88" s="2" t="s">
        <v>400</v>
      </c>
      <c r="J88" s="3" t="str">
        <f>HYPERLINK("https://www.boe.es/gazeta/dias/1809/02/17/pdfs/GGB-G-1809-8.pdf#page=6","Abrir facsímil")</f>
        <v>Abrir facsímil</v>
      </c>
      <c r="K88" s="3" t="s">
        <v>57</v>
      </c>
    </row>
    <row r="89" spans="1:11" ht="42" customHeight="1">
      <c r="A89" s="2" t="s">
        <v>401</v>
      </c>
      <c r="B89" s="2" t="s">
        <v>401</v>
      </c>
      <c r="C89" s="2" t="s">
        <v>17</v>
      </c>
      <c r="D89" s="2" t="s">
        <v>107</v>
      </c>
      <c r="E89" s="3" t="s">
        <v>273</v>
      </c>
      <c r="F89" s="3" t="s">
        <v>274</v>
      </c>
      <c r="G89" s="3" t="s">
        <v>260</v>
      </c>
      <c r="H89" s="2" t="s">
        <v>22</v>
      </c>
      <c r="I89" s="2" t="s">
        <v>402</v>
      </c>
      <c r="J89" s="3" t="str">
        <f>HYPERLINK("https://www.boe.es/gazeta/dias/1809/08/13/pdfs/GMD-1809-226.pdf#page=2","Abrir facsímil")</f>
        <v>Abrir facsímil</v>
      </c>
      <c r="K89" s="3" t="s">
        <v>24</v>
      </c>
    </row>
    <row r="90" spans="1:11" ht="42" customHeight="1">
      <c r="A90" s="2" t="s">
        <v>403</v>
      </c>
      <c r="B90" s="2" t="s">
        <v>403</v>
      </c>
      <c r="C90" s="2" t="s">
        <v>25</v>
      </c>
      <c r="D90" s="2" t="s">
        <v>26</v>
      </c>
      <c r="E90" s="3" t="s">
        <v>139</v>
      </c>
      <c r="F90" s="3" t="s">
        <v>140</v>
      </c>
      <c r="G90" s="3" t="s">
        <v>120</v>
      </c>
      <c r="H90" s="2" t="s">
        <v>55</v>
      </c>
      <c r="I90" s="2" t="s">
        <v>404</v>
      </c>
      <c r="J90" s="3" t="str">
        <f>HYPERLINK("https://www.boe.es/gazeta/dias/1809/05/06/pdfs/GMD-1809-126.pdf#page=2","Abrir facsímil")</f>
        <v>Abrir facsímil</v>
      </c>
      <c r="K90" s="3" t="s">
        <v>57</v>
      </c>
    </row>
    <row r="91" spans="1:11" ht="42" customHeight="1">
      <c r="A91" s="2" t="s">
        <v>405</v>
      </c>
      <c r="B91" s="2" t="s">
        <v>405</v>
      </c>
      <c r="C91" s="2" t="s">
        <v>47</v>
      </c>
      <c r="D91" s="2" t="s">
        <v>18</v>
      </c>
      <c r="E91" s="3" t="s">
        <v>406</v>
      </c>
      <c r="F91" s="3" t="s">
        <v>407</v>
      </c>
      <c r="G91" s="3" t="s">
        <v>408</v>
      </c>
      <c r="H91" s="2" t="s">
        <v>55</v>
      </c>
      <c r="I91" s="2" t="s">
        <v>409</v>
      </c>
      <c r="J91" s="3" t="str">
        <f>HYPERLINK("https://www.boe.es/gazeta/dias/1809/02/02/pdfs/GMD-1809-33.pdf#page=2","Abrir facsímil")</f>
        <v>Abrir facsímil</v>
      </c>
      <c r="K91" s="3" t="s">
        <v>57</v>
      </c>
    </row>
    <row r="92" spans="1:11" ht="42" customHeight="1">
      <c r="A92" s="2" t="s">
        <v>405</v>
      </c>
      <c r="B92" s="2" t="s">
        <v>405</v>
      </c>
      <c r="C92" s="2" t="s">
        <v>47</v>
      </c>
      <c r="D92" s="2" t="s">
        <v>107</v>
      </c>
      <c r="E92" s="3" t="s">
        <v>410</v>
      </c>
      <c r="F92" s="3" t="s">
        <v>411</v>
      </c>
      <c r="G92" s="3" t="s">
        <v>316</v>
      </c>
      <c r="H92" s="2" t="s">
        <v>55</v>
      </c>
      <c r="I92" s="2" t="s">
        <v>412</v>
      </c>
      <c r="J92" s="3" t="str">
        <f>HYPERLINK("https://www.boe.es/gazeta/dias/1809/03/04/pdfs/GMD-1809-63.pdf#page=2","Abrir facsímil")</f>
        <v>Abrir facsímil</v>
      </c>
      <c r="K92" s="3" t="s">
        <v>57</v>
      </c>
    </row>
    <row r="93" spans="1:11" ht="42" customHeight="1">
      <c r="A93" s="2" t="s">
        <v>405</v>
      </c>
      <c r="B93" s="2" t="s">
        <v>405</v>
      </c>
      <c r="C93" s="2" t="s">
        <v>17</v>
      </c>
      <c r="D93" s="2" t="s">
        <v>18</v>
      </c>
      <c r="E93" s="3" t="s">
        <v>347</v>
      </c>
      <c r="F93" s="3" t="s">
        <v>348</v>
      </c>
      <c r="G93" s="3" t="s">
        <v>349</v>
      </c>
      <c r="H93" s="2" t="s">
        <v>55</v>
      </c>
      <c r="I93" s="2" t="s">
        <v>413</v>
      </c>
      <c r="J93" s="3" t="str">
        <f>HYPERLINK("https://www.boe.es/gazeta/dias/1809/03/07/pdfs/GMD-1809-66.pdf#page=3","Abrir facsímil")</f>
        <v>Abrir facsímil</v>
      </c>
      <c r="K93" s="3" t="s">
        <v>57</v>
      </c>
    </row>
    <row r="94" spans="1:11" ht="42" customHeight="1">
      <c r="A94" s="2" t="s">
        <v>405</v>
      </c>
      <c r="B94" s="2" t="s">
        <v>405</v>
      </c>
      <c r="C94" s="2" t="s">
        <v>47</v>
      </c>
      <c r="D94" s="2" t="s">
        <v>107</v>
      </c>
      <c r="E94" s="3" t="s">
        <v>414</v>
      </c>
      <c r="F94" s="3" t="s">
        <v>415</v>
      </c>
      <c r="G94" s="3" t="s">
        <v>416</v>
      </c>
      <c r="H94" s="2" t="s">
        <v>55</v>
      </c>
      <c r="I94" s="2" t="s">
        <v>417</v>
      </c>
      <c r="J94" s="3" t="str">
        <f>HYPERLINK("https://www.boe.es/gazeta/dias/1809/03/21/pdfs/GMD-1809-80.pdf#page=1","Abrir facsímil")</f>
        <v>Abrir facsímil</v>
      </c>
      <c r="K94" s="3" t="s">
        <v>57</v>
      </c>
    </row>
    <row r="95" spans="1:11" ht="42" customHeight="1">
      <c r="A95" s="2" t="s">
        <v>405</v>
      </c>
      <c r="B95" s="2" t="s">
        <v>405</v>
      </c>
      <c r="C95" s="2" t="s">
        <v>47</v>
      </c>
      <c r="D95" s="2" t="s">
        <v>18</v>
      </c>
      <c r="E95" s="3" t="s">
        <v>418</v>
      </c>
      <c r="F95" s="3" t="s">
        <v>419</v>
      </c>
      <c r="G95" s="3" t="s">
        <v>21</v>
      </c>
      <c r="H95" s="2" t="s">
        <v>55</v>
      </c>
      <c r="I95" s="2" t="s">
        <v>420</v>
      </c>
      <c r="J95" s="3" t="str">
        <f>HYPERLINK("https://www.boe.es/gazeta/dias/1809/03/29/pdfs/GMD-1809-88.pdf#page=3","Abrir facsímil")</f>
        <v>Abrir facsímil</v>
      </c>
      <c r="K95" s="3" t="s">
        <v>57</v>
      </c>
    </row>
    <row r="96" spans="1:11" ht="42" customHeight="1">
      <c r="A96" s="2" t="s">
        <v>405</v>
      </c>
      <c r="B96" s="2" t="s">
        <v>405</v>
      </c>
      <c r="C96" s="2" t="s">
        <v>47</v>
      </c>
      <c r="D96" s="2" t="s">
        <v>107</v>
      </c>
      <c r="E96" s="3" t="s">
        <v>421</v>
      </c>
      <c r="F96" s="3" t="s">
        <v>422</v>
      </c>
      <c r="G96" s="3" t="s">
        <v>129</v>
      </c>
      <c r="H96" s="2" t="s">
        <v>55</v>
      </c>
      <c r="I96" s="2" t="s">
        <v>423</v>
      </c>
      <c r="J96" s="3" t="str">
        <f>HYPERLINK("https://www.boe.es/gazeta/dias/1809/04/28/pdfs/GMD-1809-118.pdf#page=2","Abrir facsímil")</f>
        <v>Abrir facsímil</v>
      </c>
      <c r="K96" s="3" t="s">
        <v>57</v>
      </c>
    </row>
    <row r="97" spans="1:11" ht="42" customHeight="1">
      <c r="A97" s="2" t="s">
        <v>405</v>
      </c>
      <c r="B97" s="2" t="s">
        <v>405</v>
      </c>
      <c r="C97" s="2" t="s">
        <v>47</v>
      </c>
      <c r="D97" s="2" t="s">
        <v>107</v>
      </c>
      <c r="E97" s="3" t="s">
        <v>424</v>
      </c>
      <c r="F97" s="3" t="s">
        <v>425</v>
      </c>
      <c r="G97" s="3" t="s">
        <v>426</v>
      </c>
      <c r="H97" s="2" t="s">
        <v>55</v>
      </c>
      <c r="I97" s="2" t="s">
        <v>427</v>
      </c>
      <c r="J97" s="3" t="str">
        <f>HYPERLINK("https://www.boe.es/gazeta/dias/1809/05/10/pdfs/GMD-1809-130.pdf#page=3","Abrir facsímil")</f>
        <v>Abrir facsímil</v>
      </c>
      <c r="K97" s="3" t="s">
        <v>57</v>
      </c>
    </row>
    <row r="98" spans="1:11" ht="42" customHeight="1">
      <c r="A98" s="2" t="s">
        <v>405</v>
      </c>
      <c r="B98" s="2" t="s">
        <v>405</v>
      </c>
      <c r="C98" s="2" t="s">
        <v>47</v>
      </c>
      <c r="D98" s="2" t="s">
        <v>107</v>
      </c>
      <c r="E98" s="3" t="s">
        <v>299</v>
      </c>
      <c r="F98" s="3" t="s">
        <v>300</v>
      </c>
      <c r="G98" s="3" t="s">
        <v>239</v>
      </c>
      <c r="H98" s="2" t="s">
        <v>55</v>
      </c>
      <c r="I98" s="2" t="s">
        <v>428</v>
      </c>
      <c r="J98" s="3" t="str">
        <f>HYPERLINK("https://www.boe.es/gazeta/dias/1809/05/26/pdfs/GGB-1809-31.pdf#page=4","Abrir facsímil")</f>
        <v>Abrir facsímil</v>
      </c>
      <c r="K98" s="3" t="s">
        <v>57</v>
      </c>
    </row>
    <row r="99" spans="1:11" ht="42" customHeight="1">
      <c r="A99" s="2" t="s">
        <v>405</v>
      </c>
      <c r="B99" s="2" t="s">
        <v>405</v>
      </c>
      <c r="C99" s="2" t="s">
        <v>39</v>
      </c>
      <c r="D99" s="2" t="s">
        <v>107</v>
      </c>
      <c r="E99" s="3" t="s">
        <v>429</v>
      </c>
      <c r="F99" s="3" t="s">
        <v>430</v>
      </c>
      <c r="G99" s="3" t="s">
        <v>270</v>
      </c>
      <c r="H99" s="2" t="s">
        <v>55</v>
      </c>
      <c r="I99" s="2" t="s">
        <v>431</v>
      </c>
      <c r="J99" s="3" t="str">
        <f>HYPERLINK("https://www.boe.es/gazeta/dias/1809/06/09/pdfs/GGB-1809-35.pdf#page=3","Abrir facsímil")</f>
        <v>Abrir facsímil</v>
      </c>
      <c r="K99" s="3" t="s">
        <v>57</v>
      </c>
    </row>
    <row r="100" spans="1:11" ht="42" customHeight="1">
      <c r="A100" s="2" t="s">
        <v>405</v>
      </c>
      <c r="B100" s="2" t="s">
        <v>405</v>
      </c>
      <c r="C100" s="2" t="s">
        <v>25</v>
      </c>
      <c r="D100" s="2" t="s">
        <v>26</v>
      </c>
      <c r="E100" s="3" t="s">
        <v>432</v>
      </c>
      <c r="F100" s="3" t="s">
        <v>433</v>
      </c>
      <c r="G100" s="3" t="s">
        <v>379</v>
      </c>
      <c r="H100" s="2" t="s">
        <v>55</v>
      </c>
      <c r="I100" s="2" t="s">
        <v>434</v>
      </c>
      <c r="J100" s="3" t="str">
        <f>HYPERLINK("https://www.boe.es/gazeta/dias/1809/07/11/pdfs/GMD-1809-192.pdf#page=3","Abrir facsímil")</f>
        <v>Abrir facsímil</v>
      </c>
      <c r="K100" s="3" t="s">
        <v>57</v>
      </c>
    </row>
    <row r="101" spans="1:11" ht="42" customHeight="1">
      <c r="A101" s="2" t="s">
        <v>405</v>
      </c>
      <c r="B101" s="2" t="s">
        <v>405</v>
      </c>
      <c r="C101" s="2" t="s">
        <v>79</v>
      </c>
      <c r="D101" s="2" t="s">
        <v>107</v>
      </c>
      <c r="E101" s="3" t="s">
        <v>322</v>
      </c>
      <c r="F101" s="3" t="s">
        <v>435</v>
      </c>
      <c r="G101" s="3" t="s">
        <v>374</v>
      </c>
      <c r="H101" s="2" t="s">
        <v>55</v>
      </c>
      <c r="I101" s="2" t="s">
        <v>436</v>
      </c>
      <c r="J101" s="3" t="str">
        <f>HYPERLINK("https://www.boe.es/gazeta/dias/1809/07/21/pdfs/GGB-1809-47.pdf#page=4","Abrir facsímil")</f>
        <v>Abrir facsímil</v>
      </c>
      <c r="K101" s="3" t="s">
        <v>57</v>
      </c>
    </row>
    <row r="102" spans="1:11" ht="42" customHeight="1">
      <c r="A102" s="2" t="s">
        <v>405</v>
      </c>
      <c r="B102" s="2" t="s">
        <v>405</v>
      </c>
      <c r="C102" s="2" t="s">
        <v>25</v>
      </c>
      <c r="D102" s="2" t="s">
        <v>26</v>
      </c>
      <c r="E102" s="3" t="s">
        <v>322</v>
      </c>
      <c r="F102" s="3" t="s">
        <v>435</v>
      </c>
      <c r="G102" s="3" t="s">
        <v>437</v>
      </c>
      <c r="H102" s="2" t="s">
        <v>55</v>
      </c>
      <c r="I102" s="2" t="s">
        <v>438</v>
      </c>
      <c r="J102" s="3" t="str">
        <f>HYPERLINK("https://www.boe.es/gazeta/dias/1809/07/21/pdfs/GGB-1809-47.pdf#page=10","Abrir facsímil")</f>
        <v>Abrir facsímil</v>
      </c>
      <c r="K102" s="3" t="s">
        <v>57</v>
      </c>
    </row>
    <row r="103" spans="1:11" ht="42" customHeight="1">
      <c r="A103" s="2" t="s">
        <v>405</v>
      </c>
      <c r="B103" s="2" t="s">
        <v>405</v>
      </c>
      <c r="C103" s="2" t="s">
        <v>25</v>
      </c>
      <c r="D103" s="2" t="s">
        <v>26</v>
      </c>
      <c r="E103" s="3" t="s">
        <v>152</v>
      </c>
      <c r="F103" s="3" t="s">
        <v>153</v>
      </c>
      <c r="G103" s="3" t="s">
        <v>439</v>
      </c>
      <c r="H103" s="2" t="s">
        <v>55</v>
      </c>
      <c r="I103" s="2" t="s">
        <v>440</v>
      </c>
      <c r="J103" s="3" t="str">
        <f>HYPERLINK("https://www.boe.es/gazeta/dias/1809/08/26/pdfs/GGB-1809-112.pdf#page=5","Abrir facsímil")</f>
        <v>Abrir facsímil</v>
      </c>
      <c r="K103" s="3" t="s">
        <v>57</v>
      </c>
    </row>
    <row r="104" spans="1:11" ht="42" customHeight="1">
      <c r="A104" s="2" t="s">
        <v>441</v>
      </c>
      <c r="B104" s="2" t="s">
        <v>441</v>
      </c>
      <c r="C104" s="2" t="s">
        <v>47</v>
      </c>
      <c r="D104" s="2" t="s">
        <v>107</v>
      </c>
      <c r="E104" s="3" t="s">
        <v>442</v>
      </c>
      <c r="F104" s="3" t="s">
        <v>443</v>
      </c>
      <c r="G104" s="3" t="s">
        <v>89</v>
      </c>
      <c r="H104" s="2" t="s">
        <v>55</v>
      </c>
      <c r="I104" s="2" t="s">
        <v>444</v>
      </c>
      <c r="J104" s="3" t="str">
        <f>HYPERLINK("https://www.boe.es/gazeta/dias/1809/09/05/pdfs/GGB-1809-152.pdf#page=2","Abrir facsímil")</f>
        <v>Abrir facsímil</v>
      </c>
      <c r="K104" s="3" t="s">
        <v>57</v>
      </c>
    </row>
    <row r="105" spans="1:11" ht="42" customHeight="1">
      <c r="A105" s="2" t="s">
        <v>405</v>
      </c>
      <c r="B105" s="2" t="s">
        <v>405</v>
      </c>
      <c r="C105" s="2" t="s">
        <v>369</v>
      </c>
      <c r="D105" s="2" t="s">
        <v>107</v>
      </c>
      <c r="E105" s="3" t="s">
        <v>445</v>
      </c>
      <c r="F105" s="3" t="s">
        <v>446</v>
      </c>
      <c r="G105" s="3" t="s">
        <v>62</v>
      </c>
      <c r="H105" s="2" t="s">
        <v>55</v>
      </c>
      <c r="I105" s="2" t="s">
        <v>447</v>
      </c>
      <c r="J105" s="3" t="str">
        <f>HYPERLINK("https://www.boe.es/gazeta/dias/1809/10/01/pdfs/GMD-1809-275.pdf#page=2","Abrir facsímil")</f>
        <v>Abrir facsímil</v>
      </c>
      <c r="K105" s="3" t="s">
        <v>57</v>
      </c>
    </row>
    <row r="106" spans="1:11" ht="42" customHeight="1">
      <c r="A106" s="2" t="s">
        <v>405</v>
      </c>
      <c r="B106" s="2" t="s">
        <v>405</v>
      </c>
      <c r="C106" s="2" t="s">
        <v>288</v>
      </c>
      <c r="D106" s="2" t="s">
        <v>18</v>
      </c>
      <c r="E106" s="3" t="s">
        <v>147</v>
      </c>
      <c r="F106" s="3" t="s">
        <v>148</v>
      </c>
      <c r="G106" s="3" t="s">
        <v>270</v>
      </c>
      <c r="H106" s="2" t="s">
        <v>55</v>
      </c>
      <c r="I106" s="2" t="s">
        <v>448</v>
      </c>
      <c r="J106" s="3" t="str">
        <f>HYPERLINK("https://www.boe.es/gazeta/dias/1809/10/07/pdfs/GGB-1809-292.pdf#page=1","Abrir facsímil")</f>
        <v>Abrir facsímil</v>
      </c>
      <c r="K106" s="3" t="s">
        <v>57</v>
      </c>
    </row>
    <row r="107" spans="1:11" ht="42" customHeight="1">
      <c r="A107" s="2" t="s">
        <v>405</v>
      </c>
      <c r="B107" s="2" t="s">
        <v>405</v>
      </c>
      <c r="C107" s="2" t="s">
        <v>47</v>
      </c>
      <c r="D107" s="2" t="s">
        <v>107</v>
      </c>
      <c r="E107" s="3" t="s">
        <v>449</v>
      </c>
      <c r="F107" s="3" t="s">
        <v>450</v>
      </c>
      <c r="G107" s="3" t="s">
        <v>129</v>
      </c>
      <c r="H107" s="2" t="s">
        <v>55</v>
      </c>
      <c r="I107" s="2" t="s">
        <v>451</v>
      </c>
      <c r="J107" s="3" t="str">
        <f>HYPERLINK("https://www.boe.es/gazeta/dias/1809/10/10/pdfs/GGB-1809-302.pdf#page=2","Abrir facsímil")</f>
        <v>Abrir facsímil</v>
      </c>
      <c r="K107" s="3" t="s">
        <v>57</v>
      </c>
    </row>
    <row r="108" spans="1:11" ht="42" customHeight="1">
      <c r="A108" s="2" t="s">
        <v>405</v>
      </c>
      <c r="B108" s="2" t="s">
        <v>405</v>
      </c>
      <c r="C108" s="2" t="s">
        <v>131</v>
      </c>
      <c r="D108" s="2" t="s">
        <v>18</v>
      </c>
      <c r="E108" s="3" t="s">
        <v>390</v>
      </c>
      <c r="F108" s="3" t="s">
        <v>391</v>
      </c>
      <c r="G108" s="3" t="s">
        <v>392</v>
      </c>
      <c r="H108" s="2" t="s">
        <v>55</v>
      </c>
      <c r="I108" s="2" t="s">
        <v>452</v>
      </c>
      <c r="J108" s="3" t="str">
        <f>HYPERLINK("https://www.boe.es/gazeta/dias/1809/10/19/pdfs/GGB-1809-342.pdf#page=3","Abrir facsímil")</f>
        <v>Abrir facsímil</v>
      </c>
      <c r="K108" s="3" t="s">
        <v>57</v>
      </c>
    </row>
    <row r="109" spans="1:11" ht="42" customHeight="1">
      <c r="A109" s="2" t="s">
        <v>405</v>
      </c>
      <c r="B109" s="2" t="s">
        <v>405</v>
      </c>
      <c r="C109" s="2" t="s">
        <v>25</v>
      </c>
      <c r="D109" s="2" t="s">
        <v>26</v>
      </c>
      <c r="E109" s="3" t="s">
        <v>211</v>
      </c>
      <c r="F109" s="3" t="s">
        <v>212</v>
      </c>
      <c r="G109" s="3" t="s">
        <v>213</v>
      </c>
      <c r="H109" s="2" t="s">
        <v>55</v>
      </c>
      <c r="I109" s="2" t="s">
        <v>453</v>
      </c>
      <c r="J109" s="3" t="str">
        <f>HYPERLINK("https://www.boe.es/gazeta/dias/1809/10/27/pdfs/GMD-1809-301.pdf#page=4","Abrir facsímil")</f>
        <v>Abrir facsímil</v>
      </c>
      <c r="K109" s="3" t="s">
        <v>57</v>
      </c>
    </row>
    <row r="110" spans="1:11" ht="42" customHeight="1">
      <c r="A110" s="2" t="s">
        <v>405</v>
      </c>
      <c r="B110" s="2" t="s">
        <v>405</v>
      </c>
      <c r="C110" s="2" t="s">
        <v>25</v>
      </c>
      <c r="D110" s="2" t="s">
        <v>26</v>
      </c>
      <c r="E110" s="3" t="s">
        <v>216</v>
      </c>
      <c r="F110" s="3" t="s">
        <v>217</v>
      </c>
      <c r="G110" s="3" t="s">
        <v>218</v>
      </c>
      <c r="H110" s="2" t="s">
        <v>55</v>
      </c>
      <c r="I110" s="2" t="s">
        <v>454</v>
      </c>
      <c r="J110" s="3" t="str">
        <f>HYPERLINK("https://www.boe.es/gazeta/dias/1809/12/05/pdfs/GGB-H-1809-542.pdf#page=6","Abrir facsímil")</f>
        <v>Abrir facsímil</v>
      </c>
      <c r="K110" s="3" t="s">
        <v>57</v>
      </c>
    </row>
    <row r="111" spans="1:11" ht="42" customHeight="1">
      <c r="A111" s="2" t="s">
        <v>455</v>
      </c>
      <c r="B111" s="2" t="s">
        <v>455</v>
      </c>
      <c r="C111" s="2" t="s">
        <v>47</v>
      </c>
      <c r="D111" s="2" t="s">
        <v>107</v>
      </c>
      <c r="E111" s="3" t="s">
        <v>263</v>
      </c>
      <c r="F111" s="3" t="s">
        <v>264</v>
      </c>
      <c r="G111" s="3" t="s">
        <v>265</v>
      </c>
      <c r="H111" s="2" t="s">
        <v>55</v>
      </c>
      <c r="I111" s="2" t="s">
        <v>456</v>
      </c>
      <c r="J111" s="3" t="str">
        <f>HYPERLINK("https://www.boe.es/gazeta/dias/1809/11/21/pdfs/GGB-1809-482.pdf#page=2","Abrir facsímil")</f>
        <v>Abrir facsímil</v>
      </c>
      <c r="K111" s="3" t="s">
        <v>57</v>
      </c>
    </row>
    <row r="112" spans="1:11" ht="42" customHeight="1">
      <c r="A112" s="2" t="s">
        <v>457</v>
      </c>
      <c r="B112" s="2" t="s">
        <v>457</v>
      </c>
      <c r="C112" s="2" t="s">
        <v>47</v>
      </c>
      <c r="D112" s="2" t="s">
        <v>107</v>
      </c>
      <c r="E112" s="3" t="s">
        <v>458</v>
      </c>
      <c r="F112" s="3" t="s">
        <v>459</v>
      </c>
      <c r="G112" s="3" t="s">
        <v>129</v>
      </c>
      <c r="H112" s="2" t="s">
        <v>55</v>
      </c>
      <c r="I112" s="2" t="s">
        <v>460</v>
      </c>
      <c r="J112" s="3" t="str">
        <f>HYPERLINK("https://www.boe.es/gazeta/dias/1809/03/14/pdfs/GMD-1809-73.pdf#page=2","Abrir facsímil")</f>
        <v>Abrir facsímil</v>
      </c>
      <c r="K112" s="3" t="s">
        <v>57</v>
      </c>
    </row>
    <row r="113" spans="1:11" ht="42" customHeight="1">
      <c r="A113" s="2" t="s">
        <v>461</v>
      </c>
      <c r="B113" s="2" t="s">
        <v>461</v>
      </c>
      <c r="C113" s="2" t="s">
        <v>47</v>
      </c>
      <c r="D113" s="2" t="s">
        <v>18</v>
      </c>
      <c r="E113" s="3" t="s">
        <v>102</v>
      </c>
      <c r="F113" s="3" t="s">
        <v>103</v>
      </c>
      <c r="G113" s="3" t="s">
        <v>104</v>
      </c>
      <c r="H113" s="2" t="s">
        <v>55</v>
      </c>
      <c r="I113" s="2" t="s">
        <v>462</v>
      </c>
      <c r="J113" s="3" t="str">
        <f>HYPERLINK("https://www.boe.es/gazeta/dias/1809/09/28/pdfs/GGB-1809-252.pdf#page=8","Abrir facsímil")</f>
        <v>Abrir facsímil</v>
      </c>
      <c r="K113" s="3" t="s">
        <v>57</v>
      </c>
    </row>
    <row r="114" spans="1:11" ht="42" customHeight="1">
      <c r="A114" s="2" t="s">
        <v>463</v>
      </c>
      <c r="B114" s="2" t="s">
        <v>463</v>
      </c>
      <c r="C114" s="2" t="s">
        <v>17</v>
      </c>
      <c r="D114" s="2" t="s">
        <v>18</v>
      </c>
      <c r="E114" s="3" t="s">
        <v>464</v>
      </c>
      <c r="F114" s="3" t="s">
        <v>465</v>
      </c>
      <c r="G114" s="3" t="s">
        <v>62</v>
      </c>
      <c r="H114" s="2" t="s">
        <v>55</v>
      </c>
      <c r="I114" s="2" t="s">
        <v>466</v>
      </c>
      <c r="J114" s="3" t="str">
        <f>HYPERLINK("https://www.boe.es/gazeta/dias/1809/07/05/pdfs/GMD-1809-186.pdf#page=4","Abrir facsímil")</f>
        <v>Abrir facsímil</v>
      </c>
      <c r="K114" s="3" t="s">
        <v>57</v>
      </c>
    </row>
    <row r="115" spans="1:11" ht="42" customHeight="1">
      <c r="A115" s="2" t="s">
        <v>463</v>
      </c>
      <c r="B115" s="2" t="s">
        <v>463</v>
      </c>
      <c r="C115" s="2" t="s">
        <v>25</v>
      </c>
      <c r="D115" s="2" t="s">
        <v>18</v>
      </c>
      <c r="E115" s="3" t="s">
        <v>211</v>
      </c>
      <c r="F115" s="3" t="s">
        <v>212</v>
      </c>
      <c r="G115" s="3" t="s">
        <v>467</v>
      </c>
      <c r="H115" s="2" t="s">
        <v>55</v>
      </c>
      <c r="I115" s="2" t="s">
        <v>468</v>
      </c>
      <c r="J115" s="3" t="str">
        <f>HYPERLINK("https://www.boe.es/gazeta/dias/1809/10/27/pdfs/GMD-1809-301.pdf#page=2","Abrir facsímil")</f>
        <v>Abrir facsímil</v>
      </c>
      <c r="K115" s="3" t="s">
        <v>57</v>
      </c>
    </row>
    <row r="116" spans="1:11" ht="42" customHeight="1">
      <c r="A116" s="2" t="s">
        <v>463</v>
      </c>
      <c r="B116" s="2" t="s">
        <v>463</v>
      </c>
      <c r="C116" s="2" t="s">
        <v>25</v>
      </c>
      <c r="D116" s="2" t="s">
        <v>26</v>
      </c>
      <c r="E116" s="3" t="s">
        <v>216</v>
      </c>
      <c r="F116" s="3" t="s">
        <v>217</v>
      </c>
      <c r="G116" s="3" t="s">
        <v>270</v>
      </c>
      <c r="H116" s="2" t="s">
        <v>55</v>
      </c>
      <c r="I116" s="2" t="s">
        <v>469</v>
      </c>
      <c r="J116" s="3" t="str">
        <f>HYPERLINK("https://www.boe.es/gazeta/dias/1809/12/05/pdfs/GGB-H-1809-542.pdf#page=3","Abrir facsímil")</f>
        <v>Abrir facsímil</v>
      </c>
      <c r="K116" s="3" t="s">
        <v>57</v>
      </c>
    </row>
    <row r="117" spans="1:11" ht="42" customHeight="1">
      <c r="A117" s="2" t="s">
        <v>463</v>
      </c>
      <c r="B117" s="2" t="s">
        <v>463</v>
      </c>
      <c r="C117" s="2" t="s">
        <v>25</v>
      </c>
      <c r="D117" s="2" t="s">
        <v>26</v>
      </c>
      <c r="E117" s="3" t="s">
        <v>470</v>
      </c>
      <c r="F117" s="3" t="s">
        <v>471</v>
      </c>
      <c r="G117" s="3" t="s">
        <v>234</v>
      </c>
      <c r="H117" s="2" t="s">
        <v>55</v>
      </c>
      <c r="I117" s="2" t="s">
        <v>472</v>
      </c>
      <c r="J117" s="3" t="str">
        <f>HYPERLINK("https://www.boe.es/gazeta/dias/1809/12/15/pdfs/GMD-1809-350.pdf#page=4","Abrir facsímil")</f>
        <v>Abrir facsímil</v>
      </c>
      <c r="K117" s="3" t="s">
        <v>57</v>
      </c>
    </row>
    <row r="118" spans="1:11" ht="42" customHeight="1">
      <c r="A118" s="2" t="s">
        <v>463</v>
      </c>
      <c r="B118" s="2" t="s">
        <v>463</v>
      </c>
      <c r="C118" s="2" t="s">
        <v>25</v>
      </c>
      <c r="D118" s="2" t="s">
        <v>26</v>
      </c>
      <c r="E118" s="3" t="s">
        <v>473</v>
      </c>
      <c r="F118" s="3" t="s">
        <v>474</v>
      </c>
      <c r="G118" s="3" t="s">
        <v>62</v>
      </c>
      <c r="H118" s="2" t="s">
        <v>55</v>
      </c>
      <c r="I118" s="2" t="s">
        <v>475</v>
      </c>
      <c r="J118" s="3" t="str">
        <f>HYPERLINK("https://www.boe.es/gazeta/dias/1809/12/28/pdfs/GMD-1809-363.pdf#page=2","Abrir facsímil")</f>
        <v>Abrir facsímil</v>
      </c>
      <c r="K118" s="3" t="s">
        <v>57</v>
      </c>
    </row>
    <row r="119" spans="1:11" ht="42" customHeight="1">
      <c r="A119" s="2" t="s">
        <v>476</v>
      </c>
      <c r="B119" s="2" t="s">
        <v>477</v>
      </c>
      <c r="C119" s="2" t="s">
        <v>25</v>
      </c>
      <c r="D119" s="2" t="s">
        <v>26</v>
      </c>
      <c r="E119" s="3" t="s">
        <v>163</v>
      </c>
      <c r="F119" s="3" t="s">
        <v>478</v>
      </c>
      <c r="G119" s="3" t="s">
        <v>75</v>
      </c>
      <c r="H119" s="2" t="s">
        <v>55</v>
      </c>
      <c r="I119" s="2" t="s">
        <v>479</v>
      </c>
      <c r="J119" s="3" t="str">
        <f>HYPERLINK("https://www.boe.es/gazeta/dias/1809/03/10/pdfs/GGB-1809-11.pdf#page=14","Abrir facsímil")</f>
        <v>Abrir facsímil</v>
      </c>
      <c r="K119" s="3" t="s">
        <v>57</v>
      </c>
    </row>
    <row r="120" spans="1:11" ht="42" customHeight="1">
      <c r="A120" s="2" t="s">
        <v>480</v>
      </c>
      <c r="B120" s="2" t="s">
        <v>481</v>
      </c>
      <c r="C120" s="2" t="s">
        <v>25</v>
      </c>
      <c r="D120" s="2" t="s">
        <v>26</v>
      </c>
      <c r="E120" s="3" t="s">
        <v>482</v>
      </c>
      <c r="F120" s="3" t="s">
        <v>483</v>
      </c>
      <c r="G120" s="3" t="s">
        <v>484</v>
      </c>
      <c r="H120" s="2" t="s">
        <v>55</v>
      </c>
      <c r="I120" s="2" t="s">
        <v>485</v>
      </c>
      <c r="J120" s="3" t="str">
        <f>HYPERLINK("https://www.boe.es/gazeta/dias/1809/06/15/pdfs/GMD-1809-166.pdf#page=3","Abrir facsímil")</f>
        <v>Abrir facsímil</v>
      </c>
      <c r="K120" s="3" t="s">
        <v>57</v>
      </c>
    </row>
    <row r="121" spans="1:11" ht="42" customHeight="1">
      <c r="A121" s="2" t="s">
        <v>486</v>
      </c>
      <c r="B121" s="2" t="s">
        <v>486</v>
      </c>
      <c r="C121" s="2" t="s">
        <v>25</v>
      </c>
      <c r="D121" s="2" t="s">
        <v>18</v>
      </c>
      <c r="E121" s="3" t="s">
        <v>487</v>
      </c>
      <c r="F121" s="3" t="s">
        <v>488</v>
      </c>
      <c r="G121" s="3" t="s">
        <v>489</v>
      </c>
      <c r="H121" s="2" t="s">
        <v>55</v>
      </c>
      <c r="I121" s="2" t="s">
        <v>490</v>
      </c>
      <c r="J121" s="3" t="str">
        <f>HYPERLINK("https://www.boe.es/gazeta/dias/1809/10/21/pdfs/GGB-1809-352.pdf#page=4","Abrir facsímil")</f>
        <v>Abrir facsímil</v>
      </c>
      <c r="K121" s="3" t="s">
        <v>57</v>
      </c>
    </row>
    <row r="122" spans="1:11" ht="42" customHeight="1">
      <c r="A122" s="2" t="s">
        <v>491</v>
      </c>
      <c r="B122" s="2" t="s">
        <v>492</v>
      </c>
      <c r="C122" s="2" t="s">
        <v>17</v>
      </c>
      <c r="D122" s="2" t="s">
        <v>18</v>
      </c>
      <c r="E122" s="3" t="s">
        <v>33</v>
      </c>
      <c r="F122" s="3" t="s">
        <v>34</v>
      </c>
      <c r="G122" s="3" t="s">
        <v>493</v>
      </c>
      <c r="H122" s="2" t="s">
        <v>55</v>
      </c>
      <c r="I122" s="2" t="s">
        <v>494</v>
      </c>
      <c r="J122" s="3" t="str">
        <f>HYPERLINK("https://www.boe.es/gazeta/dias/1809/12/19/pdfs/GGB-1809-602.pdf#page=6","Abrir facsímil")</f>
        <v>Abrir facsímil</v>
      </c>
      <c r="K122" s="3" t="s">
        <v>57</v>
      </c>
    </row>
    <row r="123" spans="1:11" ht="42" customHeight="1">
      <c r="A123" s="2" t="s">
        <v>495</v>
      </c>
      <c r="B123" s="2" t="s">
        <v>495</v>
      </c>
      <c r="C123" s="2" t="s">
        <v>25</v>
      </c>
      <c r="D123" s="2" t="s">
        <v>26</v>
      </c>
      <c r="E123" s="3" t="s">
        <v>496</v>
      </c>
      <c r="F123" s="3" t="s">
        <v>497</v>
      </c>
      <c r="G123" s="3" t="s">
        <v>129</v>
      </c>
      <c r="H123" s="2" t="s">
        <v>55</v>
      </c>
      <c r="I123" s="2" t="s">
        <v>498</v>
      </c>
      <c r="J123" s="3" t="str">
        <f>HYPERLINK("https://www.boe.es/gazeta/dias/1809/03/13/pdfs/GMD-1809-72.pdf#page=2","Abrir facsímil")</f>
        <v>Abrir facsímil</v>
      </c>
      <c r="K123" s="3" t="s">
        <v>57</v>
      </c>
    </row>
    <row r="124" spans="1:11" ht="42" customHeight="1">
      <c r="A124" s="2" t="s">
        <v>499</v>
      </c>
      <c r="B124" s="2" t="s">
        <v>499</v>
      </c>
      <c r="C124" s="2" t="s">
        <v>288</v>
      </c>
      <c r="D124" s="2" t="s">
        <v>40</v>
      </c>
      <c r="E124" s="3" t="s">
        <v>500</v>
      </c>
      <c r="F124" s="3" t="s">
        <v>501</v>
      </c>
      <c r="G124" s="3" t="s">
        <v>75</v>
      </c>
      <c r="H124" s="2" t="s">
        <v>55</v>
      </c>
      <c r="I124" s="2" t="s">
        <v>502</v>
      </c>
      <c r="J124" s="3" t="str">
        <f>HYPERLINK("https://www.boe.es/gazeta/dias/1809/03/24/pdfs/GMD-1809-83.pdf#page=4","Abrir facsímil")</f>
        <v>Abrir facsímil</v>
      </c>
      <c r="K124" s="3" t="s">
        <v>57</v>
      </c>
    </row>
    <row r="125" spans="1:11" ht="42" customHeight="1">
      <c r="A125" s="2" t="s">
        <v>499</v>
      </c>
      <c r="B125" s="2" t="s">
        <v>499</v>
      </c>
      <c r="C125" s="2" t="s">
        <v>47</v>
      </c>
      <c r="D125" s="2" t="s">
        <v>18</v>
      </c>
      <c r="E125" s="3" t="s">
        <v>503</v>
      </c>
      <c r="F125" s="3" t="s">
        <v>504</v>
      </c>
      <c r="G125" s="3" t="s">
        <v>62</v>
      </c>
      <c r="H125" s="2" t="s">
        <v>55</v>
      </c>
      <c r="I125" s="2" t="s">
        <v>505</v>
      </c>
      <c r="J125" s="3" t="str">
        <f>HYPERLINK("https://www.boe.es/gazeta/dias/1809/09/01/pdfs/GMD-1809-245.pdf#page=4","Abrir facsímil")</f>
        <v>Abrir facsímil</v>
      </c>
      <c r="K125" s="3" t="s">
        <v>57</v>
      </c>
    </row>
    <row r="126" spans="1:11" ht="42" customHeight="1">
      <c r="A126" s="2" t="s">
        <v>506</v>
      </c>
      <c r="B126" s="2" t="s">
        <v>506</v>
      </c>
      <c r="C126" s="2" t="s">
        <v>17</v>
      </c>
      <c r="D126" s="2" t="s">
        <v>72</v>
      </c>
      <c r="E126" s="3" t="s">
        <v>243</v>
      </c>
      <c r="F126" s="3" t="s">
        <v>244</v>
      </c>
      <c r="G126" s="3" t="s">
        <v>110</v>
      </c>
      <c r="H126" s="2" t="s">
        <v>55</v>
      </c>
      <c r="I126" s="2" t="s">
        <v>507</v>
      </c>
      <c r="J126" s="3" t="str">
        <f>HYPERLINK("https://www.boe.es/gazeta/dias/1809/02/17/pdfs/GGB-G-1809-8.pdf#page=6","Abrir facsímil")</f>
        <v>Abrir facsímil</v>
      </c>
      <c r="K126" s="3" t="s">
        <v>57</v>
      </c>
    </row>
    <row r="127" spans="1:11" ht="42" customHeight="1">
      <c r="A127" s="2" t="s">
        <v>506</v>
      </c>
      <c r="B127" s="2" t="s">
        <v>506</v>
      </c>
      <c r="C127" s="2" t="s">
        <v>17</v>
      </c>
      <c r="D127" s="2" t="s">
        <v>18</v>
      </c>
      <c r="E127" s="3" t="s">
        <v>508</v>
      </c>
      <c r="F127" s="3" t="s">
        <v>509</v>
      </c>
      <c r="G127" s="3" t="s">
        <v>316</v>
      </c>
      <c r="H127" s="2" t="s">
        <v>55</v>
      </c>
      <c r="I127" s="2" t="s">
        <v>510</v>
      </c>
      <c r="J127" s="3" t="str">
        <f>HYPERLINK("https://www.boe.es/gazeta/dias/1809/06/21/pdfs/GMD-1809-172.pdf#page=4","Abrir facsímil")</f>
        <v>Abrir facsímil</v>
      </c>
      <c r="K127" s="3" t="s">
        <v>57</v>
      </c>
    </row>
    <row r="128" spans="1:11" ht="42" customHeight="1">
      <c r="A128" s="2" t="s">
        <v>506</v>
      </c>
      <c r="B128" s="2" t="s">
        <v>506</v>
      </c>
      <c r="C128" s="2" t="s">
        <v>17</v>
      </c>
      <c r="D128" s="2" t="s">
        <v>18</v>
      </c>
      <c r="E128" s="3" t="s">
        <v>464</v>
      </c>
      <c r="F128" s="3" t="s">
        <v>465</v>
      </c>
      <c r="G128" s="3" t="s">
        <v>62</v>
      </c>
      <c r="H128" s="2" t="s">
        <v>55</v>
      </c>
      <c r="I128" s="2" t="s">
        <v>511</v>
      </c>
      <c r="J128" s="3" t="str">
        <f>HYPERLINK("https://www.boe.es/gazeta/dias/1809/07/05/pdfs/GMD-1809-186.pdf#page=4","Abrir facsímil")</f>
        <v>Abrir facsímil</v>
      </c>
      <c r="K128" s="3" t="s">
        <v>57</v>
      </c>
    </row>
    <row r="129" spans="1:11" ht="42" customHeight="1">
      <c r="A129" s="2" t="s">
        <v>506</v>
      </c>
      <c r="B129" s="2" t="s">
        <v>506</v>
      </c>
      <c r="C129" s="2" t="s">
        <v>17</v>
      </c>
      <c r="D129" s="2" t="s">
        <v>18</v>
      </c>
      <c r="E129" s="3" t="s">
        <v>512</v>
      </c>
      <c r="F129" s="3" t="s">
        <v>513</v>
      </c>
      <c r="G129" s="3" t="s">
        <v>234</v>
      </c>
      <c r="H129" s="2" t="s">
        <v>55</v>
      </c>
      <c r="I129" s="2" t="s">
        <v>514</v>
      </c>
      <c r="J129" s="3" t="str">
        <f>HYPERLINK("https://www.boe.es/gazeta/dias/1809/07/06/pdfs/GMD-1809-187.pdf#page=3","Abrir facsímil")</f>
        <v>Abrir facsímil</v>
      </c>
      <c r="K129" s="3" t="s">
        <v>57</v>
      </c>
    </row>
    <row r="130" spans="1:11" ht="42" customHeight="1">
      <c r="A130" s="2" t="s">
        <v>506</v>
      </c>
      <c r="B130" s="2" t="s">
        <v>506</v>
      </c>
      <c r="C130" s="2" t="s">
        <v>17</v>
      </c>
      <c r="D130" s="2" t="s">
        <v>18</v>
      </c>
      <c r="E130" s="3" t="s">
        <v>515</v>
      </c>
      <c r="F130" s="3" t="s">
        <v>516</v>
      </c>
      <c r="G130" s="3" t="s">
        <v>225</v>
      </c>
      <c r="H130" s="2" t="s">
        <v>55</v>
      </c>
      <c r="I130" s="2" t="s">
        <v>517</v>
      </c>
      <c r="J130" s="3" t="str">
        <f>HYPERLINK("https://www.boe.es/gazeta/dias/1809/09/02/pdfs/GMD-1809-246.pdf#page=4","Abrir facsímil")</f>
        <v>Abrir facsímil</v>
      </c>
      <c r="K130" s="3" t="s">
        <v>57</v>
      </c>
    </row>
    <row r="131" spans="1:11" ht="42" customHeight="1">
      <c r="A131" s="2" t="s">
        <v>506</v>
      </c>
      <c r="B131" s="2" t="s">
        <v>506</v>
      </c>
      <c r="C131" s="2" t="s">
        <v>25</v>
      </c>
      <c r="D131" s="2" t="s">
        <v>26</v>
      </c>
      <c r="E131" s="3" t="s">
        <v>518</v>
      </c>
      <c r="F131" s="3" t="s">
        <v>519</v>
      </c>
      <c r="G131" s="3" t="s">
        <v>75</v>
      </c>
      <c r="H131" s="2" t="s">
        <v>55</v>
      </c>
      <c r="I131" s="2" t="s">
        <v>520</v>
      </c>
      <c r="J131" s="3" t="str">
        <f>HYPERLINK("https://www.boe.es/gazeta/dias/1809/10/13/pdfs/GMD-1809-287.pdf#page=4","Abrir facsímil")</f>
        <v>Abrir facsímil</v>
      </c>
      <c r="K131" s="3" t="s">
        <v>57</v>
      </c>
    </row>
    <row r="132" spans="1:11" ht="42" customHeight="1">
      <c r="A132" s="2" t="s">
        <v>521</v>
      </c>
      <c r="B132" s="2" t="s">
        <v>522</v>
      </c>
      <c r="C132" s="2" t="s">
        <v>47</v>
      </c>
      <c r="D132" s="2" t="s">
        <v>18</v>
      </c>
      <c r="E132" s="3" t="s">
        <v>523</v>
      </c>
      <c r="F132" s="3" t="s">
        <v>524</v>
      </c>
      <c r="G132" s="3" t="s">
        <v>525</v>
      </c>
      <c r="H132" s="2" t="s">
        <v>55</v>
      </c>
      <c r="I132" s="2" t="s">
        <v>526</v>
      </c>
      <c r="J132" s="3" t="str">
        <f>HYPERLINK("https://www.boe.es/gazeta/dias/1809/02/14/pdfs/GMD-1809-45.pdf#page=1","Abrir facsímil")</f>
        <v>Abrir facsímil</v>
      </c>
      <c r="K132" s="3" t="s">
        <v>57</v>
      </c>
    </row>
    <row r="133" spans="1:11" ht="42" customHeight="1">
      <c r="A133" s="2" t="s">
        <v>527</v>
      </c>
      <c r="B133" s="2" t="s">
        <v>528</v>
      </c>
      <c r="C133" s="2" t="s">
        <v>17</v>
      </c>
      <c r="D133" s="2" t="s">
        <v>18</v>
      </c>
      <c r="E133" s="3" t="s">
        <v>243</v>
      </c>
      <c r="F133" s="3" t="s">
        <v>352</v>
      </c>
      <c r="G133" s="3" t="s">
        <v>21</v>
      </c>
      <c r="H133" s="2" t="s">
        <v>55</v>
      </c>
      <c r="I133" s="2" t="s">
        <v>529</v>
      </c>
      <c r="J133" s="3" t="str">
        <f>HYPERLINK("https://www.boe.es/gazeta/dias/1809/02/17/pdfs/GMD-1809-48.pdf#page=8","Abrir facsímil")</f>
        <v>Abrir facsímil</v>
      </c>
      <c r="K133" s="3" t="s">
        <v>57</v>
      </c>
    </row>
    <row r="134" spans="1:11" ht="42" customHeight="1">
      <c r="A134" s="2" t="s">
        <v>527</v>
      </c>
      <c r="B134" s="2" t="s">
        <v>528</v>
      </c>
      <c r="C134" s="2" t="s">
        <v>17</v>
      </c>
      <c r="D134" s="2" t="s">
        <v>18</v>
      </c>
      <c r="E134" s="3" t="s">
        <v>530</v>
      </c>
      <c r="F134" s="3" t="s">
        <v>531</v>
      </c>
      <c r="G134" s="3" t="s">
        <v>532</v>
      </c>
      <c r="H134" s="2" t="s">
        <v>55</v>
      </c>
      <c r="I134" s="2" t="s">
        <v>533</v>
      </c>
      <c r="J134" s="3" t="str">
        <f>HYPERLINK("https://www.boe.es/gazeta/dias/1809/07/10/pdfs/GMD-1809-191.pdf#page=4","Abrir facsímil")</f>
        <v>Abrir facsímil</v>
      </c>
      <c r="K134" s="3" t="s">
        <v>57</v>
      </c>
    </row>
    <row r="135" spans="1:11" ht="42" customHeight="1">
      <c r="A135" s="2" t="s">
        <v>534</v>
      </c>
      <c r="B135" s="2" t="s">
        <v>535</v>
      </c>
      <c r="C135" s="2" t="s">
        <v>369</v>
      </c>
      <c r="D135" s="2" t="s">
        <v>18</v>
      </c>
      <c r="E135" s="3" t="s">
        <v>536</v>
      </c>
      <c r="F135" s="3" t="s">
        <v>537</v>
      </c>
      <c r="G135" s="3" t="s">
        <v>29</v>
      </c>
      <c r="H135" s="2" t="s">
        <v>55</v>
      </c>
      <c r="I135" s="2" t="s">
        <v>538</v>
      </c>
      <c r="J135" s="3" t="str">
        <f>HYPERLINK("https://www.boe.es/gazeta/dias/1809/09/03/pdfs/GMD-1809-247.pdf#page=3","Abrir facsímil")</f>
        <v>Abrir facsímil</v>
      </c>
      <c r="K135" s="3" t="s">
        <v>57</v>
      </c>
    </row>
    <row r="136" spans="1:11" ht="42" customHeight="1">
      <c r="A136" s="2" t="s">
        <v>539</v>
      </c>
      <c r="B136" s="2" t="s">
        <v>540</v>
      </c>
      <c r="C136" s="2" t="s">
        <v>17</v>
      </c>
      <c r="D136" s="2" t="s">
        <v>72</v>
      </c>
      <c r="E136" s="3" t="s">
        <v>243</v>
      </c>
      <c r="F136" s="3" t="s">
        <v>244</v>
      </c>
      <c r="G136" s="3" t="s">
        <v>541</v>
      </c>
      <c r="H136" s="2" t="s">
        <v>55</v>
      </c>
      <c r="I136" s="2" t="s">
        <v>542</v>
      </c>
      <c r="J136" s="3" t="str">
        <f>HYPERLINK("https://www.boe.es/gazeta/dias/1809/02/17/pdfs/GGB-G-1809-8.pdf#page=8","Abrir facsímil")</f>
        <v>Abrir facsímil</v>
      </c>
      <c r="K136" s="3" t="s">
        <v>57</v>
      </c>
    </row>
    <row r="137" spans="1:11" ht="42" customHeight="1">
      <c r="A137" s="2" t="s">
        <v>543</v>
      </c>
      <c r="B137" s="2" t="s">
        <v>544</v>
      </c>
      <c r="C137" s="2" t="s">
        <v>17</v>
      </c>
      <c r="D137" s="2" t="s">
        <v>18</v>
      </c>
      <c r="E137" s="3" t="s">
        <v>60</v>
      </c>
      <c r="F137" s="3" t="s">
        <v>61</v>
      </c>
      <c r="G137" s="3" t="s">
        <v>62</v>
      </c>
      <c r="H137" s="2" t="s">
        <v>55</v>
      </c>
      <c r="I137" s="2" t="s">
        <v>545</v>
      </c>
      <c r="J137" s="3" t="str">
        <f>HYPERLINK("https://www.boe.es/gazeta/dias/1809/02/07/pdfs/GMD-1809-38.pdf#page=4","Abrir facsímil")</f>
        <v>Abrir facsímil</v>
      </c>
      <c r="K137" s="3" t="s">
        <v>57</v>
      </c>
    </row>
    <row r="138" spans="1:11" ht="42" customHeight="1">
      <c r="A138" s="2" t="s">
        <v>546</v>
      </c>
      <c r="B138" s="2" t="s">
        <v>547</v>
      </c>
      <c r="C138" s="2" t="s">
        <v>39</v>
      </c>
      <c r="D138" s="2" t="s">
        <v>40</v>
      </c>
      <c r="E138" s="3" t="s">
        <v>548</v>
      </c>
      <c r="F138" s="3" t="s">
        <v>549</v>
      </c>
      <c r="G138" s="3" t="s">
        <v>120</v>
      </c>
      <c r="H138" s="2" t="s">
        <v>55</v>
      </c>
      <c r="I138" s="2" t="s">
        <v>550</v>
      </c>
      <c r="J138" s="3" t="str">
        <f>HYPERLINK("https://www.boe.es/gazeta/dias/1809/03/12/pdfs/GMD-1809-71.pdf#page=3","Abrir facsímil")</f>
        <v>Abrir facsímil</v>
      </c>
      <c r="K138" s="3" t="s">
        <v>57</v>
      </c>
    </row>
    <row r="139" spans="1:11" ht="42" customHeight="1">
      <c r="A139" s="2" t="s">
        <v>546</v>
      </c>
      <c r="B139" s="2" t="s">
        <v>547</v>
      </c>
      <c r="C139" s="2" t="s">
        <v>17</v>
      </c>
      <c r="D139" s="2" t="s">
        <v>18</v>
      </c>
      <c r="E139" s="3" t="s">
        <v>551</v>
      </c>
      <c r="F139" s="3" t="s">
        <v>552</v>
      </c>
      <c r="G139" s="3" t="s">
        <v>553</v>
      </c>
      <c r="H139" s="2" t="s">
        <v>55</v>
      </c>
      <c r="I139" s="2" t="s">
        <v>554</v>
      </c>
      <c r="J139" s="3" t="str">
        <f>HYPERLINK("https://www.boe.es/gazeta/dias/1809/05/04/pdfs/GMD-1809-124.pdf#page=1","Abrir facsímil")</f>
        <v>Abrir facsímil</v>
      </c>
      <c r="K139" s="3" t="s">
        <v>57</v>
      </c>
    </row>
    <row r="140" spans="1:11" ht="42" customHeight="1">
      <c r="A140" s="2" t="s">
        <v>555</v>
      </c>
      <c r="B140" s="2" t="s">
        <v>556</v>
      </c>
      <c r="C140" s="2" t="s">
        <v>17</v>
      </c>
      <c r="D140" s="2" t="s">
        <v>72</v>
      </c>
      <c r="E140" s="3" t="s">
        <v>557</v>
      </c>
      <c r="F140" s="3" t="s">
        <v>558</v>
      </c>
      <c r="G140" s="3" t="s">
        <v>265</v>
      </c>
      <c r="H140" s="2" t="s">
        <v>55</v>
      </c>
      <c r="I140" s="2" t="s">
        <v>559</v>
      </c>
      <c r="J140" s="3" t="str">
        <f>HYPERLINK("https://www.boe.es/gazeta/dias/1809/04/19/pdfs/GMD-E-1809-109.pdf#page=2","Abrir facsímil")</f>
        <v>Abrir facsímil</v>
      </c>
      <c r="K140" s="3" t="s">
        <v>57</v>
      </c>
    </row>
    <row r="141" spans="1:11" ht="42" customHeight="1">
      <c r="A141" s="2" t="s">
        <v>560</v>
      </c>
      <c r="B141" s="2" t="s">
        <v>561</v>
      </c>
      <c r="C141" s="2" t="s">
        <v>25</v>
      </c>
      <c r="D141" s="2" t="s">
        <v>72</v>
      </c>
      <c r="E141" s="3" t="s">
        <v>147</v>
      </c>
      <c r="F141" s="3" t="s">
        <v>562</v>
      </c>
      <c r="G141" s="3" t="s">
        <v>563</v>
      </c>
      <c r="H141" s="2" t="s">
        <v>55</v>
      </c>
      <c r="I141" s="2" t="s">
        <v>564</v>
      </c>
      <c r="J141" s="3" t="str">
        <f>HYPERLINK("https://www.boe.es/gazeta/dias/1809/10/07/pdfs/GGB-H-1809-292.pdf#page=8","Abrir facsímil")</f>
        <v>Abrir facsímil</v>
      </c>
      <c r="K141" s="3" t="s">
        <v>57</v>
      </c>
    </row>
    <row r="142" spans="1:11" ht="42" customHeight="1">
      <c r="A142" s="2" t="s">
        <v>565</v>
      </c>
      <c r="B142" s="2" t="s">
        <v>566</v>
      </c>
      <c r="C142" s="2" t="s">
        <v>17</v>
      </c>
      <c r="D142" s="2" t="s">
        <v>18</v>
      </c>
      <c r="E142" s="3" t="s">
        <v>567</v>
      </c>
      <c r="F142" s="3" t="s">
        <v>568</v>
      </c>
      <c r="G142" s="3" t="s">
        <v>569</v>
      </c>
      <c r="H142" s="2" t="s">
        <v>55</v>
      </c>
      <c r="I142" s="2" t="s">
        <v>570</v>
      </c>
      <c r="J142" s="3" t="str">
        <f>HYPERLINK("https://www.boe.es/gazeta/dias/1809/06/03/pdfs/GMD-1809-154.pdf#page=3","Abrir facsímil")</f>
        <v>Abrir facsímil</v>
      </c>
      <c r="K142" s="3" t="s">
        <v>57</v>
      </c>
    </row>
    <row r="143" spans="1:11" ht="42" customHeight="1">
      <c r="A143" s="2" t="s">
        <v>571</v>
      </c>
      <c r="B143" s="2" t="s">
        <v>572</v>
      </c>
      <c r="C143" s="2" t="s">
        <v>17</v>
      </c>
      <c r="D143" s="2" t="s">
        <v>72</v>
      </c>
      <c r="E143" s="3" t="s">
        <v>243</v>
      </c>
      <c r="F143" s="3" t="s">
        <v>244</v>
      </c>
      <c r="G143" s="3" t="s">
        <v>525</v>
      </c>
      <c r="H143" s="2" t="s">
        <v>55</v>
      </c>
      <c r="I143" s="2" t="s">
        <v>573</v>
      </c>
      <c r="J143" s="3" t="str">
        <f>HYPERLINK("https://www.boe.es/gazeta/dias/1809/02/17/pdfs/GGB-G-1809-8.pdf#page=4","Abrir facsímil")</f>
        <v>Abrir facsímil</v>
      </c>
      <c r="K143" s="3" t="s">
        <v>57</v>
      </c>
    </row>
    <row r="144" spans="1:11" ht="42" customHeight="1">
      <c r="A144" s="2" t="s">
        <v>574</v>
      </c>
      <c r="B144" s="2" t="s">
        <v>575</v>
      </c>
      <c r="C144" s="2" t="s">
        <v>17</v>
      </c>
      <c r="D144" s="2" t="s">
        <v>72</v>
      </c>
      <c r="E144" s="3" t="s">
        <v>243</v>
      </c>
      <c r="F144" s="3" t="s">
        <v>244</v>
      </c>
      <c r="G144" s="3" t="s">
        <v>525</v>
      </c>
      <c r="H144" s="2" t="s">
        <v>55</v>
      </c>
      <c r="I144" s="2" t="s">
        <v>576</v>
      </c>
      <c r="J144" s="3" t="str">
        <f>HYPERLINK("https://www.boe.es/gazeta/dias/1809/02/17/pdfs/GGB-G-1809-8.pdf#page=4","Abrir facsímil")</f>
        <v>Abrir facsímil</v>
      </c>
      <c r="K144" s="3" t="s">
        <v>57</v>
      </c>
    </row>
    <row r="145" spans="1:11" ht="42" customHeight="1">
      <c r="A145" s="2" t="s">
        <v>577</v>
      </c>
      <c r="B145" s="2" t="s">
        <v>578</v>
      </c>
      <c r="C145" s="2" t="s">
        <v>17</v>
      </c>
      <c r="D145" s="2" t="s">
        <v>72</v>
      </c>
      <c r="E145" s="3" t="s">
        <v>243</v>
      </c>
      <c r="F145" s="3" t="s">
        <v>244</v>
      </c>
      <c r="G145" s="3" t="s">
        <v>525</v>
      </c>
      <c r="H145" s="2" t="s">
        <v>55</v>
      </c>
      <c r="I145" s="2" t="s">
        <v>579</v>
      </c>
      <c r="J145" s="3" t="str">
        <f>HYPERLINK("https://www.boe.es/gazeta/dias/1809/02/17/pdfs/GGB-G-1809-8.pdf#page=4","Abrir facsímil")</f>
        <v>Abrir facsímil</v>
      </c>
      <c r="K145" s="3" t="s">
        <v>57</v>
      </c>
    </row>
    <row r="146" spans="1:11" ht="42" customHeight="1">
      <c r="A146" s="2" t="s">
        <v>580</v>
      </c>
      <c r="B146" s="2" t="s">
        <v>581</v>
      </c>
      <c r="C146" s="2" t="s">
        <v>17</v>
      </c>
      <c r="D146" s="2" t="s">
        <v>72</v>
      </c>
      <c r="E146" s="3" t="s">
        <v>243</v>
      </c>
      <c r="F146" s="3" t="s">
        <v>244</v>
      </c>
      <c r="G146" s="3" t="s">
        <v>582</v>
      </c>
      <c r="H146" s="2" t="s">
        <v>55</v>
      </c>
      <c r="I146" s="2" t="s">
        <v>583</v>
      </c>
      <c r="J146" s="3" t="str">
        <f>HYPERLINK("https://www.boe.es/gazeta/dias/1809/02/17/pdfs/GGB-G-1809-8.pdf#page=7","Abrir facsímil")</f>
        <v>Abrir facsímil</v>
      </c>
      <c r="K146" s="3" t="s">
        <v>57</v>
      </c>
    </row>
    <row r="147" spans="1:11" ht="42" customHeight="1">
      <c r="A147" s="2" t="s">
        <v>584</v>
      </c>
      <c r="B147" s="2" t="s">
        <v>584</v>
      </c>
      <c r="C147" s="2" t="s">
        <v>25</v>
      </c>
      <c r="D147" s="2" t="s">
        <v>18</v>
      </c>
      <c r="E147" s="3" t="s">
        <v>585</v>
      </c>
      <c r="F147" s="3" t="s">
        <v>586</v>
      </c>
      <c r="G147" s="3" t="s">
        <v>587</v>
      </c>
      <c r="H147" s="2" t="s">
        <v>55</v>
      </c>
      <c r="I147" s="2" t="s">
        <v>588</v>
      </c>
      <c r="J147" s="3" t="str">
        <f>HYPERLINK("https://www.boe.es/gazeta/dias/1809/01/09/pdfs/GMD-1809-9.pdf#page=3","Abrir facsímil")</f>
        <v>Abrir facsímil</v>
      </c>
      <c r="K147" s="3" t="s">
        <v>57</v>
      </c>
    </row>
    <row r="148" spans="1:11" ht="42" customHeight="1">
      <c r="A148" s="2" t="s">
        <v>584</v>
      </c>
      <c r="B148" s="2" t="s">
        <v>584</v>
      </c>
      <c r="C148" s="2" t="s">
        <v>25</v>
      </c>
      <c r="D148" s="2" t="s">
        <v>26</v>
      </c>
      <c r="E148" s="3" t="s">
        <v>589</v>
      </c>
      <c r="F148" s="3" t="s">
        <v>590</v>
      </c>
      <c r="G148" s="3" t="s">
        <v>591</v>
      </c>
      <c r="H148" s="2" t="s">
        <v>55</v>
      </c>
      <c r="I148" s="2" t="s">
        <v>592</v>
      </c>
      <c r="J148" s="3" t="str">
        <f>HYPERLINK("https://www.boe.es/gazeta/dias/1809/10/05/pdfs/GGB-1809-282.pdf#page=2","Abrir facsímil")</f>
        <v>Abrir facsímil</v>
      </c>
      <c r="K148" s="3" t="s">
        <v>57</v>
      </c>
    </row>
    <row r="149" spans="1:11" ht="42" customHeight="1">
      <c r="A149" s="2" t="s">
        <v>593</v>
      </c>
      <c r="B149" s="2" t="s">
        <v>594</v>
      </c>
      <c r="C149" s="2" t="s">
        <v>17</v>
      </c>
      <c r="D149" s="2" t="s">
        <v>18</v>
      </c>
      <c r="E149" s="3" t="s">
        <v>33</v>
      </c>
      <c r="F149" s="3" t="s">
        <v>34</v>
      </c>
      <c r="G149" s="3" t="s">
        <v>595</v>
      </c>
      <c r="H149" s="2" t="s">
        <v>55</v>
      </c>
      <c r="I149" s="2" t="s">
        <v>596</v>
      </c>
      <c r="J149" s="3" t="str">
        <f>HYPERLINK("https://www.boe.es/gazeta/dias/1809/12/19/pdfs/GGB-1809-602.pdf#page=7","Abrir facsímil")</f>
        <v>Abrir facsímil</v>
      </c>
      <c r="K149" s="3" t="s">
        <v>57</v>
      </c>
    </row>
    <row r="150" spans="1:11" ht="42" customHeight="1">
      <c r="A150" s="2" t="s">
        <v>597</v>
      </c>
      <c r="B150" s="2" t="s">
        <v>598</v>
      </c>
      <c r="C150" s="2" t="s">
        <v>17</v>
      </c>
      <c r="D150" s="2" t="s">
        <v>18</v>
      </c>
      <c r="E150" s="3" t="s">
        <v>599</v>
      </c>
      <c r="F150" s="3" t="s">
        <v>600</v>
      </c>
      <c r="G150" s="3" t="s">
        <v>601</v>
      </c>
      <c r="H150" s="2" t="s">
        <v>55</v>
      </c>
      <c r="I150" s="2" t="s">
        <v>602</v>
      </c>
      <c r="J150" s="3" t="str">
        <f>HYPERLINK("https://www.boe.es/gazeta/dias/1809/01/19/pdfs/GMD-1809-19.pdf#page=4","Abrir facsímil")</f>
        <v>Abrir facsímil</v>
      </c>
      <c r="K150" s="3" t="s">
        <v>57</v>
      </c>
    </row>
    <row r="151" spans="1:11" ht="42" customHeight="1">
      <c r="A151" s="2" t="s">
        <v>603</v>
      </c>
      <c r="B151" s="2" t="s">
        <v>604</v>
      </c>
      <c r="C151" s="2" t="s">
        <v>17</v>
      </c>
      <c r="D151" s="2" t="s">
        <v>18</v>
      </c>
      <c r="E151" s="3" t="s">
        <v>523</v>
      </c>
      <c r="F151" s="3" t="s">
        <v>524</v>
      </c>
      <c r="G151" s="3" t="s">
        <v>605</v>
      </c>
      <c r="H151" s="2" t="s">
        <v>55</v>
      </c>
      <c r="I151" s="2" t="s">
        <v>606</v>
      </c>
      <c r="J151" s="3" t="str">
        <f>HYPERLINK("https://www.boe.es/gazeta/dias/1809/02/14/pdfs/GMD-1809-45.pdf#page=2","Abrir facsímil")</f>
        <v>Abrir facsímil</v>
      </c>
      <c r="K151" s="3" t="s">
        <v>57</v>
      </c>
    </row>
    <row r="152" spans="1:11" ht="42" customHeight="1">
      <c r="A152" s="2" t="s">
        <v>607</v>
      </c>
      <c r="B152" s="2" t="s">
        <v>608</v>
      </c>
      <c r="C152" s="2" t="s">
        <v>17</v>
      </c>
      <c r="D152" s="2" t="s">
        <v>18</v>
      </c>
      <c r="E152" s="3" t="s">
        <v>609</v>
      </c>
      <c r="F152" s="3" t="s">
        <v>610</v>
      </c>
      <c r="G152" s="3" t="s">
        <v>21</v>
      </c>
      <c r="H152" s="2" t="s">
        <v>55</v>
      </c>
      <c r="I152" s="2" t="s">
        <v>611</v>
      </c>
      <c r="J152" s="3" t="str">
        <f>HYPERLINK("https://www.boe.es/gazeta/dias/1809/11/25/pdfs/GGB-1809-502.pdf#page=4","Abrir facsímil")</f>
        <v>Abrir facsímil</v>
      </c>
      <c r="K152" s="3" t="s">
        <v>57</v>
      </c>
    </row>
    <row r="153" spans="1:11" ht="42" customHeight="1">
      <c r="A153" s="2" t="s">
        <v>612</v>
      </c>
      <c r="B153" s="2" t="s">
        <v>613</v>
      </c>
      <c r="C153" s="2" t="s">
        <v>17</v>
      </c>
      <c r="D153" s="2" t="s">
        <v>18</v>
      </c>
      <c r="E153" s="3" t="s">
        <v>523</v>
      </c>
      <c r="F153" s="3" t="s">
        <v>524</v>
      </c>
      <c r="G153" s="3" t="s">
        <v>605</v>
      </c>
      <c r="H153" s="2" t="s">
        <v>55</v>
      </c>
      <c r="I153" s="2" t="s">
        <v>614</v>
      </c>
      <c r="J153" s="3" t="str">
        <f>HYPERLINK("https://www.boe.es/gazeta/dias/1809/02/14/pdfs/GMD-1809-45.pdf#page=2","Abrir facsímil")</f>
        <v>Abrir facsímil</v>
      </c>
      <c r="K153" s="3" t="s">
        <v>57</v>
      </c>
    </row>
    <row r="154" spans="1:11" ht="42" customHeight="1">
      <c r="A154" s="2" t="s">
        <v>615</v>
      </c>
      <c r="B154" s="2" t="s">
        <v>615</v>
      </c>
      <c r="C154" s="2" t="s">
        <v>25</v>
      </c>
      <c r="D154" s="2" t="s">
        <v>26</v>
      </c>
      <c r="E154" s="3" t="s">
        <v>616</v>
      </c>
      <c r="F154" s="3" t="s">
        <v>617</v>
      </c>
      <c r="G154" s="3" t="s">
        <v>75</v>
      </c>
      <c r="H154" s="2" t="s">
        <v>55</v>
      </c>
      <c r="I154" s="2" t="s">
        <v>618</v>
      </c>
      <c r="J154" s="3" t="str">
        <f>HYPERLINK("https://www.boe.es/gazeta/dias/1809/10/15/pdfs/GMD-1809-289.pdf#page=1","Abrir facsímil")</f>
        <v>Abrir facsímil</v>
      </c>
      <c r="K154" s="3" t="s">
        <v>57</v>
      </c>
    </row>
    <row r="155" spans="1:11" ht="42" customHeight="1">
      <c r="A155" s="2" t="s">
        <v>619</v>
      </c>
      <c r="B155" s="2" t="s">
        <v>620</v>
      </c>
      <c r="C155" s="2" t="s">
        <v>25</v>
      </c>
      <c r="D155" s="2" t="s">
        <v>18</v>
      </c>
      <c r="E155" s="3" t="s">
        <v>621</v>
      </c>
      <c r="F155" s="3" t="s">
        <v>622</v>
      </c>
      <c r="G155" s="3" t="s">
        <v>623</v>
      </c>
      <c r="H155" s="2" t="s">
        <v>22</v>
      </c>
      <c r="I155" s="2" t="s">
        <v>624</v>
      </c>
      <c r="J155" s="3" t="str">
        <f>HYPERLINK("https://www.boe.es/gazeta/dias/1809/07/04/pdfs/GGB-1809-42.pdf#page=6","Abrir facsímil")</f>
        <v>Abrir facsímil</v>
      </c>
      <c r="K155" s="3" t="s">
        <v>24</v>
      </c>
    </row>
    <row r="156" spans="1:11" ht="42" customHeight="1">
      <c r="A156" s="2" t="s">
        <v>625</v>
      </c>
      <c r="B156" s="2" t="s">
        <v>626</v>
      </c>
      <c r="C156" s="2" t="s">
        <v>17</v>
      </c>
      <c r="D156" s="2" t="s">
        <v>18</v>
      </c>
      <c r="E156" s="3" t="s">
        <v>627</v>
      </c>
      <c r="F156" s="3" t="s">
        <v>628</v>
      </c>
      <c r="G156" s="3" t="s">
        <v>270</v>
      </c>
      <c r="H156" s="2" t="s">
        <v>55</v>
      </c>
      <c r="I156" s="2" t="s">
        <v>629</v>
      </c>
      <c r="J156" s="3" t="str">
        <f>HYPERLINK("https://www.boe.es/gazeta/dias/1809/08/28/pdfs/GMD-1809-241.pdf#page=3","Abrir facsímil")</f>
        <v>Abrir facsímil</v>
      </c>
      <c r="K156" s="3" t="s">
        <v>57</v>
      </c>
    </row>
    <row r="157" spans="1:11" ht="42" customHeight="1">
      <c r="A157" s="2" t="s">
        <v>630</v>
      </c>
      <c r="B157" s="2" t="s">
        <v>631</v>
      </c>
      <c r="C157" s="2" t="s">
        <v>17</v>
      </c>
      <c r="D157" s="2" t="s">
        <v>18</v>
      </c>
      <c r="E157" s="3" t="s">
        <v>33</v>
      </c>
      <c r="F157" s="3" t="s">
        <v>34</v>
      </c>
      <c r="G157" s="3" t="s">
        <v>493</v>
      </c>
      <c r="H157" s="2" t="s">
        <v>55</v>
      </c>
      <c r="I157" s="2" t="s">
        <v>632</v>
      </c>
      <c r="J157" s="3" t="str">
        <f>HYPERLINK("https://www.boe.es/gazeta/dias/1809/12/19/pdfs/GGB-1809-602.pdf#page=6","Abrir facsímil")</f>
        <v>Abrir facsímil</v>
      </c>
      <c r="K157" s="3" t="s">
        <v>57</v>
      </c>
    </row>
    <row r="158" spans="1:11" ht="42" customHeight="1">
      <c r="A158" s="2" t="s">
        <v>633</v>
      </c>
      <c r="B158" s="2" t="s">
        <v>634</v>
      </c>
      <c r="C158" s="2" t="s">
        <v>17</v>
      </c>
      <c r="D158" s="2" t="s">
        <v>40</v>
      </c>
      <c r="E158" s="3" t="s">
        <v>635</v>
      </c>
      <c r="F158" s="3" t="s">
        <v>636</v>
      </c>
      <c r="G158" s="3" t="s">
        <v>637</v>
      </c>
      <c r="H158" s="2" t="s">
        <v>55</v>
      </c>
      <c r="I158" s="2" t="s">
        <v>638</v>
      </c>
      <c r="J158" s="3" t="str">
        <f>HYPERLINK("https://www.boe.es/gazeta/dias/1809/12/16/pdfs/GGB-1809-592.pdf#page=6","Abrir facsímil")</f>
        <v>Abrir facsímil</v>
      </c>
      <c r="K158" s="3" t="s">
        <v>57</v>
      </c>
    </row>
    <row r="159" spans="1:11" ht="42" customHeight="1">
      <c r="A159" s="2" t="s">
        <v>639</v>
      </c>
      <c r="B159" s="2" t="s">
        <v>639</v>
      </c>
      <c r="C159" s="2" t="s">
        <v>25</v>
      </c>
      <c r="D159" s="2" t="s">
        <v>18</v>
      </c>
      <c r="E159" s="3" t="s">
        <v>449</v>
      </c>
      <c r="F159" s="3" t="s">
        <v>640</v>
      </c>
      <c r="G159" s="3" t="s">
        <v>641</v>
      </c>
      <c r="H159" s="2" t="s">
        <v>55</v>
      </c>
      <c r="I159" s="2" t="s">
        <v>642</v>
      </c>
      <c r="J159" s="3" t="str">
        <f>HYPERLINK("https://www.boe.es/gazeta/dias/1809/10/10/pdfs/GMD-1809-284.pdf#page=2","Abrir facsímil")</f>
        <v>Abrir facsímil</v>
      </c>
      <c r="K159" s="3" t="s">
        <v>57</v>
      </c>
    </row>
    <row r="160" spans="1:11" ht="42" customHeight="1">
      <c r="A160" s="2" t="s">
        <v>643</v>
      </c>
      <c r="B160" s="2" t="s">
        <v>644</v>
      </c>
      <c r="C160" s="2" t="s">
        <v>47</v>
      </c>
      <c r="D160" s="2" t="s">
        <v>40</v>
      </c>
      <c r="E160" s="3" t="s">
        <v>645</v>
      </c>
      <c r="F160" s="3" t="s">
        <v>646</v>
      </c>
      <c r="G160" s="3" t="s">
        <v>62</v>
      </c>
      <c r="H160" s="2" t="s">
        <v>55</v>
      </c>
      <c r="I160" s="2" t="s">
        <v>647</v>
      </c>
      <c r="J160" s="3" t="str">
        <f>HYPERLINK("https://www.boe.es/gazeta/dias/1809/10/04/pdfs/GMD-1809-278.pdf#page=3","Abrir facsímil")</f>
        <v>Abrir facsímil</v>
      </c>
      <c r="K160" s="3" t="s">
        <v>57</v>
      </c>
    </row>
    <row r="161" spans="1:11" ht="42" customHeight="1">
      <c r="A161" s="2" t="s">
        <v>648</v>
      </c>
      <c r="B161" s="2" t="s">
        <v>648</v>
      </c>
      <c r="C161" s="2" t="s">
        <v>25</v>
      </c>
      <c r="D161" s="2" t="s">
        <v>40</v>
      </c>
      <c r="E161" s="3" t="s">
        <v>649</v>
      </c>
      <c r="F161" s="3" t="s">
        <v>650</v>
      </c>
      <c r="G161" s="3" t="s">
        <v>651</v>
      </c>
      <c r="H161" s="2" t="s">
        <v>55</v>
      </c>
      <c r="I161" s="2" t="s">
        <v>652</v>
      </c>
      <c r="J161" s="3" t="str">
        <f>HYPERLINK("https://www.boe.es/gazeta/dias/1809/10/08/pdfs/GMD-1809-282.pdf#page=2","Abrir facsímil")</f>
        <v>Abrir facsímil</v>
      </c>
      <c r="K161" s="3" t="s">
        <v>57</v>
      </c>
    </row>
    <row r="162" spans="1:11" ht="42" customHeight="1">
      <c r="A162" s="2" t="s">
        <v>653</v>
      </c>
      <c r="B162" s="2" t="s">
        <v>653</v>
      </c>
      <c r="C162" s="2" t="s">
        <v>25</v>
      </c>
      <c r="D162" s="2" t="s">
        <v>107</v>
      </c>
      <c r="E162" s="3" t="s">
        <v>322</v>
      </c>
      <c r="F162" s="3" t="s">
        <v>435</v>
      </c>
      <c r="G162" s="3" t="s">
        <v>654</v>
      </c>
      <c r="H162" s="2" t="s">
        <v>55</v>
      </c>
      <c r="I162" s="2" t="s">
        <v>655</v>
      </c>
      <c r="J162" s="3" t="str">
        <f>HYPERLINK("https://www.boe.es/gazeta/dias/1809/07/21/pdfs/GGB-1809-47.pdf#page=3","Abrir facsímil")</f>
        <v>Abrir facsímil</v>
      </c>
      <c r="K162" s="3" t="s">
        <v>57</v>
      </c>
    </row>
    <row r="163" spans="1:11" ht="42" customHeight="1">
      <c r="A163" s="2" t="s">
        <v>653</v>
      </c>
      <c r="B163" s="2" t="s">
        <v>653</v>
      </c>
      <c r="C163" s="2" t="s">
        <v>25</v>
      </c>
      <c r="D163" s="2" t="s">
        <v>26</v>
      </c>
      <c r="E163" s="3" t="s">
        <v>656</v>
      </c>
      <c r="F163" s="3" t="s">
        <v>657</v>
      </c>
      <c r="G163" s="3" t="s">
        <v>658</v>
      </c>
      <c r="H163" s="2" t="s">
        <v>55</v>
      </c>
      <c r="I163" s="2" t="s">
        <v>659</v>
      </c>
      <c r="J163" s="3" t="str">
        <f>HYPERLINK("https://www.boe.es/gazeta/dias/1809/07/22/pdfs/GMD-1809-203.pdf#page=3","Abrir facsímil")</f>
        <v>Abrir facsímil</v>
      </c>
      <c r="K163" s="3" t="s">
        <v>57</v>
      </c>
    </row>
    <row r="164" spans="1:11" ht="42" customHeight="1">
      <c r="A164" s="2" t="s">
        <v>653</v>
      </c>
      <c r="B164" s="2" t="s">
        <v>653</v>
      </c>
      <c r="C164" s="2" t="s">
        <v>25</v>
      </c>
      <c r="D164" s="2" t="s">
        <v>18</v>
      </c>
      <c r="E164" s="3" t="s">
        <v>660</v>
      </c>
      <c r="F164" s="3" t="s">
        <v>661</v>
      </c>
      <c r="G164" s="3" t="s">
        <v>129</v>
      </c>
      <c r="H164" s="2" t="s">
        <v>55</v>
      </c>
      <c r="I164" s="2" t="s">
        <v>662</v>
      </c>
      <c r="J164" s="3" t="str">
        <f>HYPERLINK("https://www.boe.es/gazeta/dias/1809/08/11/pdfs/GMD-1809-224.pdf#page=2","Abrir facsímil")</f>
        <v>Abrir facsímil</v>
      </c>
      <c r="K164" s="3" t="s">
        <v>57</v>
      </c>
    </row>
    <row r="165" spans="1:11" ht="42" customHeight="1">
      <c r="A165" s="2" t="s">
        <v>653</v>
      </c>
      <c r="B165" s="2" t="s">
        <v>653</v>
      </c>
      <c r="C165" s="2" t="s">
        <v>25</v>
      </c>
      <c r="D165" s="2" t="s">
        <v>18</v>
      </c>
      <c r="E165" s="3" t="s">
        <v>663</v>
      </c>
      <c r="F165" s="3" t="s">
        <v>664</v>
      </c>
      <c r="G165" s="3" t="s">
        <v>110</v>
      </c>
      <c r="H165" s="2" t="s">
        <v>55</v>
      </c>
      <c r="I165" s="2" t="s">
        <v>665</v>
      </c>
      <c r="J165" s="3" t="str">
        <f>HYPERLINK("https://www.boe.es/gazeta/dias/1809/08/21/pdfs/GMD-1809-234.pdf#page=2","Abrir facsímil")</f>
        <v>Abrir facsímil</v>
      </c>
      <c r="K165" s="3" t="s">
        <v>57</v>
      </c>
    </row>
    <row r="166" spans="1:11" ht="42" customHeight="1">
      <c r="A166" s="2" t="s">
        <v>653</v>
      </c>
      <c r="B166" s="2" t="s">
        <v>653</v>
      </c>
      <c r="C166" s="2" t="s">
        <v>25</v>
      </c>
      <c r="D166" s="2" t="s">
        <v>26</v>
      </c>
      <c r="E166" s="3" t="s">
        <v>666</v>
      </c>
      <c r="F166" s="3" t="s">
        <v>667</v>
      </c>
      <c r="G166" s="3" t="s">
        <v>668</v>
      </c>
      <c r="H166" s="2" t="s">
        <v>55</v>
      </c>
      <c r="I166" s="2" t="s">
        <v>669</v>
      </c>
      <c r="J166" s="3" t="str">
        <f>HYPERLINK("https://www.boe.es/gazeta/dias/1809/08/29/pdfs/GGB-1809-122.pdf#page=4","Abrir facsímil")</f>
        <v>Abrir facsímil</v>
      </c>
      <c r="K166" s="3" t="s">
        <v>57</v>
      </c>
    </row>
    <row r="167" spans="1:11" ht="42" customHeight="1">
      <c r="A167" s="2" t="s">
        <v>653</v>
      </c>
      <c r="B167" s="2" t="s">
        <v>653</v>
      </c>
      <c r="C167" s="2" t="s">
        <v>25</v>
      </c>
      <c r="D167" s="2" t="s">
        <v>26</v>
      </c>
      <c r="E167" s="3" t="s">
        <v>442</v>
      </c>
      <c r="F167" s="3" t="s">
        <v>443</v>
      </c>
      <c r="G167" s="3" t="s">
        <v>110</v>
      </c>
      <c r="H167" s="2" t="s">
        <v>55</v>
      </c>
      <c r="I167" s="2" t="s">
        <v>670</v>
      </c>
      <c r="J167" s="3" t="str">
        <f>HYPERLINK("https://www.boe.es/gazeta/dias/1809/09/05/pdfs/GGB-1809-152.pdf#page=5","Abrir facsímil")</f>
        <v>Abrir facsímil</v>
      </c>
      <c r="K167" s="3" t="s">
        <v>57</v>
      </c>
    </row>
    <row r="168" spans="1:11" ht="42" customHeight="1">
      <c r="A168" s="2" t="s">
        <v>653</v>
      </c>
      <c r="B168" s="2" t="s">
        <v>653</v>
      </c>
      <c r="C168" s="2" t="s">
        <v>25</v>
      </c>
      <c r="D168" s="2" t="s">
        <v>107</v>
      </c>
      <c r="E168" s="3" t="s">
        <v>442</v>
      </c>
      <c r="F168" s="3" t="s">
        <v>443</v>
      </c>
      <c r="G168" s="3" t="s">
        <v>651</v>
      </c>
      <c r="H168" s="2" t="s">
        <v>55</v>
      </c>
      <c r="I168" s="2" t="s">
        <v>671</v>
      </c>
      <c r="J168" s="3" t="str">
        <f>HYPERLINK("https://www.boe.es/gazeta/dias/1809/09/05/pdfs/GGB-1809-152.pdf#page=6","Abrir facsímil")</f>
        <v>Abrir facsímil</v>
      </c>
      <c r="K168" s="3" t="s">
        <v>57</v>
      </c>
    </row>
    <row r="169" spans="1:11" ht="42" customHeight="1">
      <c r="A169" s="2" t="s">
        <v>653</v>
      </c>
      <c r="B169" s="2" t="s">
        <v>653</v>
      </c>
      <c r="C169" s="2" t="s">
        <v>25</v>
      </c>
      <c r="D169" s="2" t="s">
        <v>18</v>
      </c>
      <c r="E169" s="3" t="s">
        <v>327</v>
      </c>
      <c r="F169" s="3" t="s">
        <v>328</v>
      </c>
      <c r="G169" s="3" t="s">
        <v>21</v>
      </c>
      <c r="H169" s="2" t="s">
        <v>55</v>
      </c>
      <c r="I169" s="2" t="s">
        <v>672</v>
      </c>
      <c r="J169" s="3" t="str">
        <f>HYPERLINK("https://www.boe.es/gazeta/dias/1809/09/14/pdfs/GGB-1809-192.pdf#page=2","Abrir facsímil")</f>
        <v>Abrir facsímil</v>
      </c>
      <c r="K169" s="3" t="s">
        <v>57</v>
      </c>
    </row>
    <row r="170" spans="1:11" ht="42" customHeight="1">
      <c r="A170" s="2" t="s">
        <v>653</v>
      </c>
      <c r="B170" s="2" t="s">
        <v>653</v>
      </c>
      <c r="C170" s="2" t="s">
        <v>25</v>
      </c>
      <c r="D170" s="2" t="s">
        <v>26</v>
      </c>
      <c r="E170" s="3" t="s">
        <v>649</v>
      </c>
      <c r="F170" s="3" t="s">
        <v>650</v>
      </c>
      <c r="G170" s="3" t="s">
        <v>651</v>
      </c>
      <c r="H170" s="2" t="s">
        <v>55</v>
      </c>
      <c r="I170" s="2" t="s">
        <v>673</v>
      </c>
      <c r="J170" s="3" t="str">
        <f>HYPERLINK("https://www.boe.es/gazeta/dias/1809/10/08/pdfs/GMD-1809-282.pdf#page=2","Abrir facsímil")</f>
        <v>Abrir facsímil</v>
      </c>
      <c r="K170" s="3" t="s">
        <v>57</v>
      </c>
    </row>
    <row r="171" spans="1:11" ht="42" customHeight="1">
      <c r="A171" s="2" t="s">
        <v>674</v>
      </c>
      <c r="B171" s="2" t="s">
        <v>674</v>
      </c>
      <c r="C171" s="2" t="s">
        <v>25</v>
      </c>
      <c r="D171" s="2" t="s">
        <v>107</v>
      </c>
      <c r="E171" s="3" t="s">
        <v>660</v>
      </c>
      <c r="F171" s="3" t="s">
        <v>661</v>
      </c>
      <c r="G171" s="3" t="s">
        <v>129</v>
      </c>
      <c r="H171" s="2" t="s">
        <v>55</v>
      </c>
      <c r="I171" s="2" t="s">
        <v>675</v>
      </c>
      <c r="J171" s="3" t="str">
        <f>HYPERLINK("https://www.boe.es/gazeta/dias/1809/08/11/pdfs/GMD-1809-224.pdf#page=2","Abrir facsímil")</f>
        <v>Abrir facsímil</v>
      </c>
      <c r="K171" s="3" t="s">
        <v>57</v>
      </c>
    </row>
    <row r="172" spans="1:11" ht="42" customHeight="1">
      <c r="A172" s="2" t="s">
        <v>676</v>
      </c>
      <c r="B172" s="2" t="s">
        <v>676</v>
      </c>
      <c r="C172" s="2" t="s">
        <v>25</v>
      </c>
      <c r="D172" s="2" t="s">
        <v>26</v>
      </c>
      <c r="E172" s="3" t="s">
        <v>530</v>
      </c>
      <c r="F172" s="3" t="s">
        <v>531</v>
      </c>
      <c r="G172" s="3" t="s">
        <v>677</v>
      </c>
      <c r="H172" s="2" t="s">
        <v>55</v>
      </c>
      <c r="I172" s="2" t="s">
        <v>678</v>
      </c>
      <c r="J172" s="3" t="str">
        <f>HYPERLINK("https://www.boe.es/gazeta/dias/1809/07/10/pdfs/GMD-1809-191.pdf#page=2","Abrir facsímil")</f>
        <v>Abrir facsímil</v>
      </c>
      <c r="K172" s="3" t="s">
        <v>57</v>
      </c>
    </row>
    <row r="173" spans="1:11" ht="42" customHeight="1">
      <c r="A173" s="2" t="s">
        <v>679</v>
      </c>
      <c r="B173" s="2" t="s">
        <v>680</v>
      </c>
      <c r="C173" s="2" t="s">
        <v>17</v>
      </c>
      <c r="D173" s="2" t="s">
        <v>72</v>
      </c>
      <c r="E173" s="3" t="s">
        <v>243</v>
      </c>
      <c r="F173" s="3" t="s">
        <v>244</v>
      </c>
      <c r="G173" s="3" t="s">
        <v>110</v>
      </c>
      <c r="H173" s="2" t="s">
        <v>55</v>
      </c>
      <c r="I173" s="2" t="s">
        <v>681</v>
      </c>
      <c r="J173" s="3" t="str">
        <f>HYPERLINK("https://www.boe.es/gazeta/dias/1809/02/17/pdfs/GGB-G-1809-8.pdf#page=6","Abrir facsímil")</f>
        <v>Abrir facsímil</v>
      </c>
      <c r="K173" s="3" t="s">
        <v>57</v>
      </c>
    </row>
    <row r="174" spans="1:11" ht="42" customHeight="1">
      <c r="A174" s="2" t="s">
        <v>682</v>
      </c>
      <c r="B174" s="2" t="s">
        <v>683</v>
      </c>
      <c r="C174" s="2" t="s">
        <v>39</v>
      </c>
      <c r="D174" s="2" t="s">
        <v>40</v>
      </c>
      <c r="E174" s="3" t="s">
        <v>41</v>
      </c>
      <c r="F174" s="3" t="s">
        <v>42</v>
      </c>
      <c r="G174" s="3" t="s">
        <v>43</v>
      </c>
      <c r="H174" s="2" t="s">
        <v>55</v>
      </c>
      <c r="I174" s="2" t="s">
        <v>684</v>
      </c>
      <c r="J174" s="3" t="str">
        <f>HYPERLINK("https://www.boe.es/gazeta/dias/1809/03/11/pdfs/GMD-1809-70.pdf#page=4","Abrir facsímil")</f>
        <v>Abrir facsímil</v>
      </c>
      <c r="K174" s="3" t="s">
        <v>57</v>
      </c>
    </row>
    <row r="175" spans="1:11" ht="42" customHeight="1">
      <c r="A175" s="2" t="s">
        <v>685</v>
      </c>
      <c r="B175" s="2" t="s">
        <v>686</v>
      </c>
      <c r="C175" s="2" t="s">
        <v>131</v>
      </c>
      <c r="D175" s="2" t="s">
        <v>26</v>
      </c>
      <c r="E175" s="3" t="s">
        <v>548</v>
      </c>
      <c r="F175" s="3" t="s">
        <v>549</v>
      </c>
      <c r="G175" s="3" t="s">
        <v>687</v>
      </c>
      <c r="H175" s="2" t="s">
        <v>55</v>
      </c>
      <c r="I175" s="2" t="s">
        <v>688</v>
      </c>
      <c r="J175" s="3" t="str">
        <f>HYPERLINK("https://www.boe.es/gazeta/dias/1809/03/12/pdfs/GMD-1809-71.pdf#page=2","Abrir facsímil")</f>
        <v>Abrir facsímil</v>
      </c>
      <c r="K175" s="3" t="s">
        <v>57</v>
      </c>
    </row>
    <row r="176" spans="1:11" ht="42" customHeight="1">
      <c r="A176" s="2" t="s">
        <v>685</v>
      </c>
      <c r="B176" s="2" t="s">
        <v>686</v>
      </c>
      <c r="C176" s="2" t="s">
        <v>17</v>
      </c>
      <c r="D176" s="2" t="s">
        <v>18</v>
      </c>
      <c r="E176" s="3" t="s">
        <v>689</v>
      </c>
      <c r="F176" s="3" t="s">
        <v>690</v>
      </c>
      <c r="G176" s="3" t="s">
        <v>691</v>
      </c>
      <c r="H176" s="2" t="s">
        <v>55</v>
      </c>
      <c r="I176" s="2" t="s">
        <v>692</v>
      </c>
      <c r="J176" s="3" t="str">
        <f>HYPERLINK("https://www.boe.es/gazeta/dias/1809/04/04/pdfs/GMD-1809-94.pdf#page=4","Abrir facsímil")</f>
        <v>Abrir facsímil</v>
      </c>
      <c r="K176" s="3" t="s">
        <v>57</v>
      </c>
    </row>
    <row r="177" spans="1:11" ht="42" customHeight="1">
      <c r="A177" s="2" t="s">
        <v>685</v>
      </c>
      <c r="B177" s="2" t="s">
        <v>686</v>
      </c>
      <c r="C177" s="2" t="s">
        <v>47</v>
      </c>
      <c r="D177" s="2" t="s">
        <v>18</v>
      </c>
      <c r="E177" s="3" t="s">
        <v>299</v>
      </c>
      <c r="F177" s="3" t="s">
        <v>300</v>
      </c>
      <c r="G177" s="3" t="s">
        <v>693</v>
      </c>
      <c r="H177" s="2" t="s">
        <v>55</v>
      </c>
      <c r="I177" s="2" t="s">
        <v>694</v>
      </c>
      <c r="J177" s="3" t="str">
        <f>HYPERLINK("https://www.boe.es/gazeta/dias/1809/05/26/pdfs/GGB-1809-31.pdf#page=9","Abrir facsímil")</f>
        <v>Abrir facsímil</v>
      </c>
      <c r="K177" s="3" t="s">
        <v>57</v>
      </c>
    </row>
    <row r="178" spans="1:11" ht="42" customHeight="1">
      <c r="A178" s="2" t="s">
        <v>685</v>
      </c>
      <c r="B178" s="2" t="s">
        <v>686</v>
      </c>
      <c r="C178" s="2" t="s">
        <v>17</v>
      </c>
      <c r="D178" s="2" t="s">
        <v>40</v>
      </c>
      <c r="E178" s="3" t="s">
        <v>695</v>
      </c>
      <c r="F178" s="3" t="s">
        <v>696</v>
      </c>
      <c r="G178" s="3" t="s">
        <v>697</v>
      </c>
      <c r="H178" s="2" t="s">
        <v>55</v>
      </c>
      <c r="I178" s="2" t="s">
        <v>698</v>
      </c>
      <c r="J178" s="3" t="str">
        <f>HYPERLINK("https://www.boe.es/gazeta/dias/1809/10/24/pdfs/GGB-1809-362.pdf#page=6","Abrir facsímil")</f>
        <v>Abrir facsímil</v>
      </c>
      <c r="K178" s="3" t="s">
        <v>57</v>
      </c>
    </row>
    <row r="179" spans="1:11" ht="42" customHeight="1">
      <c r="A179" s="2" t="s">
        <v>699</v>
      </c>
      <c r="B179" s="2" t="s">
        <v>700</v>
      </c>
      <c r="C179" s="2" t="s">
        <v>17</v>
      </c>
      <c r="D179" s="2" t="s">
        <v>18</v>
      </c>
      <c r="E179" s="3" t="s">
        <v>689</v>
      </c>
      <c r="F179" s="3" t="s">
        <v>690</v>
      </c>
      <c r="G179" s="3" t="s">
        <v>701</v>
      </c>
      <c r="H179" s="2" t="s">
        <v>55</v>
      </c>
      <c r="I179" s="2" t="s">
        <v>702</v>
      </c>
      <c r="J179" s="3" t="str">
        <f>HYPERLINK("https://www.boe.es/gazeta/dias/1809/04/04/pdfs/GMD-1809-94.pdf#page=3","Abrir facsímil")</f>
        <v>Abrir facsímil</v>
      </c>
      <c r="K179" s="3" t="s">
        <v>57</v>
      </c>
    </row>
    <row r="180" spans="1:11" ht="42" customHeight="1">
      <c r="A180" s="2" t="s">
        <v>703</v>
      </c>
      <c r="B180" s="2" t="s">
        <v>704</v>
      </c>
      <c r="C180" s="2" t="s">
        <v>25</v>
      </c>
      <c r="D180" s="2" t="s">
        <v>72</v>
      </c>
      <c r="E180" s="3" t="s">
        <v>143</v>
      </c>
      <c r="F180" s="3" t="s">
        <v>705</v>
      </c>
      <c r="G180" s="3" t="s">
        <v>225</v>
      </c>
      <c r="H180" s="2" t="s">
        <v>55</v>
      </c>
      <c r="I180" s="2" t="s">
        <v>706</v>
      </c>
      <c r="J180" s="3" t="str">
        <f>HYPERLINK("https://www.boe.es/gazeta/dias/1809/11/16/pdfs/GGB-H-1809-462.pdf#page=4","Abrir facsímil")</f>
        <v>Abrir facsímil</v>
      </c>
      <c r="K180" s="3" t="s">
        <v>57</v>
      </c>
    </row>
    <row r="181" spans="1:11" ht="42" customHeight="1">
      <c r="A181" s="2" t="s">
        <v>707</v>
      </c>
      <c r="B181" s="2" t="s">
        <v>708</v>
      </c>
      <c r="C181" s="2" t="s">
        <v>25</v>
      </c>
      <c r="D181" s="2" t="s">
        <v>26</v>
      </c>
      <c r="E181" s="3" t="s">
        <v>216</v>
      </c>
      <c r="F181" s="3" t="s">
        <v>217</v>
      </c>
      <c r="G181" s="3" t="s">
        <v>75</v>
      </c>
      <c r="H181" s="2" t="s">
        <v>55</v>
      </c>
      <c r="I181" s="2" t="s">
        <v>709</v>
      </c>
      <c r="J181" s="3" t="str">
        <f>HYPERLINK("https://www.boe.es/gazeta/dias/1809/12/05/pdfs/GGB-H-1809-542.pdf#page=2","Abrir facsímil")</f>
        <v>Abrir facsímil</v>
      </c>
      <c r="K181" s="3" t="s">
        <v>57</v>
      </c>
    </row>
    <row r="182" spans="1:11" ht="42" customHeight="1">
      <c r="A182" s="2" t="s">
        <v>710</v>
      </c>
      <c r="B182" s="2" t="s">
        <v>711</v>
      </c>
      <c r="C182" s="2" t="s">
        <v>25</v>
      </c>
      <c r="D182" s="2" t="s">
        <v>18</v>
      </c>
      <c r="E182" s="3" t="s">
        <v>712</v>
      </c>
      <c r="F182" s="3" t="s">
        <v>713</v>
      </c>
      <c r="G182" s="3" t="s">
        <v>154</v>
      </c>
      <c r="H182" s="2" t="s">
        <v>55</v>
      </c>
      <c r="I182" s="2" t="s">
        <v>714</v>
      </c>
      <c r="J182" s="3" t="str">
        <f>HYPERLINK("https://www.boe.es/gazeta/dias/1809/09/10/pdfs/GMD-1809-254.pdf#page=3","Abrir facsímil")</f>
        <v>Abrir facsímil</v>
      </c>
      <c r="K182" s="3" t="s">
        <v>57</v>
      </c>
    </row>
    <row r="183" spans="1:11" ht="42" customHeight="1">
      <c r="A183" s="2" t="s">
        <v>710</v>
      </c>
      <c r="B183" s="2" t="s">
        <v>711</v>
      </c>
      <c r="C183" s="2" t="s">
        <v>79</v>
      </c>
      <c r="D183" s="2" t="s">
        <v>26</v>
      </c>
      <c r="E183" s="3" t="s">
        <v>102</v>
      </c>
      <c r="F183" s="3" t="s">
        <v>103</v>
      </c>
      <c r="G183" s="3" t="s">
        <v>104</v>
      </c>
      <c r="H183" s="2" t="s">
        <v>55</v>
      </c>
      <c r="I183" s="2" t="s">
        <v>715</v>
      </c>
      <c r="J183" s="3" t="str">
        <f>HYPERLINK("https://www.boe.es/gazeta/dias/1809/09/28/pdfs/GGB-1809-252.pdf#page=8","Abrir facsímil")</f>
        <v>Abrir facsímil</v>
      </c>
      <c r="K183" s="3" t="s">
        <v>57</v>
      </c>
    </row>
    <row r="184" spans="1:11" ht="42" customHeight="1">
      <c r="A184" s="2" t="s">
        <v>716</v>
      </c>
      <c r="B184" s="2" t="s">
        <v>717</v>
      </c>
      <c r="C184" s="2" t="s">
        <v>17</v>
      </c>
      <c r="D184" s="2" t="s">
        <v>72</v>
      </c>
      <c r="E184" s="3" t="s">
        <v>394</v>
      </c>
      <c r="F184" s="3" t="s">
        <v>395</v>
      </c>
      <c r="G184" s="3" t="s">
        <v>396</v>
      </c>
      <c r="H184" s="2" t="s">
        <v>55</v>
      </c>
      <c r="I184" s="2" t="s">
        <v>718</v>
      </c>
      <c r="J184" s="3" t="str">
        <f>HYPERLINK("https://www.boe.es/gazeta/dias/1809/12/14/pdfs/GGB-H-1809-582.pdf#page=2","Abrir facsímil")</f>
        <v>Abrir facsímil</v>
      </c>
      <c r="K184" s="3" t="s">
        <v>57</v>
      </c>
    </row>
    <row r="185" spans="1:11" ht="42" customHeight="1">
      <c r="A185" s="2" t="s">
        <v>719</v>
      </c>
      <c r="B185" s="2" t="s">
        <v>719</v>
      </c>
      <c r="C185" s="2" t="s">
        <v>25</v>
      </c>
      <c r="D185" s="2" t="s">
        <v>72</v>
      </c>
      <c r="E185" s="3" t="s">
        <v>720</v>
      </c>
      <c r="F185" s="3" t="s">
        <v>721</v>
      </c>
      <c r="G185" s="3" t="s">
        <v>234</v>
      </c>
      <c r="H185" s="2" t="s">
        <v>55</v>
      </c>
      <c r="I185" s="2" t="s">
        <v>722</v>
      </c>
      <c r="J185" s="3" t="str">
        <f>HYPERLINK("https://www.boe.es/gazeta/dias/1809/01/27/pdfs/GGB-G-1809-5.pdf#page=7","Abrir facsímil")</f>
        <v>Abrir facsímil</v>
      </c>
      <c r="K185" s="3" t="s">
        <v>57</v>
      </c>
    </row>
    <row r="186" spans="1:11" ht="42" customHeight="1">
      <c r="A186" s="2" t="s">
        <v>723</v>
      </c>
      <c r="B186" s="2" t="s">
        <v>723</v>
      </c>
      <c r="C186" s="2" t="s">
        <v>17</v>
      </c>
      <c r="D186" s="2" t="s">
        <v>18</v>
      </c>
      <c r="E186" s="3" t="s">
        <v>724</v>
      </c>
      <c r="F186" s="3" t="s">
        <v>725</v>
      </c>
      <c r="G186" s="3" t="s">
        <v>726</v>
      </c>
      <c r="H186" s="2" t="s">
        <v>55</v>
      </c>
      <c r="I186" s="2" t="s">
        <v>727</v>
      </c>
      <c r="J186" s="3" t="str">
        <f>HYPERLINK("https://www.boe.es/gazeta/dias/1809/11/19/pdfs/GMD-1809-324.pdf#page=3","Abrir facsímil")</f>
        <v>Abrir facsímil</v>
      </c>
      <c r="K186" s="3" t="s">
        <v>57</v>
      </c>
    </row>
    <row r="187" spans="1:11" ht="42" customHeight="1">
      <c r="A187" s="2" t="s">
        <v>728</v>
      </c>
      <c r="B187" s="2" t="s">
        <v>729</v>
      </c>
      <c r="C187" s="2" t="s">
        <v>79</v>
      </c>
      <c r="D187" s="2" t="s">
        <v>18</v>
      </c>
      <c r="E187" s="3" t="s">
        <v>730</v>
      </c>
      <c r="F187" s="3" t="s">
        <v>731</v>
      </c>
      <c r="G187" s="3" t="s">
        <v>62</v>
      </c>
      <c r="H187" s="2" t="s">
        <v>55</v>
      </c>
      <c r="I187" s="2" t="s">
        <v>732</v>
      </c>
      <c r="J187" s="3" t="str">
        <f>HYPERLINK("https://www.boe.es/gazeta/dias/1809/06/23/pdfs/GMD-1809-174.pdf#page=3","Abrir facsímil")</f>
        <v>Abrir facsímil</v>
      </c>
      <c r="K187" s="3" t="s">
        <v>57</v>
      </c>
    </row>
    <row r="188" spans="1:11" ht="42" customHeight="1">
      <c r="A188" s="2" t="s">
        <v>733</v>
      </c>
      <c r="B188" s="2" t="s">
        <v>734</v>
      </c>
      <c r="C188" s="2" t="s">
        <v>25</v>
      </c>
      <c r="D188" s="2" t="s">
        <v>18</v>
      </c>
      <c r="E188" s="3" t="s">
        <v>243</v>
      </c>
      <c r="F188" s="3" t="s">
        <v>735</v>
      </c>
      <c r="G188" s="3" t="s">
        <v>736</v>
      </c>
      <c r="H188" s="2" t="s">
        <v>55</v>
      </c>
      <c r="I188" s="2" t="s">
        <v>737</v>
      </c>
      <c r="J188" s="3" t="str">
        <f>HYPERLINK("https://www.boe.es/gazeta/dias/1809/02/17/pdfs/GGB-1809-8.pdf#page=8","Abrir facsímil")</f>
        <v>Abrir facsímil</v>
      </c>
      <c r="K188" s="3" t="s">
        <v>57</v>
      </c>
    </row>
    <row r="189" spans="1:11" ht="42" customHeight="1">
      <c r="A189" s="2" t="s">
        <v>738</v>
      </c>
      <c r="B189" s="2" t="s">
        <v>738</v>
      </c>
      <c r="C189" s="2" t="s">
        <v>25</v>
      </c>
      <c r="D189" s="2" t="s">
        <v>18</v>
      </c>
      <c r="E189" s="3" t="s">
        <v>739</v>
      </c>
      <c r="F189" s="3" t="s">
        <v>740</v>
      </c>
      <c r="G189" s="3" t="s">
        <v>75</v>
      </c>
      <c r="H189" s="2" t="s">
        <v>55</v>
      </c>
      <c r="I189" s="2" t="s">
        <v>741</v>
      </c>
      <c r="J189" s="3" t="str">
        <f>HYPERLINK("https://www.boe.es/gazeta/dias/1809/05/08/pdfs/GMD-1809-128.pdf#page=4","Abrir facsímil")</f>
        <v>Abrir facsímil</v>
      </c>
      <c r="K189" s="3" t="s">
        <v>57</v>
      </c>
    </row>
    <row r="190" spans="1:11" ht="42" customHeight="1">
      <c r="A190" s="2" t="s">
        <v>742</v>
      </c>
      <c r="B190" s="2" t="s">
        <v>742</v>
      </c>
      <c r="C190" s="2" t="s">
        <v>25</v>
      </c>
      <c r="D190" s="2" t="s">
        <v>18</v>
      </c>
      <c r="E190" s="3" t="s">
        <v>743</v>
      </c>
      <c r="F190" s="3" t="s">
        <v>744</v>
      </c>
      <c r="G190" s="3" t="s">
        <v>745</v>
      </c>
      <c r="H190" s="2" t="s">
        <v>55</v>
      </c>
      <c r="I190" s="2" t="s">
        <v>746</v>
      </c>
      <c r="J190" s="3" t="str">
        <f>HYPERLINK("https://www.boe.es/gazeta/dias/1809/12/25/pdfs/GMD-1809-360.pdf#page=1","Abrir facsímil")</f>
        <v>Abrir facsímil</v>
      </c>
      <c r="K190" s="3" t="s">
        <v>57</v>
      </c>
    </row>
    <row r="191" spans="1:11" ht="42" customHeight="1">
      <c r="A191" s="2" t="s">
        <v>747</v>
      </c>
      <c r="B191" s="2" t="s">
        <v>747</v>
      </c>
      <c r="C191" s="2" t="s">
        <v>25</v>
      </c>
      <c r="D191" s="2" t="s">
        <v>107</v>
      </c>
      <c r="E191" s="3" t="s">
        <v>418</v>
      </c>
      <c r="F191" s="3" t="s">
        <v>419</v>
      </c>
      <c r="G191" s="3" t="s">
        <v>21</v>
      </c>
      <c r="H191" s="2" t="s">
        <v>55</v>
      </c>
      <c r="I191" s="2" t="s">
        <v>748</v>
      </c>
      <c r="J191" s="3" t="str">
        <f>HYPERLINK("https://www.boe.es/gazeta/dias/1809/03/29/pdfs/GMD-1809-88.pdf#page=3","Abrir facsímil")</f>
        <v>Abrir facsímil</v>
      </c>
      <c r="K191" s="3" t="s">
        <v>57</v>
      </c>
    </row>
    <row r="192" spans="1:11" ht="42" customHeight="1">
      <c r="A192" s="2" t="s">
        <v>747</v>
      </c>
      <c r="B192" s="2" t="s">
        <v>747</v>
      </c>
      <c r="C192" s="2" t="s">
        <v>25</v>
      </c>
      <c r="D192" s="2" t="s">
        <v>107</v>
      </c>
      <c r="E192" s="3" t="s">
        <v>749</v>
      </c>
      <c r="F192" s="3" t="s">
        <v>750</v>
      </c>
      <c r="G192" s="3" t="s">
        <v>234</v>
      </c>
      <c r="H192" s="2" t="s">
        <v>55</v>
      </c>
      <c r="I192" s="2" t="s">
        <v>751</v>
      </c>
      <c r="J192" s="3" t="str">
        <f>HYPERLINK("https://www.boe.es/gazeta/dias/1809/05/19/pdfs/GGB-1809-29.pdf#page=3","Abrir facsímil")</f>
        <v>Abrir facsímil</v>
      </c>
      <c r="K192" s="3" t="s">
        <v>57</v>
      </c>
    </row>
    <row r="193" spans="1:11" ht="42" customHeight="1">
      <c r="A193" s="2" t="s">
        <v>752</v>
      </c>
      <c r="B193" s="2" t="s">
        <v>752</v>
      </c>
      <c r="C193" s="2" t="s">
        <v>25</v>
      </c>
      <c r="D193" s="2" t="s">
        <v>107</v>
      </c>
      <c r="E193" s="3" t="s">
        <v>496</v>
      </c>
      <c r="F193" s="3" t="s">
        <v>497</v>
      </c>
      <c r="G193" s="3" t="s">
        <v>129</v>
      </c>
      <c r="H193" s="2" t="s">
        <v>55</v>
      </c>
      <c r="I193" s="2" t="s">
        <v>753</v>
      </c>
      <c r="J193" s="3" t="str">
        <f>HYPERLINK("https://www.boe.es/gazeta/dias/1809/03/13/pdfs/GMD-1809-72.pdf#page=2","Abrir facsímil")</f>
        <v>Abrir facsímil</v>
      </c>
      <c r="K193" s="3" t="s">
        <v>57</v>
      </c>
    </row>
    <row r="194" spans="1:11" ht="42" customHeight="1">
      <c r="A194" s="2" t="s">
        <v>752</v>
      </c>
      <c r="B194" s="2" t="s">
        <v>752</v>
      </c>
      <c r="C194" s="2" t="s">
        <v>25</v>
      </c>
      <c r="D194" s="2" t="s">
        <v>107</v>
      </c>
      <c r="E194" s="3" t="s">
        <v>289</v>
      </c>
      <c r="F194" s="3" t="s">
        <v>290</v>
      </c>
      <c r="G194" s="3" t="s">
        <v>29</v>
      </c>
      <c r="H194" s="2" t="s">
        <v>55</v>
      </c>
      <c r="I194" s="2" t="s">
        <v>754</v>
      </c>
      <c r="J194" s="3" t="str">
        <f>HYPERLINK("https://www.boe.es/gazeta/dias/1809/05/15/pdfs/GMD-1809-135.pdf#page=3","Abrir facsímil")</f>
        <v>Abrir facsímil</v>
      </c>
      <c r="K194" s="3" t="s">
        <v>57</v>
      </c>
    </row>
    <row r="195" spans="1:11" ht="42" customHeight="1">
      <c r="A195" s="2" t="s">
        <v>752</v>
      </c>
      <c r="B195" s="2" t="s">
        <v>752</v>
      </c>
      <c r="C195" s="2" t="s">
        <v>25</v>
      </c>
      <c r="D195" s="2" t="s">
        <v>18</v>
      </c>
      <c r="E195" s="3" t="s">
        <v>755</v>
      </c>
      <c r="F195" s="3" t="s">
        <v>756</v>
      </c>
      <c r="G195" s="3" t="s">
        <v>29</v>
      </c>
      <c r="H195" s="2" t="s">
        <v>55</v>
      </c>
      <c r="I195" s="2" t="s">
        <v>757</v>
      </c>
      <c r="J195" s="3" t="str">
        <f>HYPERLINK("https://www.boe.es/gazeta/dias/1809/05/20/pdfs/GMD-1809-140.pdf#page=3","Abrir facsímil")</f>
        <v>Abrir facsímil</v>
      </c>
      <c r="K195" s="3" t="s">
        <v>57</v>
      </c>
    </row>
    <row r="196" spans="1:11" ht="42" customHeight="1">
      <c r="A196" s="2" t="s">
        <v>752</v>
      </c>
      <c r="B196" s="2" t="s">
        <v>752</v>
      </c>
      <c r="C196" s="2" t="s">
        <v>25</v>
      </c>
      <c r="D196" s="2" t="s">
        <v>26</v>
      </c>
      <c r="E196" s="3" t="s">
        <v>758</v>
      </c>
      <c r="F196" s="3" t="s">
        <v>759</v>
      </c>
      <c r="G196" s="3" t="s">
        <v>270</v>
      </c>
      <c r="H196" s="2" t="s">
        <v>55</v>
      </c>
      <c r="I196" s="2" t="s">
        <v>760</v>
      </c>
      <c r="J196" s="3" t="str">
        <f>HYPERLINK("https://www.boe.es/gazeta/dias/1809/06/01/pdfs/GMD-1809-152.pdf#page=3","Abrir facsímil")</f>
        <v>Abrir facsímil</v>
      </c>
      <c r="K196" s="3" t="s">
        <v>57</v>
      </c>
    </row>
    <row r="197" spans="1:11" ht="42" customHeight="1">
      <c r="A197" s="2" t="s">
        <v>752</v>
      </c>
      <c r="B197" s="2" t="s">
        <v>752</v>
      </c>
      <c r="C197" s="2" t="s">
        <v>25</v>
      </c>
      <c r="D197" s="2" t="s">
        <v>18</v>
      </c>
      <c r="E197" s="3" t="s">
        <v>761</v>
      </c>
      <c r="F197" s="3" t="s">
        <v>762</v>
      </c>
      <c r="G197" s="3" t="s">
        <v>763</v>
      </c>
      <c r="H197" s="2" t="s">
        <v>55</v>
      </c>
      <c r="I197" s="2" t="s">
        <v>764</v>
      </c>
      <c r="J197" s="3" t="str">
        <f>HYPERLINK("https://www.boe.es/gazeta/dias/1809/06/02/pdfs/GMD-1809-153.pdf#page=3","Abrir facsímil")</f>
        <v>Abrir facsímil</v>
      </c>
      <c r="K197" s="3" t="s">
        <v>57</v>
      </c>
    </row>
    <row r="198" spans="1:11" ht="42" customHeight="1">
      <c r="A198" s="2" t="s">
        <v>752</v>
      </c>
      <c r="B198" s="2" t="s">
        <v>752</v>
      </c>
      <c r="C198" s="2" t="s">
        <v>25</v>
      </c>
      <c r="D198" s="2" t="s">
        <v>26</v>
      </c>
      <c r="E198" s="3" t="s">
        <v>118</v>
      </c>
      <c r="F198" s="3" t="s">
        <v>119</v>
      </c>
      <c r="G198" s="3" t="s">
        <v>129</v>
      </c>
      <c r="H198" s="2" t="s">
        <v>55</v>
      </c>
      <c r="I198" s="2" t="s">
        <v>765</v>
      </c>
      <c r="J198" s="3" t="str">
        <f>HYPERLINK("https://www.boe.es/gazeta/dias/1809/09/07/pdfs/GMD-1809-251.pdf#page=2","Abrir facsímil")</f>
        <v>Abrir facsímil</v>
      </c>
      <c r="K198" s="3" t="s">
        <v>57</v>
      </c>
    </row>
    <row r="199" spans="1:11" ht="42" customHeight="1">
      <c r="A199" s="2" t="s">
        <v>766</v>
      </c>
      <c r="B199" s="2" t="s">
        <v>766</v>
      </c>
      <c r="C199" s="2" t="s">
        <v>25</v>
      </c>
      <c r="D199" s="2" t="s">
        <v>18</v>
      </c>
      <c r="E199" s="3" t="s">
        <v>767</v>
      </c>
      <c r="F199" s="3" t="s">
        <v>768</v>
      </c>
      <c r="G199" s="3" t="s">
        <v>120</v>
      </c>
      <c r="H199" s="2" t="s">
        <v>55</v>
      </c>
      <c r="I199" s="2" t="s">
        <v>769</v>
      </c>
      <c r="J199" s="3" t="str">
        <f>HYPERLINK("https://www.boe.es/gazeta/dias/1809/05/18/pdfs/GMD-1809-138.pdf#page=1","Abrir facsímil")</f>
        <v>Abrir facsímil</v>
      </c>
      <c r="K199" s="3" t="s">
        <v>57</v>
      </c>
    </row>
    <row r="200" spans="1:11" ht="42" customHeight="1">
      <c r="A200" s="2" t="s">
        <v>770</v>
      </c>
      <c r="B200" s="2" t="s">
        <v>770</v>
      </c>
      <c r="C200" s="2" t="s">
        <v>25</v>
      </c>
      <c r="D200" s="2" t="s">
        <v>18</v>
      </c>
      <c r="E200" s="3" t="s">
        <v>771</v>
      </c>
      <c r="F200" s="3" t="s">
        <v>772</v>
      </c>
      <c r="G200" s="3" t="s">
        <v>773</v>
      </c>
      <c r="H200" s="2" t="s">
        <v>55</v>
      </c>
      <c r="I200" s="2" t="s">
        <v>774</v>
      </c>
      <c r="J200" s="3" t="str">
        <f>HYPERLINK("https://www.boe.es/gazeta/dias/1809/10/31/pdfs/GGB-1809-392.pdf#page=1","Abrir facsímil")</f>
        <v>Abrir facsímil</v>
      </c>
      <c r="K200" s="3" t="s">
        <v>57</v>
      </c>
    </row>
    <row r="201" spans="1:11" ht="42" customHeight="1">
      <c r="A201" s="2" t="s">
        <v>775</v>
      </c>
      <c r="B201" s="2" t="s">
        <v>775</v>
      </c>
      <c r="C201" s="2" t="s">
        <v>17</v>
      </c>
      <c r="D201" s="2" t="s">
        <v>72</v>
      </c>
      <c r="E201" s="3" t="s">
        <v>776</v>
      </c>
      <c r="F201" s="3" t="s">
        <v>777</v>
      </c>
      <c r="G201" s="3" t="s">
        <v>736</v>
      </c>
      <c r="H201" s="2" t="s">
        <v>55</v>
      </c>
      <c r="I201" s="2" t="s">
        <v>778</v>
      </c>
      <c r="J201" s="3" t="str">
        <f>HYPERLINK("https://www.boe.es/gazeta/dias/1809/05/28/pdfs/GMD-E-1809-148.pdf#page=1","Abrir facsímil")</f>
        <v>Abrir facsímil</v>
      </c>
      <c r="K201" s="3" t="s">
        <v>57</v>
      </c>
    </row>
    <row r="202" spans="1:11" ht="42" customHeight="1">
      <c r="A202" s="2" t="s">
        <v>775</v>
      </c>
      <c r="B202" s="2" t="s">
        <v>775</v>
      </c>
      <c r="C202" s="2" t="s">
        <v>25</v>
      </c>
      <c r="D202" s="2" t="s">
        <v>26</v>
      </c>
      <c r="E202" s="3" t="s">
        <v>216</v>
      </c>
      <c r="F202" s="3" t="s">
        <v>217</v>
      </c>
      <c r="G202" s="3" t="s">
        <v>270</v>
      </c>
      <c r="H202" s="2" t="s">
        <v>55</v>
      </c>
      <c r="I202" s="2" t="s">
        <v>779</v>
      </c>
      <c r="J202" s="3" t="str">
        <f>HYPERLINK("https://www.boe.es/gazeta/dias/1809/12/05/pdfs/GGB-H-1809-542.pdf#page=3","Abrir facsímil")</f>
        <v>Abrir facsímil</v>
      </c>
      <c r="K202" s="3" t="s">
        <v>57</v>
      </c>
    </row>
    <row r="203" spans="1:11" ht="42" customHeight="1">
      <c r="A203" s="2" t="s">
        <v>775</v>
      </c>
      <c r="B203" s="2" t="s">
        <v>775</v>
      </c>
      <c r="C203" s="2" t="s">
        <v>25</v>
      </c>
      <c r="D203" s="2" t="s">
        <v>18</v>
      </c>
      <c r="E203" s="3" t="s">
        <v>220</v>
      </c>
      <c r="F203" s="3" t="s">
        <v>221</v>
      </c>
      <c r="G203" s="3" t="s">
        <v>154</v>
      </c>
      <c r="H203" s="2" t="s">
        <v>55</v>
      </c>
      <c r="I203" s="2" t="s">
        <v>780</v>
      </c>
      <c r="J203" s="3" t="str">
        <f>HYPERLINK("https://www.boe.es/gazeta/dias/1809/12/13/pdfs/GMD-1809-348.pdf#page=4","Abrir facsímil")</f>
        <v>Abrir facsímil</v>
      </c>
      <c r="K203" s="3" t="s">
        <v>57</v>
      </c>
    </row>
    <row r="204" spans="1:11" ht="42" customHeight="1">
      <c r="A204" s="2" t="s">
        <v>781</v>
      </c>
      <c r="B204" s="2" t="s">
        <v>781</v>
      </c>
      <c r="C204" s="2" t="s">
        <v>17</v>
      </c>
      <c r="D204" s="2" t="s">
        <v>80</v>
      </c>
      <c r="E204" s="3" t="s">
        <v>179</v>
      </c>
      <c r="F204" s="3" t="s">
        <v>180</v>
      </c>
      <c r="G204" s="3" t="s">
        <v>239</v>
      </c>
      <c r="H204" s="2" t="s">
        <v>55</v>
      </c>
      <c r="I204" s="2" t="s">
        <v>782</v>
      </c>
      <c r="J204" s="3" t="str">
        <f>HYPERLINK("https://www.boe.es/gazeta/dias/1809/12/08/pdfs/GGB-1809-552E.pdf#page=2","Abrir facsímil")</f>
        <v>Abrir facsímil</v>
      </c>
      <c r="K204" s="3" t="s">
        <v>57</v>
      </c>
    </row>
    <row r="205" spans="1:11" ht="42" customHeight="1">
      <c r="A205" s="2" t="s">
        <v>783</v>
      </c>
      <c r="B205" s="2" t="s">
        <v>783</v>
      </c>
      <c r="C205" s="2" t="s">
        <v>369</v>
      </c>
      <c r="D205" s="2" t="s">
        <v>18</v>
      </c>
      <c r="E205" s="3" t="s">
        <v>211</v>
      </c>
      <c r="F205" s="3" t="s">
        <v>212</v>
      </c>
      <c r="G205" s="3" t="s">
        <v>213</v>
      </c>
      <c r="H205" s="2" t="s">
        <v>55</v>
      </c>
      <c r="I205" s="2" t="s">
        <v>784</v>
      </c>
      <c r="J205" s="3" t="str">
        <f>HYPERLINK("https://www.boe.es/gazeta/dias/1809/10/27/pdfs/GMD-1809-301.pdf#page=4","Abrir facsímil")</f>
        <v>Abrir facsímil</v>
      </c>
      <c r="K205" s="3" t="s">
        <v>57</v>
      </c>
    </row>
    <row r="206" spans="1:11" ht="42" customHeight="1">
      <c r="A206" s="2" t="s">
        <v>783</v>
      </c>
      <c r="B206" s="2" t="s">
        <v>783</v>
      </c>
      <c r="C206" s="2" t="s">
        <v>17</v>
      </c>
      <c r="D206" s="2" t="s">
        <v>72</v>
      </c>
      <c r="E206" s="3" t="s">
        <v>216</v>
      </c>
      <c r="F206" s="3" t="s">
        <v>217</v>
      </c>
      <c r="G206" s="3" t="s">
        <v>218</v>
      </c>
      <c r="H206" s="2" t="s">
        <v>55</v>
      </c>
      <c r="I206" s="2" t="s">
        <v>785</v>
      </c>
      <c r="J206" s="3" t="str">
        <f>HYPERLINK("https://www.boe.es/gazeta/dias/1809/12/05/pdfs/GGB-H-1809-542.pdf#page=6","Abrir facsímil")</f>
        <v>Abrir facsímil</v>
      </c>
      <c r="K206" s="3" t="s">
        <v>57</v>
      </c>
    </row>
    <row r="207" spans="1:11" ht="42" customHeight="1">
      <c r="A207" s="2" t="s">
        <v>786</v>
      </c>
      <c r="B207" s="2" t="s">
        <v>786</v>
      </c>
      <c r="C207" s="2" t="s">
        <v>17</v>
      </c>
      <c r="D207" s="2" t="s">
        <v>72</v>
      </c>
      <c r="E207" s="3" t="s">
        <v>787</v>
      </c>
      <c r="F207" s="3" t="s">
        <v>788</v>
      </c>
      <c r="G207" s="3" t="s">
        <v>789</v>
      </c>
      <c r="H207" s="2" t="s">
        <v>55</v>
      </c>
      <c r="I207" s="2" t="s">
        <v>790</v>
      </c>
      <c r="J207" s="3" t="str">
        <f>HYPERLINK("https://www.boe.es/gazeta/dias/1809/04/29/pdfs/GMD-E-1809-119.pdf#page=1","Abrir facsímil")</f>
        <v>Abrir facsímil</v>
      </c>
      <c r="K207" s="3" t="s">
        <v>57</v>
      </c>
    </row>
    <row r="208" spans="1:11" ht="42" customHeight="1">
      <c r="A208" s="2" t="s">
        <v>791</v>
      </c>
      <c r="B208" s="2" t="s">
        <v>792</v>
      </c>
      <c r="C208" s="2" t="s">
        <v>25</v>
      </c>
      <c r="D208" s="2" t="s">
        <v>18</v>
      </c>
      <c r="E208" s="3" t="s">
        <v>66</v>
      </c>
      <c r="F208" s="3" t="s">
        <v>793</v>
      </c>
      <c r="G208" s="3" t="s">
        <v>239</v>
      </c>
      <c r="H208" s="2" t="s">
        <v>55</v>
      </c>
      <c r="I208" s="2" t="s">
        <v>794</v>
      </c>
      <c r="J208" s="3" t="str">
        <f>HYPERLINK("https://www.boe.es/gazeta/dias/1809/12/30/pdfs/GMD-1809-365.pdf#page=4","Abrir facsímil")</f>
        <v>Abrir facsímil</v>
      </c>
      <c r="K208" s="3" t="s">
        <v>57</v>
      </c>
    </row>
    <row r="209" spans="1:11" ht="42" customHeight="1">
      <c r="A209" s="2" t="s">
        <v>795</v>
      </c>
      <c r="B209" s="2" t="s">
        <v>796</v>
      </c>
      <c r="C209" s="2" t="s">
        <v>25</v>
      </c>
      <c r="D209" s="2" t="s">
        <v>18</v>
      </c>
      <c r="E209" s="3" t="s">
        <v>548</v>
      </c>
      <c r="F209" s="3" t="s">
        <v>549</v>
      </c>
      <c r="G209" s="3" t="s">
        <v>687</v>
      </c>
      <c r="H209" s="2" t="s">
        <v>55</v>
      </c>
      <c r="I209" s="2" t="s">
        <v>797</v>
      </c>
      <c r="J209" s="3" t="str">
        <f>HYPERLINK("https://www.boe.es/gazeta/dias/1809/03/12/pdfs/GMD-1809-71.pdf#page=2","Abrir facsímil")</f>
        <v>Abrir facsímil</v>
      </c>
      <c r="K209" s="3" t="s">
        <v>57</v>
      </c>
    </row>
    <row r="210" spans="1:11" ht="42" customHeight="1">
      <c r="A210" s="2" t="s">
        <v>795</v>
      </c>
      <c r="B210" s="2" t="s">
        <v>796</v>
      </c>
      <c r="C210" s="2" t="s">
        <v>17</v>
      </c>
      <c r="D210" s="2" t="s">
        <v>18</v>
      </c>
      <c r="E210" s="3" t="s">
        <v>551</v>
      </c>
      <c r="F210" s="3" t="s">
        <v>552</v>
      </c>
      <c r="G210" s="3" t="s">
        <v>553</v>
      </c>
      <c r="H210" s="2" t="s">
        <v>55</v>
      </c>
      <c r="I210" s="2" t="s">
        <v>798</v>
      </c>
      <c r="J210" s="3" t="str">
        <f>HYPERLINK("https://www.boe.es/gazeta/dias/1809/05/04/pdfs/GMD-1809-124.pdf#page=1","Abrir facsímil")</f>
        <v>Abrir facsímil</v>
      </c>
      <c r="K210" s="3" t="s">
        <v>57</v>
      </c>
    </row>
    <row r="211" spans="1:11" ht="42" customHeight="1">
      <c r="A211" s="2" t="s">
        <v>795</v>
      </c>
      <c r="B211" s="2" t="s">
        <v>796</v>
      </c>
      <c r="C211" s="2" t="s">
        <v>131</v>
      </c>
      <c r="D211" s="2" t="s">
        <v>18</v>
      </c>
      <c r="E211" s="3" t="s">
        <v>755</v>
      </c>
      <c r="F211" s="3" t="s">
        <v>756</v>
      </c>
      <c r="G211" s="3" t="s">
        <v>525</v>
      </c>
      <c r="H211" s="2" t="s">
        <v>55</v>
      </c>
      <c r="I211" s="2" t="s">
        <v>799</v>
      </c>
      <c r="J211" s="3" t="str">
        <f>HYPERLINK("https://www.boe.es/gazeta/dias/1809/05/20/pdfs/GMD-1809-140.pdf#page=4","Abrir facsímil")</f>
        <v>Abrir facsímil</v>
      </c>
      <c r="K211" s="3" t="s">
        <v>57</v>
      </c>
    </row>
    <row r="212" spans="1:11" ht="42" customHeight="1">
      <c r="A212" s="2" t="s">
        <v>800</v>
      </c>
      <c r="B212" s="2" t="s">
        <v>801</v>
      </c>
      <c r="C212" s="2" t="s">
        <v>25</v>
      </c>
      <c r="D212" s="2" t="s">
        <v>26</v>
      </c>
      <c r="E212" s="3" t="s">
        <v>143</v>
      </c>
      <c r="F212" s="3" t="s">
        <v>705</v>
      </c>
      <c r="G212" s="3" t="s">
        <v>225</v>
      </c>
      <c r="H212" s="2" t="s">
        <v>55</v>
      </c>
      <c r="I212" s="2" t="s">
        <v>802</v>
      </c>
      <c r="J212" s="3" t="str">
        <f>HYPERLINK("https://www.boe.es/gazeta/dias/1809/11/16/pdfs/GGB-H-1809-462.pdf#page=4","Abrir facsímil")</f>
        <v>Abrir facsímil</v>
      </c>
      <c r="K212" s="3" t="s">
        <v>57</v>
      </c>
    </row>
    <row r="213" spans="1:11" ht="42" customHeight="1">
      <c r="A213" s="2" t="s">
        <v>803</v>
      </c>
      <c r="B213" s="2" t="s">
        <v>803</v>
      </c>
      <c r="C213" s="2" t="s">
        <v>25</v>
      </c>
      <c r="D213" s="2" t="s">
        <v>18</v>
      </c>
      <c r="E213" s="3" t="s">
        <v>804</v>
      </c>
      <c r="F213" s="3" t="s">
        <v>805</v>
      </c>
      <c r="G213" s="3" t="s">
        <v>21</v>
      </c>
      <c r="H213" s="2" t="s">
        <v>55</v>
      </c>
      <c r="I213" s="2" t="s">
        <v>806</v>
      </c>
      <c r="J213" s="3" t="str">
        <f>HYPERLINK("https://www.boe.es/gazeta/dias/1809/03/08/pdfs/GMD-1809-67.pdf#page=2","Abrir facsímil")</f>
        <v>Abrir facsímil</v>
      </c>
      <c r="K213" s="3" t="s">
        <v>57</v>
      </c>
    </row>
    <row r="214" spans="1:11" ht="42" customHeight="1">
      <c r="A214" s="2" t="s">
        <v>807</v>
      </c>
      <c r="B214" s="2" t="s">
        <v>808</v>
      </c>
      <c r="C214" s="2" t="s">
        <v>25</v>
      </c>
      <c r="D214" s="2" t="s">
        <v>26</v>
      </c>
      <c r="E214" s="3" t="s">
        <v>809</v>
      </c>
      <c r="F214" s="3" t="s">
        <v>810</v>
      </c>
      <c r="G214" s="3" t="s">
        <v>811</v>
      </c>
      <c r="H214" s="2" t="s">
        <v>22</v>
      </c>
      <c r="I214" s="2" t="s">
        <v>812</v>
      </c>
      <c r="J214" s="3" t="str">
        <f>HYPERLINK("https://www.boe.es/gazeta/dias/1809/08/19/pdfs/GMD-1809-232.pdf#page=1","Abrir facsímil")</f>
        <v>Abrir facsímil</v>
      </c>
      <c r="K214" s="3" t="s">
        <v>24</v>
      </c>
    </row>
    <row r="215" spans="1:11" ht="42" customHeight="1">
      <c r="A215" s="2" t="s">
        <v>813</v>
      </c>
      <c r="B215" s="2" t="s">
        <v>813</v>
      </c>
      <c r="C215" s="2" t="s">
        <v>25</v>
      </c>
      <c r="D215" s="2" t="s">
        <v>18</v>
      </c>
      <c r="E215" s="3" t="s">
        <v>814</v>
      </c>
      <c r="F215" s="3" t="s">
        <v>815</v>
      </c>
      <c r="G215" s="3" t="s">
        <v>816</v>
      </c>
      <c r="H215" s="2" t="s">
        <v>55</v>
      </c>
      <c r="I215" s="2" t="s">
        <v>817</v>
      </c>
      <c r="J215" s="3" t="str">
        <f>HYPERLINK("https://www.boe.es/gazeta/dias/1809/12/09/pdfs/GGB-1809-562.pdf#page=5","Abrir facsímil")</f>
        <v>Abrir facsímil</v>
      </c>
      <c r="K215" s="3" t="s">
        <v>57</v>
      </c>
    </row>
    <row r="216" spans="1:11" ht="42" customHeight="1">
      <c r="A216" s="2" t="s">
        <v>818</v>
      </c>
      <c r="B216" s="2" t="s">
        <v>818</v>
      </c>
      <c r="C216" s="2" t="s">
        <v>25</v>
      </c>
      <c r="D216" s="2" t="s">
        <v>72</v>
      </c>
      <c r="E216" s="3" t="s">
        <v>118</v>
      </c>
      <c r="F216" s="3" t="s">
        <v>819</v>
      </c>
      <c r="G216" s="3" t="s">
        <v>820</v>
      </c>
      <c r="H216" s="2" t="s">
        <v>55</v>
      </c>
      <c r="I216" s="2" t="s">
        <v>821</v>
      </c>
      <c r="J216" s="3" t="str">
        <f>HYPERLINK("https://www.boe.es/gazeta/dias/1809/09/07/pdfs/GGB-H-1809-162.pdf#page=5","Abrir facsímil")</f>
        <v>Abrir facsímil</v>
      </c>
      <c r="K216" s="3" t="s">
        <v>57</v>
      </c>
    </row>
    <row r="217" spans="1:11" ht="42" customHeight="1">
      <c r="A217" s="2" t="s">
        <v>818</v>
      </c>
      <c r="B217" s="2" t="s">
        <v>818</v>
      </c>
      <c r="C217" s="2" t="s">
        <v>25</v>
      </c>
      <c r="D217" s="2" t="s">
        <v>18</v>
      </c>
      <c r="E217" s="3" t="s">
        <v>73</v>
      </c>
      <c r="F217" s="3" t="s">
        <v>822</v>
      </c>
      <c r="G217" s="3" t="s">
        <v>823</v>
      </c>
      <c r="H217" s="2" t="s">
        <v>55</v>
      </c>
      <c r="I217" s="2" t="s">
        <v>824</v>
      </c>
      <c r="J217" s="3" t="str">
        <f>HYPERLINK("https://www.boe.es/gazeta/dias/1809/09/21/pdfs/GGB-1809-222.pdf#page=4","Abrir facsímil")</f>
        <v>Abrir facsímil</v>
      </c>
      <c r="K217" s="3" t="s">
        <v>57</v>
      </c>
    </row>
    <row r="218" spans="1:11" ht="42" customHeight="1">
      <c r="A218" s="2" t="s">
        <v>825</v>
      </c>
      <c r="B218" s="2" t="s">
        <v>825</v>
      </c>
      <c r="C218" s="2" t="s">
        <v>25</v>
      </c>
      <c r="D218" s="2" t="s">
        <v>26</v>
      </c>
      <c r="E218" s="3" t="s">
        <v>118</v>
      </c>
      <c r="F218" s="3" t="s">
        <v>819</v>
      </c>
      <c r="G218" s="3" t="s">
        <v>826</v>
      </c>
      <c r="H218" s="2" t="s">
        <v>55</v>
      </c>
      <c r="I218" s="2" t="s">
        <v>827</v>
      </c>
      <c r="J218" s="3" t="str">
        <f>HYPERLINK("https://www.boe.es/gazeta/dias/1809/09/07/pdfs/GGB-H-1809-162.pdf#page=4","Abrir facsímil")</f>
        <v>Abrir facsímil</v>
      </c>
      <c r="K218" s="3" t="s">
        <v>57</v>
      </c>
    </row>
    <row r="219" spans="1:11" ht="42" customHeight="1">
      <c r="A219" s="2" t="s">
        <v>828</v>
      </c>
      <c r="B219" s="2" t="s">
        <v>829</v>
      </c>
      <c r="C219" s="2" t="s">
        <v>17</v>
      </c>
      <c r="D219" s="2" t="s">
        <v>18</v>
      </c>
      <c r="E219" s="3" t="s">
        <v>102</v>
      </c>
      <c r="F219" s="3" t="s">
        <v>103</v>
      </c>
      <c r="G219" s="3" t="s">
        <v>830</v>
      </c>
      <c r="H219" s="2" t="s">
        <v>55</v>
      </c>
      <c r="I219" s="2" t="s">
        <v>831</v>
      </c>
      <c r="J219" s="3" t="str">
        <f>HYPERLINK("https://www.boe.es/gazeta/dias/1809/09/28/pdfs/GGB-1809-252.pdf#page=7","Abrir facsímil")</f>
        <v>Abrir facsímil</v>
      </c>
      <c r="K219" s="3" t="s">
        <v>57</v>
      </c>
    </row>
    <row r="220" spans="1:11" ht="42" customHeight="1">
      <c r="A220" s="2" t="s">
        <v>832</v>
      </c>
      <c r="B220" s="2" t="s">
        <v>832</v>
      </c>
      <c r="C220" s="2" t="s">
        <v>17</v>
      </c>
      <c r="D220" s="2" t="s">
        <v>18</v>
      </c>
      <c r="E220" s="3" t="s">
        <v>833</v>
      </c>
      <c r="F220" s="3" t="s">
        <v>834</v>
      </c>
      <c r="G220" s="3" t="s">
        <v>239</v>
      </c>
      <c r="H220" s="2" t="s">
        <v>55</v>
      </c>
      <c r="I220" s="2" t="s">
        <v>835</v>
      </c>
      <c r="J220" s="3" t="str">
        <f>HYPERLINK("https://www.boe.es/gazeta/dias/1809/01/05/pdfs/GMD-1809-5.pdf#page=3","Abrir facsímil")</f>
        <v>Abrir facsímil</v>
      </c>
      <c r="K220" s="3" t="s">
        <v>57</v>
      </c>
    </row>
    <row r="221" spans="1:11" ht="42" customHeight="1">
      <c r="A221" s="2" t="s">
        <v>836</v>
      </c>
      <c r="B221" s="2" t="s">
        <v>836</v>
      </c>
      <c r="C221" s="2" t="s">
        <v>17</v>
      </c>
      <c r="D221" s="2" t="s">
        <v>72</v>
      </c>
      <c r="E221" s="3" t="s">
        <v>243</v>
      </c>
      <c r="F221" s="3" t="s">
        <v>244</v>
      </c>
      <c r="G221" s="3" t="s">
        <v>541</v>
      </c>
      <c r="H221" s="2" t="s">
        <v>55</v>
      </c>
      <c r="I221" s="2" t="s">
        <v>837</v>
      </c>
      <c r="J221" s="3" t="str">
        <f>HYPERLINK("https://www.boe.es/gazeta/dias/1809/02/17/pdfs/GGB-G-1809-8.pdf#page=8","Abrir facsímil")</f>
        <v>Abrir facsímil</v>
      </c>
      <c r="K221" s="3" t="s">
        <v>57</v>
      </c>
    </row>
    <row r="222" spans="1:11" ht="42" customHeight="1">
      <c r="A222" s="2" t="s">
        <v>836</v>
      </c>
      <c r="B222" s="2" t="s">
        <v>836</v>
      </c>
      <c r="C222" s="2" t="s">
        <v>25</v>
      </c>
      <c r="D222" s="2" t="s">
        <v>26</v>
      </c>
      <c r="E222" s="3" t="s">
        <v>838</v>
      </c>
      <c r="F222" s="3" t="s">
        <v>839</v>
      </c>
      <c r="G222" s="3" t="s">
        <v>75</v>
      </c>
      <c r="H222" s="2" t="s">
        <v>55</v>
      </c>
      <c r="I222" s="2" t="s">
        <v>840</v>
      </c>
      <c r="J222" s="3" t="str">
        <f>HYPERLINK("https://www.boe.es/gazeta/dias/1809/08/03/pdfs/GGB-1809-12.pdf#page=6","Abrir facsímil")</f>
        <v>Abrir facsímil</v>
      </c>
      <c r="K222" s="3" t="s">
        <v>57</v>
      </c>
    </row>
    <row r="223" spans="1:11" ht="42" customHeight="1">
      <c r="A223" s="2" t="s">
        <v>836</v>
      </c>
      <c r="B223" s="2" t="s">
        <v>836</v>
      </c>
      <c r="C223" s="2" t="s">
        <v>47</v>
      </c>
      <c r="D223" s="2" t="s">
        <v>18</v>
      </c>
      <c r="E223" s="3" t="s">
        <v>712</v>
      </c>
      <c r="F223" s="3" t="s">
        <v>713</v>
      </c>
      <c r="G223" s="3" t="s">
        <v>120</v>
      </c>
      <c r="H223" s="2" t="s">
        <v>55</v>
      </c>
      <c r="I223" s="2" t="s">
        <v>841</v>
      </c>
      <c r="J223" s="3" t="str">
        <f>HYPERLINK("https://www.boe.es/gazeta/dias/1809/09/10/pdfs/GMD-1809-254.pdf#page=2","Abrir facsímil")</f>
        <v>Abrir facsímil</v>
      </c>
      <c r="K223" s="3" t="s">
        <v>57</v>
      </c>
    </row>
    <row r="224" spans="1:11" ht="42" customHeight="1">
      <c r="A224" s="2" t="s">
        <v>836</v>
      </c>
      <c r="B224" s="2" t="s">
        <v>836</v>
      </c>
      <c r="C224" s="2" t="s">
        <v>25</v>
      </c>
      <c r="D224" s="2" t="s">
        <v>72</v>
      </c>
      <c r="E224" s="3" t="s">
        <v>143</v>
      </c>
      <c r="F224" s="3" t="s">
        <v>705</v>
      </c>
      <c r="G224" s="3" t="s">
        <v>260</v>
      </c>
      <c r="H224" s="2" t="s">
        <v>55</v>
      </c>
      <c r="I224" s="2" t="s">
        <v>842</v>
      </c>
      <c r="J224" s="3" t="str">
        <f>HYPERLINK("https://www.boe.es/gazeta/dias/1809/11/16/pdfs/GGB-H-1809-462.pdf#page=7","Abrir facsímil")</f>
        <v>Abrir facsímil</v>
      </c>
      <c r="K224" s="3" t="s">
        <v>57</v>
      </c>
    </row>
    <row r="225" spans="1:11" ht="42" customHeight="1">
      <c r="A225" s="2" t="s">
        <v>836</v>
      </c>
      <c r="B225" s="2" t="s">
        <v>836</v>
      </c>
      <c r="C225" s="2" t="s">
        <v>25</v>
      </c>
      <c r="D225" s="2" t="s">
        <v>26</v>
      </c>
      <c r="E225" s="3" t="s">
        <v>216</v>
      </c>
      <c r="F225" s="3" t="s">
        <v>217</v>
      </c>
      <c r="G225" s="3" t="s">
        <v>218</v>
      </c>
      <c r="H225" s="2" t="s">
        <v>55</v>
      </c>
      <c r="I225" s="2" t="s">
        <v>843</v>
      </c>
      <c r="J225" s="3" t="str">
        <f>HYPERLINK("https://www.boe.es/gazeta/dias/1809/12/05/pdfs/GGB-H-1809-542.pdf#page=6","Abrir facsímil")</f>
        <v>Abrir facsímil</v>
      </c>
      <c r="K225" s="3" t="s">
        <v>57</v>
      </c>
    </row>
    <row r="226" spans="1:11" ht="42" customHeight="1">
      <c r="A226" s="2" t="s">
        <v>844</v>
      </c>
      <c r="B226" s="2" t="s">
        <v>845</v>
      </c>
      <c r="C226" s="2" t="s">
        <v>131</v>
      </c>
      <c r="D226" s="2" t="s">
        <v>18</v>
      </c>
      <c r="E226" s="3" t="s">
        <v>305</v>
      </c>
      <c r="F226" s="3" t="s">
        <v>306</v>
      </c>
      <c r="G226" s="3" t="s">
        <v>29</v>
      </c>
      <c r="H226" s="2" t="s">
        <v>55</v>
      </c>
      <c r="I226" s="2" t="s">
        <v>846</v>
      </c>
      <c r="J226" s="3" t="str">
        <f>HYPERLINK("https://www.boe.es/gazeta/dias/1809/10/20/pdfs/GMD-1809-294.pdf#page=3","Abrir facsímil")</f>
        <v>Abrir facsímil</v>
      </c>
      <c r="K226" s="3" t="s">
        <v>57</v>
      </c>
    </row>
    <row r="227" spans="1:11" ht="42" customHeight="1">
      <c r="A227" s="2" t="s">
        <v>847</v>
      </c>
      <c r="B227" s="2" t="s">
        <v>848</v>
      </c>
      <c r="C227" s="2" t="s">
        <v>17</v>
      </c>
      <c r="D227" s="2" t="s">
        <v>18</v>
      </c>
      <c r="E227" s="3" t="s">
        <v>27</v>
      </c>
      <c r="F227" s="3" t="s">
        <v>254</v>
      </c>
      <c r="G227" s="3" t="s">
        <v>239</v>
      </c>
      <c r="H227" s="2" t="s">
        <v>55</v>
      </c>
      <c r="I227" s="2" t="s">
        <v>849</v>
      </c>
      <c r="J227" s="3" t="str">
        <f>HYPERLINK("https://www.boe.es/gazeta/dias/1809/05/12/pdfs/GGB-1809-26.pdf#page=11","Abrir facsímil")</f>
        <v>Abrir facsímil</v>
      </c>
      <c r="K227" s="3" t="s">
        <v>57</v>
      </c>
    </row>
    <row r="228" spans="1:11" ht="42" customHeight="1">
      <c r="A228" s="2" t="s">
        <v>850</v>
      </c>
      <c r="B228" s="2" t="s">
        <v>851</v>
      </c>
      <c r="C228" s="2" t="s">
        <v>131</v>
      </c>
      <c r="D228" s="2" t="s">
        <v>107</v>
      </c>
      <c r="E228" s="3" t="s">
        <v>852</v>
      </c>
      <c r="F228" s="3" t="s">
        <v>853</v>
      </c>
      <c r="G228" s="3" t="s">
        <v>62</v>
      </c>
      <c r="H228" s="2" t="s">
        <v>55</v>
      </c>
      <c r="I228" s="2" t="s">
        <v>854</v>
      </c>
      <c r="J228" s="3" t="str">
        <f>HYPERLINK("https://www.boe.es/gazeta/dias/1809/07/08/pdfs/GMD-1809-189.pdf#page=3","Abrir facsímil")</f>
        <v>Abrir facsímil</v>
      </c>
      <c r="K228" s="3" t="s">
        <v>57</v>
      </c>
    </row>
    <row r="229" spans="1:11" ht="42" customHeight="1">
      <c r="A229" s="2" t="s">
        <v>855</v>
      </c>
      <c r="B229" s="2" t="s">
        <v>855</v>
      </c>
      <c r="C229" s="2" t="s">
        <v>17</v>
      </c>
      <c r="D229" s="2" t="s">
        <v>72</v>
      </c>
      <c r="E229" s="3" t="s">
        <v>243</v>
      </c>
      <c r="F229" s="3" t="s">
        <v>244</v>
      </c>
      <c r="G229" s="3" t="s">
        <v>525</v>
      </c>
      <c r="H229" s="2" t="s">
        <v>55</v>
      </c>
      <c r="I229" s="2" t="s">
        <v>856</v>
      </c>
      <c r="J229" s="3" t="str">
        <f>HYPERLINK("https://www.boe.es/gazeta/dias/1809/02/17/pdfs/GGB-G-1809-8.pdf#page=4","Abrir facsímil")</f>
        <v>Abrir facsímil</v>
      </c>
      <c r="K229" s="3" t="s">
        <v>57</v>
      </c>
    </row>
    <row r="230" spans="1:11" ht="42" customHeight="1">
      <c r="A230" s="2" t="s">
        <v>855</v>
      </c>
      <c r="B230" s="2" t="s">
        <v>855</v>
      </c>
      <c r="C230" s="2" t="s">
        <v>25</v>
      </c>
      <c r="D230" s="2" t="s">
        <v>26</v>
      </c>
      <c r="E230" s="3" t="s">
        <v>857</v>
      </c>
      <c r="F230" s="3" t="s">
        <v>858</v>
      </c>
      <c r="G230" s="3" t="s">
        <v>110</v>
      </c>
      <c r="H230" s="2" t="s">
        <v>55</v>
      </c>
      <c r="I230" s="2" t="s">
        <v>859</v>
      </c>
      <c r="J230" s="3" t="str">
        <f>HYPERLINK("https://www.boe.es/gazeta/dias/1809/05/01/pdfs/GGB-1809-23.pdf#page=2","Abrir facsímil")</f>
        <v>Abrir facsímil</v>
      </c>
      <c r="K230" s="3" t="s">
        <v>57</v>
      </c>
    </row>
    <row r="231" spans="1:11" ht="42" customHeight="1">
      <c r="A231" s="2" t="s">
        <v>855</v>
      </c>
      <c r="B231" s="2" t="s">
        <v>855</v>
      </c>
      <c r="C231" s="2" t="s">
        <v>131</v>
      </c>
      <c r="D231" s="2" t="s">
        <v>26</v>
      </c>
      <c r="E231" s="3" t="s">
        <v>201</v>
      </c>
      <c r="F231" s="3" t="s">
        <v>202</v>
      </c>
      <c r="G231" s="3" t="s">
        <v>186</v>
      </c>
      <c r="H231" s="2" t="s">
        <v>55</v>
      </c>
      <c r="I231" s="2" t="s">
        <v>860</v>
      </c>
      <c r="J231" s="3" t="str">
        <f>HYPERLINK("https://www.boe.es/gazeta/dias/1809/08/15/pdfs/GGB-1809-62.pdf#page=3","Abrir facsímil")</f>
        <v>Abrir facsímil</v>
      </c>
      <c r="K231" s="3" t="s">
        <v>57</v>
      </c>
    </row>
    <row r="232" spans="1:11" ht="42" customHeight="1">
      <c r="A232" s="2" t="s">
        <v>855</v>
      </c>
      <c r="B232" s="2" t="s">
        <v>855</v>
      </c>
      <c r="C232" s="2" t="s">
        <v>25</v>
      </c>
      <c r="D232" s="2" t="s">
        <v>26</v>
      </c>
      <c r="E232" s="3" t="s">
        <v>201</v>
      </c>
      <c r="F232" s="3" t="s">
        <v>202</v>
      </c>
      <c r="G232" s="3" t="s">
        <v>861</v>
      </c>
      <c r="H232" s="2" t="s">
        <v>55</v>
      </c>
      <c r="I232" s="2" t="s">
        <v>862</v>
      </c>
      <c r="J232" s="3" t="str">
        <f>HYPERLINK("https://www.boe.es/gazeta/dias/1809/08/15/pdfs/GGB-1809-62.pdf#page=4","Abrir facsímil")</f>
        <v>Abrir facsímil</v>
      </c>
      <c r="K232" s="3" t="s">
        <v>57</v>
      </c>
    </row>
    <row r="233" spans="1:11" ht="42" customHeight="1">
      <c r="A233" s="2" t="s">
        <v>855</v>
      </c>
      <c r="B233" s="2" t="s">
        <v>855</v>
      </c>
      <c r="C233" s="2" t="s">
        <v>25</v>
      </c>
      <c r="D233" s="2" t="s">
        <v>26</v>
      </c>
      <c r="E233" s="3" t="s">
        <v>627</v>
      </c>
      <c r="F233" s="3" t="s">
        <v>628</v>
      </c>
      <c r="G233" s="3" t="s">
        <v>270</v>
      </c>
      <c r="H233" s="2" t="s">
        <v>55</v>
      </c>
      <c r="I233" s="2" t="s">
        <v>863</v>
      </c>
      <c r="J233" s="3" t="str">
        <f>HYPERLINK("https://www.boe.es/gazeta/dias/1809/08/28/pdfs/GMD-1809-241.pdf#page=3","Abrir facsímil")</f>
        <v>Abrir facsímil</v>
      </c>
      <c r="K233" s="3" t="s">
        <v>57</v>
      </c>
    </row>
    <row r="234" spans="1:11" ht="42" customHeight="1">
      <c r="A234" s="2" t="s">
        <v>855</v>
      </c>
      <c r="B234" s="2" t="s">
        <v>855</v>
      </c>
      <c r="C234" s="2" t="s">
        <v>369</v>
      </c>
      <c r="D234" s="2" t="s">
        <v>18</v>
      </c>
      <c r="E234" s="3" t="s">
        <v>864</v>
      </c>
      <c r="F234" s="3" t="s">
        <v>865</v>
      </c>
      <c r="G234" s="3" t="s">
        <v>225</v>
      </c>
      <c r="H234" s="2" t="s">
        <v>55</v>
      </c>
      <c r="I234" s="2" t="s">
        <v>866</v>
      </c>
      <c r="J234" s="3" t="str">
        <f>HYPERLINK("https://www.boe.es/gazeta/dias/1809/08/31/pdfs/GMD-1809-244.pdf#page=4","Abrir facsímil")</f>
        <v>Abrir facsímil</v>
      </c>
      <c r="K234" s="3" t="s">
        <v>57</v>
      </c>
    </row>
    <row r="235" spans="1:11" ht="42" customHeight="1">
      <c r="A235" s="2" t="s">
        <v>855</v>
      </c>
      <c r="B235" s="2" t="s">
        <v>855</v>
      </c>
      <c r="C235" s="2" t="s">
        <v>17</v>
      </c>
      <c r="D235" s="2" t="s">
        <v>18</v>
      </c>
      <c r="E235" s="3" t="s">
        <v>536</v>
      </c>
      <c r="F235" s="3" t="s">
        <v>537</v>
      </c>
      <c r="G235" s="3" t="s">
        <v>29</v>
      </c>
      <c r="H235" s="2" t="s">
        <v>55</v>
      </c>
      <c r="I235" s="2" t="s">
        <v>867</v>
      </c>
      <c r="J235" s="3" t="str">
        <f>HYPERLINK("https://www.boe.es/gazeta/dias/1809/09/03/pdfs/GMD-1809-247.pdf#page=3","Abrir facsímil")</f>
        <v>Abrir facsímil</v>
      </c>
      <c r="K235" s="3" t="s">
        <v>57</v>
      </c>
    </row>
    <row r="236" spans="1:11" ht="42" customHeight="1">
      <c r="A236" s="2" t="s">
        <v>855</v>
      </c>
      <c r="B236" s="2" t="s">
        <v>855</v>
      </c>
      <c r="C236" s="2" t="s">
        <v>131</v>
      </c>
      <c r="D236" s="2" t="s">
        <v>18</v>
      </c>
      <c r="E236" s="3" t="s">
        <v>868</v>
      </c>
      <c r="F236" s="3" t="s">
        <v>869</v>
      </c>
      <c r="G236" s="3" t="s">
        <v>789</v>
      </c>
      <c r="H236" s="2" t="s">
        <v>55</v>
      </c>
      <c r="I236" s="2" t="s">
        <v>870</v>
      </c>
      <c r="J236" s="3" t="str">
        <f>HYPERLINK("https://www.boe.es/gazeta/dias/1809/09/22/pdfs/GMD-1809-266.pdf#page=3","Abrir facsímil")</f>
        <v>Abrir facsímil</v>
      </c>
      <c r="K236" s="3" t="s">
        <v>57</v>
      </c>
    </row>
    <row r="237" spans="1:11" ht="42" customHeight="1">
      <c r="A237" s="2" t="s">
        <v>855</v>
      </c>
      <c r="B237" s="2" t="s">
        <v>855</v>
      </c>
      <c r="C237" s="2" t="s">
        <v>25</v>
      </c>
      <c r="D237" s="2" t="s">
        <v>72</v>
      </c>
      <c r="E237" s="3" t="s">
        <v>294</v>
      </c>
      <c r="F237" s="3" t="s">
        <v>295</v>
      </c>
      <c r="G237" s="3" t="s">
        <v>154</v>
      </c>
      <c r="H237" s="2" t="s">
        <v>55</v>
      </c>
      <c r="I237" s="2" t="s">
        <v>871</v>
      </c>
      <c r="J237" s="3" t="str">
        <f>HYPERLINK("https://www.boe.es/gazeta/dias/1809/09/30/pdfs/GGB-H-1809-262.pdf#page=3","Abrir facsímil")</f>
        <v>Abrir facsímil</v>
      </c>
      <c r="K237" s="3" t="s">
        <v>57</v>
      </c>
    </row>
    <row r="238" spans="1:11" ht="42" customHeight="1">
      <c r="A238" s="2" t="s">
        <v>855</v>
      </c>
      <c r="B238" s="2" t="s">
        <v>855</v>
      </c>
      <c r="C238" s="2" t="s">
        <v>25</v>
      </c>
      <c r="D238" s="2" t="s">
        <v>40</v>
      </c>
      <c r="E238" s="3" t="s">
        <v>211</v>
      </c>
      <c r="F238" s="3" t="s">
        <v>212</v>
      </c>
      <c r="G238" s="3" t="s">
        <v>872</v>
      </c>
      <c r="H238" s="2" t="s">
        <v>55</v>
      </c>
      <c r="I238" s="2" t="s">
        <v>873</v>
      </c>
      <c r="J238" s="3" t="str">
        <f>HYPERLINK("https://www.boe.es/gazeta/dias/1809/10/27/pdfs/GMD-1809-301.pdf#page=1","Abrir facsímil")</f>
        <v>Abrir facsímil</v>
      </c>
      <c r="K238" s="3" t="s">
        <v>57</v>
      </c>
    </row>
    <row r="239" spans="1:11" ht="42" customHeight="1">
      <c r="A239" s="2" t="s">
        <v>855</v>
      </c>
      <c r="B239" s="2" t="s">
        <v>855</v>
      </c>
      <c r="C239" s="2" t="s">
        <v>25</v>
      </c>
      <c r="D239" s="2" t="s">
        <v>26</v>
      </c>
      <c r="E239" s="3" t="s">
        <v>211</v>
      </c>
      <c r="F239" s="3" t="s">
        <v>212</v>
      </c>
      <c r="G239" s="3" t="s">
        <v>467</v>
      </c>
      <c r="H239" s="2" t="s">
        <v>55</v>
      </c>
      <c r="I239" s="2" t="s">
        <v>874</v>
      </c>
      <c r="J239" s="3" t="str">
        <f>HYPERLINK("https://www.boe.es/gazeta/dias/1809/10/27/pdfs/GMD-1809-301.pdf#page=2","Abrir facsímil")</f>
        <v>Abrir facsímil</v>
      </c>
      <c r="K239" s="3" t="s">
        <v>57</v>
      </c>
    </row>
    <row r="240" spans="1:11" ht="42" customHeight="1">
      <c r="A240" s="2" t="s">
        <v>855</v>
      </c>
      <c r="B240" s="2" t="s">
        <v>855</v>
      </c>
      <c r="C240" s="2" t="s">
        <v>25</v>
      </c>
      <c r="D240" s="2" t="s">
        <v>18</v>
      </c>
      <c r="E240" s="3" t="s">
        <v>211</v>
      </c>
      <c r="F240" s="3" t="s">
        <v>212</v>
      </c>
      <c r="G240" s="3" t="s">
        <v>213</v>
      </c>
      <c r="H240" s="2" t="s">
        <v>55</v>
      </c>
      <c r="I240" s="2" t="s">
        <v>875</v>
      </c>
      <c r="J240" s="3" t="str">
        <f>HYPERLINK("https://www.boe.es/gazeta/dias/1809/10/27/pdfs/GMD-1809-301.pdf#page=4","Abrir facsímil")</f>
        <v>Abrir facsímil</v>
      </c>
      <c r="K240" s="3" t="s">
        <v>57</v>
      </c>
    </row>
    <row r="241" spans="1:11" ht="42" customHeight="1">
      <c r="A241" s="2" t="s">
        <v>855</v>
      </c>
      <c r="B241" s="2" t="s">
        <v>855</v>
      </c>
      <c r="C241" s="2" t="s">
        <v>25</v>
      </c>
      <c r="D241" s="2" t="s">
        <v>26</v>
      </c>
      <c r="E241" s="3" t="s">
        <v>263</v>
      </c>
      <c r="F241" s="3" t="s">
        <v>264</v>
      </c>
      <c r="G241" s="3" t="s">
        <v>154</v>
      </c>
      <c r="H241" s="2" t="s">
        <v>55</v>
      </c>
      <c r="I241" s="2" t="s">
        <v>876</v>
      </c>
      <c r="J241" s="3" t="str">
        <f>HYPERLINK("https://www.boe.es/gazeta/dias/1809/11/21/pdfs/GGB-1809-482.pdf#page=7","Abrir facsímil")</f>
        <v>Abrir facsímil</v>
      </c>
      <c r="K241" s="3" t="s">
        <v>57</v>
      </c>
    </row>
    <row r="242" spans="1:11" ht="42" customHeight="1">
      <c r="A242" s="2" t="s">
        <v>855</v>
      </c>
      <c r="B242" s="2" t="s">
        <v>855</v>
      </c>
      <c r="C242" s="2" t="s">
        <v>25</v>
      </c>
      <c r="D242" s="2" t="s">
        <v>26</v>
      </c>
      <c r="E242" s="3" t="s">
        <v>216</v>
      </c>
      <c r="F242" s="3" t="s">
        <v>217</v>
      </c>
      <c r="G242" s="3" t="s">
        <v>75</v>
      </c>
      <c r="H242" s="2" t="s">
        <v>55</v>
      </c>
      <c r="I242" s="2" t="s">
        <v>877</v>
      </c>
      <c r="J242" s="3" t="str">
        <f>HYPERLINK("https://www.boe.es/gazeta/dias/1809/12/05/pdfs/GGB-H-1809-542.pdf#page=2","Abrir facsímil")</f>
        <v>Abrir facsímil</v>
      </c>
      <c r="K242" s="3" t="s">
        <v>57</v>
      </c>
    </row>
    <row r="243" spans="1:11" ht="42" customHeight="1">
      <c r="A243" s="2" t="s">
        <v>855</v>
      </c>
      <c r="B243" s="2" t="s">
        <v>855</v>
      </c>
      <c r="C243" s="2" t="s">
        <v>25</v>
      </c>
      <c r="D243" s="2" t="s">
        <v>26</v>
      </c>
      <c r="E243" s="3" t="s">
        <v>216</v>
      </c>
      <c r="F243" s="3" t="s">
        <v>217</v>
      </c>
      <c r="G243" s="3" t="s">
        <v>270</v>
      </c>
      <c r="H243" s="2" t="s">
        <v>55</v>
      </c>
      <c r="I243" s="2" t="s">
        <v>878</v>
      </c>
      <c r="J243" s="3" t="str">
        <f>HYPERLINK("https://www.boe.es/gazeta/dias/1809/12/05/pdfs/GGB-H-1809-542.pdf#page=3","Abrir facsímil")</f>
        <v>Abrir facsímil</v>
      </c>
      <c r="K243" s="3" t="s">
        <v>57</v>
      </c>
    </row>
    <row r="244" spans="1:11" ht="42" customHeight="1">
      <c r="A244" s="2" t="s">
        <v>855</v>
      </c>
      <c r="B244" s="2" t="s">
        <v>855</v>
      </c>
      <c r="C244" s="2" t="s">
        <v>25</v>
      </c>
      <c r="D244" s="2" t="s">
        <v>26</v>
      </c>
      <c r="E244" s="3" t="s">
        <v>216</v>
      </c>
      <c r="F244" s="3" t="s">
        <v>217</v>
      </c>
      <c r="G244" s="3" t="s">
        <v>94</v>
      </c>
      <c r="H244" s="2" t="s">
        <v>55</v>
      </c>
      <c r="I244" s="2" t="s">
        <v>879</v>
      </c>
      <c r="J244" s="3" t="str">
        <f>HYPERLINK("https://www.boe.es/gazeta/dias/1809/12/05/pdfs/GGB-H-1809-542.pdf#page=5","Abrir facsímil")</f>
        <v>Abrir facsímil</v>
      </c>
      <c r="K244" s="3" t="s">
        <v>57</v>
      </c>
    </row>
    <row r="245" spans="1:11" ht="42" customHeight="1">
      <c r="A245" s="2" t="s">
        <v>855</v>
      </c>
      <c r="B245" s="2" t="s">
        <v>855</v>
      </c>
      <c r="C245" s="2" t="s">
        <v>25</v>
      </c>
      <c r="D245" s="2" t="s">
        <v>26</v>
      </c>
      <c r="E245" s="3" t="s">
        <v>216</v>
      </c>
      <c r="F245" s="3" t="s">
        <v>217</v>
      </c>
      <c r="G245" s="3" t="s">
        <v>218</v>
      </c>
      <c r="H245" s="2" t="s">
        <v>55</v>
      </c>
      <c r="I245" s="2" t="s">
        <v>880</v>
      </c>
      <c r="J245" s="3" t="str">
        <f>HYPERLINK("https://www.boe.es/gazeta/dias/1809/12/05/pdfs/GGB-H-1809-542.pdf#page=6","Abrir facsímil")</f>
        <v>Abrir facsímil</v>
      </c>
      <c r="K245" s="3" t="s">
        <v>57</v>
      </c>
    </row>
    <row r="246" spans="1:11" ht="42" customHeight="1">
      <c r="A246" s="2" t="s">
        <v>855</v>
      </c>
      <c r="B246" s="2" t="s">
        <v>855</v>
      </c>
      <c r="C246" s="2" t="s">
        <v>25</v>
      </c>
      <c r="D246" s="2" t="s">
        <v>26</v>
      </c>
      <c r="E246" s="3" t="s">
        <v>220</v>
      </c>
      <c r="F246" s="3" t="s">
        <v>221</v>
      </c>
      <c r="G246" s="3" t="s">
        <v>154</v>
      </c>
      <c r="H246" s="2" t="s">
        <v>55</v>
      </c>
      <c r="I246" s="2" t="s">
        <v>881</v>
      </c>
      <c r="J246" s="3" t="str">
        <f>HYPERLINK("https://www.boe.es/gazeta/dias/1809/12/13/pdfs/GMD-1809-348.pdf#page=4","Abrir facsímil")</f>
        <v>Abrir facsímil</v>
      </c>
      <c r="K246" s="3" t="s">
        <v>57</v>
      </c>
    </row>
    <row r="247" spans="1:11" ht="42" customHeight="1">
      <c r="A247" s="2" t="s">
        <v>855</v>
      </c>
      <c r="B247" s="2" t="s">
        <v>855</v>
      </c>
      <c r="C247" s="2" t="s">
        <v>79</v>
      </c>
      <c r="D247" s="2" t="s">
        <v>107</v>
      </c>
      <c r="E247" s="3" t="s">
        <v>223</v>
      </c>
      <c r="F247" s="3" t="s">
        <v>224</v>
      </c>
      <c r="G247" s="3" t="s">
        <v>225</v>
      </c>
      <c r="H247" s="2" t="s">
        <v>55</v>
      </c>
      <c r="I247" s="2" t="s">
        <v>882</v>
      </c>
      <c r="J247" s="3" t="str">
        <f>HYPERLINK("https://www.boe.es/gazeta/dias/1809/12/17/pdfs/GMD-1809-352.pdf#page=4","Abrir facsímil")</f>
        <v>Abrir facsímil</v>
      </c>
      <c r="K247" s="3" t="s">
        <v>57</v>
      </c>
    </row>
    <row r="248" spans="1:11" ht="42" customHeight="1">
      <c r="A248" s="2" t="s">
        <v>855</v>
      </c>
      <c r="B248" s="2" t="s">
        <v>855</v>
      </c>
      <c r="C248" s="2" t="s">
        <v>25</v>
      </c>
      <c r="D248" s="2" t="s">
        <v>26</v>
      </c>
      <c r="E248" s="3" t="s">
        <v>883</v>
      </c>
      <c r="F248" s="3" t="s">
        <v>884</v>
      </c>
      <c r="G248" s="3" t="s">
        <v>21</v>
      </c>
      <c r="H248" s="2" t="s">
        <v>55</v>
      </c>
      <c r="I248" s="2" t="s">
        <v>885</v>
      </c>
      <c r="J248" s="3" t="str">
        <f>HYPERLINK("https://www.boe.es/gazeta/dias/1809/12/21/pdfs/GMD-1809-356.pdf#page=3","Abrir facsímil")</f>
        <v>Abrir facsímil</v>
      </c>
      <c r="K248" s="3" t="s">
        <v>57</v>
      </c>
    </row>
    <row r="249" spans="1:11" ht="42" customHeight="1">
      <c r="A249" s="2" t="s">
        <v>886</v>
      </c>
      <c r="B249" s="2" t="s">
        <v>887</v>
      </c>
      <c r="C249" s="2" t="s">
        <v>25</v>
      </c>
      <c r="D249" s="2" t="s">
        <v>26</v>
      </c>
      <c r="E249" s="3" t="s">
        <v>211</v>
      </c>
      <c r="F249" s="3" t="s">
        <v>212</v>
      </c>
      <c r="G249" s="3" t="s">
        <v>467</v>
      </c>
      <c r="H249" s="2" t="s">
        <v>55</v>
      </c>
      <c r="I249" s="2" t="s">
        <v>888</v>
      </c>
      <c r="J249" s="3" t="str">
        <f>HYPERLINK("https://www.boe.es/gazeta/dias/1809/10/27/pdfs/GMD-1809-301.pdf#page=2","Abrir facsímil")</f>
        <v>Abrir facsímil</v>
      </c>
      <c r="K249" s="3" t="s">
        <v>57</v>
      </c>
    </row>
    <row r="250" spans="1:11" ht="42" customHeight="1">
      <c r="A250" s="2" t="s">
        <v>886</v>
      </c>
      <c r="B250" s="2" t="s">
        <v>887</v>
      </c>
      <c r="C250" s="2" t="s">
        <v>25</v>
      </c>
      <c r="D250" s="2" t="s">
        <v>26</v>
      </c>
      <c r="E250" s="3" t="s">
        <v>216</v>
      </c>
      <c r="F250" s="3" t="s">
        <v>217</v>
      </c>
      <c r="G250" s="3" t="s">
        <v>270</v>
      </c>
      <c r="H250" s="2" t="s">
        <v>55</v>
      </c>
      <c r="I250" s="2" t="s">
        <v>889</v>
      </c>
      <c r="J250" s="3" t="str">
        <f>HYPERLINK("https://www.boe.es/gazeta/dias/1809/12/05/pdfs/GGB-H-1809-542.pdf#page=3","Abrir facsímil")</f>
        <v>Abrir facsímil</v>
      </c>
      <c r="K250" s="3" t="s">
        <v>57</v>
      </c>
    </row>
    <row r="251" spans="1:11" ht="42" customHeight="1">
      <c r="A251" s="2" t="s">
        <v>890</v>
      </c>
      <c r="B251" s="2" t="s">
        <v>891</v>
      </c>
      <c r="C251" s="2" t="s">
        <v>47</v>
      </c>
      <c r="D251" s="2" t="s">
        <v>18</v>
      </c>
      <c r="E251" s="3" t="s">
        <v>211</v>
      </c>
      <c r="F251" s="3" t="s">
        <v>212</v>
      </c>
      <c r="G251" s="3" t="s">
        <v>29</v>
      </c>
      <c r="H251" s="2" t="s">
        <v>55</v>
      </c>
      <c r="I251" s="2" t="s">
        <v>892</v>
      </c>
      <c r="J251" s="3" t="str">
        <f>HYPERLINK("https://www.boe.es/gazeta/dias/1809/10/27/pdfs/GMD-1809-301.pdf#page=3","Abrir facsímil")</f>
        <v>Abrir facsímil</v>
      </c>
      <c r="K251" s="3" t="s">
        <v>57</v>
      </c>
    </row>
    <row r="252" spans="1:11" ht="42" customHeight="1">
      <c r="A252" s="2" t="s">
        <v>890</v>
      </c>
      <c r="B252" s="2" t="s">
        <v>891</v>
      </c>
      <c r="C252" s="2" t="s">
        <v>47</v>
      </c>
      <c r="D252" s="2" t="s">
        <v>18</v>
      </c>
      <c r="E252" s="3" t="s">
        <v>893</v>
      </c>
      <c r="F252" s="3" t="s">
        <v>894</v>
      </c>
      <c r="G252" s="3" t="s">
        <v>225</v>
      </c>
      <c r="H252" s="2" t="s">
        <v>55</v>
      </c>
      <c r="I252" s="2" t="s">
        <v>895</v>
      </c>
      <c r="J252" s="3" t="str">
        <f>HYPERLINK("https://www.boe.es/gazeta/dias/1809/11/02/pdfs/GMD-1809-307.pdf#page=4","Abrir facsímil")</f>
        <v>Abrir facsímil</v>
      </c>
      <c r="K252" s="3" t="s">
        <v>57</v>
      </c>
    </row>
    <row r="253" spans="1:11" ht="42" customHeight="1">
      <c r="A253" s="2" t="s">
        <v>890</v>
      </c>
      <c r="B253" s="2" t="s">
        <v>891</v>
      </c>
      <c r="C253" s="2" t="s">
        <v>25</v>
      </c>
      <c r="D253" s="2" t="s">
        <v>26</v>
      </c>
      <c r="E253" s="3" t="s">
        <v>216</v>
      </c>
      <c r="F253" s="3" t="s">
        <v>217</v>
      </c>
      <c r="G253" s="3" t="s">
        <v>587</v>
      </c>
      <c r="H253" s="2" t="s">
        <v>55</v>
      </c>
      <c r="I253" s="2" t="s">
        <v>896</v>
      </c>
      <c r="J253" s="3" t="str">
        <f>HYPERLINK("https://www.boe.es/gazeta/dias/1809/12/05/pdfs/GGB-H-1809-542.pdf#page=4","Abrir facsímil")</f>
        <v>Abrir facsímil</v>
      </c>
      <c r="K253" s="3" t="s">
        <v>57</v>
      </c>
    </row>
    <row r="254" spans="1:11" ht="42" customHeight="1">
      <c r="A254" s="2" t="s">
        <v>890</v>
      </c>
      <c r="B254" s="2" t="s">
        <v>891</v>
      </c>
      <c r="C254" s="2" t="s">
        <v>25</v>
      </c>
      <c r="D254" s="2" t="s">
        <v>26</v>
      </c>
      <c r="E254" s="3" t="s">
        <v>216</v>
      </c>
      <c r="F254" s="3" t="s">
        <v>217</v>
      </c>
      <c r="G254" s="3" t="s">
        <v>94</v>
      </c>
      <c r="H254" s="2" t="s">
        <v>55</v>
      </c>
      <c r="I254" s="2" t="s">
        <v>897</v>
      </c>
      <c r="J254" s="3" t="str">
        <f>HYPERLINK("https://www.boe.es/gazeta/dias/1809/12/05/pdfs/GGB-H-1809-542.pdf#page=5","Abrir facsímil")</f>
        <v>Abrir facsímil</v>
      </c>
      <c r="K254" s="3" t="s">
        <v>57</v>
      </c>
    </row>
    <row r="255" spans="1:11" ht="42" customHeight="1">
      <c r="A255" s="2" t="s">
        <v>898</v>
      </c>
      <c r="B255" s="2" t="s">
        <v>899</v>
      </c>
      <c r="C255" s="2" t="s">
        <v>25</v>
      </c>
      <c r="D255" s="2" t="s">
        <v>18</v>
      </c>
      <c r="E255" s="3" t="s">
        <v>211</v>
      </c>
      <c r="F255" s="3" t="s">
        <v>212</v>
      </c>
      <c r="G255" s="3" t="s">
        <v>467</v>
      </c>
      <c r="H255" s="2" t="s">
        <v>55</v>
      </c>
      <c r="I255" s="2" t="s">
        <v>900</v>
      </c>
      <c r="J255" s="3" t="str">
        <f>HYPERLINK("https://www.boe.es/gazeta/dias/1809/10/27/pdfs/GMD-1809-301.pdf#page=2","Abrir facsímil")</f>
        <v>Abrir facsímil</v>
      </c>
      <c r="K255" s="3" t="s">
        <v>57</v>
      </c>
    </row>
    <row r="256" spans="1:11" ht="42" customHeight="1">
      <c r="A256" s="2" t="s">
        <v>898</v>
      </c>
      <c r="B256" s="2" t="s">
        <v>899</v>
      </c>
      <c r="C256" s="2" t="s">
        <v>25</v>
      </c>
      <c r="D256" s="2" t="s">
        <v>26</v>
      </c>
      <c r="E256" s="3" t="s">
        <v>216</v>
      </c>
      <c r="F256" s="3" t="s">
        <v>217</v>
      </c>
      <c r="G256" s="3" t="s">
        <v>75</v>
      </c>
      <c r="H256" s="2" t="s">
        <v>55</v>
      </c>
      <c r="I256" s="2" t="s">
        <v>901</v>
      </c>
      <c r="J256" s="3" t="str">
        <f>HYPERLINK("https://www.boe.es/gazeta/dias/1809/12/05/pdfs/GGB-H-1809-542.pdf#page=2","Abrir facsímil")</f>
        <v>Abrir facsímil</v>
      </c>
      <c r="K256" s="3" t="s">
        <v>57</v>
      </c>
    </row>
    <row r="257" spans="1:11" ht="42" customHeight="1">
      <c r="A257" s="2" t="s">
        <v>902</v>
      </c>
      <c r="B257" s="2" t="s">
        <v>903</v>
      </c>
      <c r="C257" s="2" t="s">
        <v>25</v>
      </c>
      <c r="D257" s="2" t="s">
        <v>18</v>
      </c>
      <c r="E257" s="3" t="s">
        <v>904</v>
      </c>
      <c r="F257" s="3" t="s">
        <v>905</v>
      </c>
      <c r="G257" s="3" t="s">
        <v>906</v>
      </c>
      <c r="H257" s="2" t="s">
        <v>55</v>
      </c>
      <c r="I257" s="2" t="s">
        <v>907</v>
      </c>
      <c r="J257" s="3" t="str">
        <f>HYPERLINK("https://www.boe.es/gazeta/dias/1809/07/07/pdfs/GGB-1809-43.pdf#page=8","Abrir facsímil")</f>
        <v>Abrir facsímil</v>
      </c>
      <c r="K257" s="3" t="s">
        <v>57</v>
      </c>
    </row>
    <row r="258" spans="1:11" ht="42" customHeight="1">
      <c r="A258" s="2" t="s">
        <v>908</v>
      </c>
      <c r="B258" s="2" t="s">
        <v>909</v>
      </c>
      <c r="C258" s="2" t="s">
        <v>25</v>
      </c>
      <c r="D258" s="2" t="s">
        <v>26</v>
      </c>
      <c r="E258" s="3" t="s">
        <v>258</v>
      </c>
      <c r="F258" s="3" t="s">
        <v>910</v>
      </c>
      <c r="G258" s="3" t="s">
        <v>693</v>
      </c>
      <c r="H258" s="2" t="s">
        <v>55</v>
      </c>
      <c r="I258" s="2" t="s">
        <v>911</v>
      </c>
      <c r="J258" s="3" t="str">
        <f>HYPERLINK("https://www.boe.es/gazeta/dias/1809/03/17/pdfs/GGB-1809-12.pdf#page=9","Abrir facsímil")</f>
        <v>Abrir facsímil</v>
      </c>
      <c r="K258" s="3" t="s">
        <v>57</v>
      </c>
    </row>
    <row r="259" spans="1:11" ht="42" customHeight="1">
      <c r="A259" s="2" t="s">
        <v>912</v>
      </c>
      <c r="B259" s="2" t="s">
        <v>912</v>
      </c>
      <c r="C259" s="2" t="s">
        <v>17</v>
      </c>
      <c r="D259" s="2" t="s">
        <v>18</v>
      </c>
      <c r="E259" s="3" t="s">
        <v>621</v>
      </c>
      <c r="F259" s="3" t="s">
        <v>913</v>
      </c>
      <c r="G259" s="3" t="s">
        <v>914</v>
      </c>
      <c r="H259" s="2" t="s">
        <v>55</v>
      </c>
      <c r="I259" s="2" t="s">
        <v>915</v>
      </c>
      <c r="J259" s="3" t="str">
        <f>HYPERLINK("https://www.boe.es/gazeta/dias/1809/07/04/pdfs/GMD-1809-185.pdf#page=2","Abrir facsímil")</f>
        <v>Abrir facsímil</v>
      </c>
      <c r="K259" s="3" t="s">
        <v>57</v>
      </c>
    </row>
    <row r="260" spans="1:11" ht="42" customHeight="1">
      <c r="A260" s="2" t="s">
        <v>916</v>
      </c>
      <c r="B260" s="2" t="s">
        <v>917</v>
      </c>
      <c r="C260" s="2" t="s">
        <v>39</v>
      </c>
      <c r="D260" s="2" t="s">
        <v>18</v>
      </c>
      <c r="E260" s="3" t="s">
        <v>904</v>
      </c>
      <c r="F260" s="3" t="s">
        <v>905</v>
      </c>
      <c r="G260" s="3" t="s">
        <v>918</v>
      </c>
      <c r="H260" s="2" t="s">
        <v>55</v>
      </c>
      <c r="I260" s="2" t="s">
        <v>919</v>
      </c>
      <c r="J260" s="3" t="str">
        <f>HYPERLINK("https://www.boe.es/gazeta/dias/1809/07/07/pdfs/GGB-1809-43.pdf#page=12","Abrir facsímil")</f>
        <v>Abrir facsímil</v>
      </c>
      <c r="K260" s="3" t="s">
        <v>57</v>
      </c>
    </row>
    <row r="261" spans="1:11" ht="42" customHeight="1">
      <c r="A261" s="2" t="s">
        <v>920</v>
      </c>
      <c r="B261" s="2" t="s">
        <v>921</v>
      </c>
      <c r="C261" s="2" t="s">
        <v>25</v>
      </c>
      <c r="D261" s="2" t="s">
        <v>26</v>
      </c>
      <c r="E261" s="3" t="s">
        <v>243</v>
      </c>
      <c r="F261" s="3" t="s">
        <v>735</v>
      </c>
      <c r="G261" s="3" t="s">
        <v>736</v>
      </c>
      <c r="H261" s="2" t="s">
        <v>55</v>
      </c>
      <c r="I261" s="2" t="s">
        <v>922</v>
      </c>
      <c r="J261" s="3" t="str">
        <f>HYPERLINK("https://www.boe.es/gazeta/dias/1809/02/17/pdfs/GGB-1809-8.pdf#page=8","Abrir facsímil")</f>
        <v>Abrir facsímil</v>
      </c>
      <c r="K261" s="3" t="s">
        <v>57</v>
      </c>
    </row>
    <row r="262" spans="1:11" ht="42" customHeight="1">
      <c r="A262" s="2" t="s">
        <v>923</v>
      </c>
      <c r="B262" s="2" t="s">
        <v>924</v>
      </c>
      <c r="C262" s="2" t="s">
        <v>47</v>
      </c>
      <c r="D262" s="2" t="s">
        <v>18</v>
      </c>
      <c r="E262" s="3" t="s">
        <v>925</v>
      </c>
      <c r="F262" s="3" t="s">
        <v>926</v>
      </c>
      <c r="G262" s="3" t="s">
        <v>270</v>
      </c>
      <c r="H262" s="2" t="s">
        <v>55</v>
      </c>
      <c r="I262" s="2" t="s">
        <v>927</v>
      </c>
      <c r="J262" s="3" t="str">
        <f>HYPERLINK("https://www.boe.es/gazeta/dias/1809/01/11/pdfs/GGB-1809-2.pdf#page=5","Abrir facsímil")</f>
        <v>Abrir facsímil</v>
      </c>
      <c r="K262" s="3" t="s">
        <v>57</v>
      </c>
    </row>
    <row r="263" spans="1:11" ht="42" customHeight="1">
      <c r="A263" s="2" t="s">
        <v>928</v>
      </c>
      <c r="B263" s="2" t="s">
        <v>929</v>
      </c>
      <c r="C263" s="2" t="s">
        <v>25</v>
      </c>
      <c r="D263" s="2" t="s">
        <v>26</v>
      </c>
      <c r="E263" s="3" t="s">
        <v>143</v>
      </c>
      <c r="F263" s="3" t="s">
        <v>705</v>
      </c>
      <c r="G263" s="3" t="s">
        <v>260</v>
      </c>
      <c r="H263" s="2" t="s">
        <v>55</v>
      </c>
      <c r="I263" s="2" t="s">
        <v>930</v>
      </c>
      <c r="J263" s="3" t="str">
        <f>HYPERLINK("https://www.boe.es/gazeta/dias/1809/11/16/pdfs/GGB-H-1809-462.pdf#page=7","Abrir facsímil")</f>
        <v>Abrir facsímil</v>
      </c>
      <c r="K263" s="3" t="s">
        <v>57</v>
      </c>
    </row>
    <row r="264" spans="1:11" ht="42" customHeight="1">
      <c r="A264" s="2" t="s">
        <v>931</v>
      </c>
      <c r="B264" s="2" t="s">
        <v>932</v>
      </c>
      <c r="C264" s="2" t="s">
        <v>39</v>
      </c>
      <c r="D264" s="2" t="s">
        <v>18</v>
      </c>
      <c r="E264" s="3" t="s">
        <v>933</v>
      </c>
      <c r="F264" s="3" t="s">
        <v>934</v>
      </c>
      <c r="G264" s="3" t="s">
        <v>935</v>
      </c>
      <c r="H264" s="2" t="s">
        <v>55</v>
      </c>
      <c r="I264" s="2" t="s">
        <v>936</v>
      </c>
      <c r="J264" s="3" t="str">
        <f>HYPERLINK("https://www.boe.es/gazeta/dias/1809/10/28/pdfs/GMD-1809-302.pdf#page=4","Abrir facsímil")</f>
        <v>Abrir facsímil</v>
      </c>
      <c r="K264" s="3" t="s">
        <v>57</v>
      </c>
    </row>
    <row r="265" spans="1:11" ht="42" customHeight="1">
      <c r="A265" s="2" t="s">
        <v>937</v>
      </c>
      <c r="B265" s="2" t="s">
        <v>938</v>
      </c>
      <c r="C265" s="2" t="s">
        <v>17</v>
      </c>
      <c r="D265" s="2" t="s">
        <v>40</v>
      </c>
      <c r="E265" s="3" t="s">
        <v>755</v>
      </c>
      <c r="F265" s="3" t="s">
        <v>756</v>
      </c>
      <c r="G265" s="3" t="s">
        <v>525</v>
      </c>
      <c r="H265" s="2" t="s">
        <v>55</v>
      </c>
      <c r="I265" s="2" t="s">
        <v>939</v>
      </c>
      <c r="J265" s="3" t="str">
        <f>HYPERLINK("https://www.boe.es/gazeta/dias/1809/05/20/pdfs/GMD-1809-140.pdf#page=4","Abrir facsímil")</f>
        <v>Abrir facsímil</v>
      </c>
      <c r="K265" s="3" t="s">
        <v>57</v>
      </c>
    </row>
    <row r="266" spans="1:11" ht="42" customHeight="1">
      <c r="A266" s="2" t="s">
        <v>940</v>
      </c>
      <c r="B266" s="2" t="s">
        <v>941</v>
      </c>
      <c r="C266" s="2" t="s">
        <v>79</v>
      </c>
      <c r="D266" s="2" t="s">
        <v>18</v>
      </c>
      <c r="E266" s="3" t="s">
        <v>102</v>
      </c>
      <c r="F266" s="3" t="s">
        <v>103</v>
      </c>
      <c r="G266" s="3" t="s">
        <v>830</v>
      </c>
      <c r="H266" s="2" t="s">
        <v>55</v>
      </c>
      <c r="I266" s="2" t="s">
        <v>942</v>
      </c>
      <c r="J266" s="3" t="str">
        <f>HYPERLINK("https://www.boe.es/gazeta/dias/1809/09/28/pdfs/GGB-1809-252.pdf#page=7","Abrir facsímil")</f>
        <v>Abrir facsímil</v>
      </c>
      <c r="K266" s="3" t="s">
        <v>57</v>
      </c>
    </row>
    <row r="267" spans="1:11" ht="42" customHeight="1">
      <c r="A267" s="2" t="s">
        <v>943</v>
      </c>
      <c r="B267" s="2" t="s">
        <v>944</v>
      </c>
      <c r="C267" s="2" t="s">
        <v>17</v>
      </c>
      <c r="D267" s="2" t="s">
        <v>18</v>
      </c>
      <c r="E267" s="3" t="s">
        <v>33</v>
      </c>
      <c r="F267" s="3" t="s">
        <v>34</v>
      </c>
      <c r="G267" s="3" t="s">
        <v>35</v>
      </c>
      <c r="H267" s="2" t="s">
        <v>55</v>
      </c>
      <c r="I267" s="2" t="s">
        <v>945</v>
      </c>
      <c r="J267" s="3" t="str">
        <f>HYPERLINK("https://www.boe.es/gazeta/dias/1809/12/19/pdfs/GGB-1809-602.pdf#page=5","Abrir facsímil")</f>
        <v>Abrir facsímil</v>
      </c>
      <c r="K267" s="3" t="s">
        <v>57</v>
      </c>
    </row>
    <row r="268" spans="1:11" ht="42" customHeight="1">
      <c r="A268" s="2" t="s">
        <v>946</v>
      </c>
      <c r="B268" s="2" t="s">
        <v>947</v>
      </c>
      <c r="C268" s="2" t="s">
        <v>17</v>
      </c>
      <c r="D268" s="2" t="s">
        <v>18</v>
      </c>
      <c r="E268" s="3" t="s">
        <v>814</v>
      </c>
      <c r="F268" s="3" t="s">
        <v>815</v>
      </c>
      <c r="G268" s="3" t="s">
        <v>948</v>
      </c>
      <c r="H268" s="2" t="s">
        <v>55</v>
      </c>
      <c r="I268" s="2" t="s">
        <v>949</v>
      </c>
      <c r="J268" s="3" t="str">
        <f>HYPERLINK("https://www.boe.es/gazeta/dias/1809/12/09/pdfs/GGB-1809-562.pdf#page=7","Abrir facsímil")</f>
        <v>Abrir facsímil</v>
      </c>
      <c r="K268" s="3" t="s">
        <v>57</v>
      </c>
    </row>
    <row r="269" spans="1:11" ht="42" customHeight="1">
      <c r="A269" s="2" t="s">
        <v>950</v>
      </c>
      <c r="B269" s="2" t="s">
        <v>951</v>
      </c>
      <c r="C269" s="2" t="s">
        <v>17</v>
      </c>
      <c r="D269" s="2" t="s">
        <v>72</v>
      </c>
      <c r="E269" s="3" t="s">
        <v>243</v>
      </c>
      <c r="F269" s="3" t="s">
        <v>244</v>
      </c>
      <c r="G269" s="3" t="s">
        <v>525</v>
      </c>
      <c r="H269" s="2" t="s">
        <v>55</v>
      </c>
      <c r="I269" s="2" t="s">
        <v>952</v>
      </c>
      <c r="J269" s="3" t="str">
        <f>HYPERLINK("https://www.boe.es/gazeta/dias/1809/02/17/pdfs/GGB-G-1809-8.pdf#page=4","Abrir facsímil")</f>
        <v>Abrir facsímil</v>
      </c>
      <c r="K269" s="3" t="s">
        <v>57</v>
      </c>
    </row>
    <row r="270" spans="1:11" ht="42" customHeight="1">
      <c r="A270" s="2" t="s">
        <v>953</v>
      </c>
      <c r="B270" s="2" t="s">
        <v>954</v>
      </c>
      <c r="C270" s="2" t="s">
        <v>17</v>
      </c>
      <c r="D270" s="2" t="s">
        <v>18</v>
      </c>
      <c r="E270" s="3" t="s">
        <v>33</v>
      </c>
      <c r="F270" s="3" t="s">
        <v>34</v>
      </c>
      <c r="G270" s="3" t="s">
        <v>493</v>
      </c>
      <c r="H270" s="2" t="s">
        <v>55</v>
      </c>
      <c r="I270" s="2" t="s">
        <v>955</v>
      </c>
      <c r="J270" s="3" t="str">
        <f>HYPERLINK("https://www.boe.es/gazeta/dias/1809/12/19/pdfs/GGB-1809-602.pdf#page=6","Abrir facsímil")</f>
        <v>Abrir facsímil</v>
      </c>
      <c r="K270" s="3" t="s">
        <v>57</v>
      </c>
    </row>
    <row r="271" spans="1:11" ht="42" customHeight="1">
      <c r="A271" s="2" t="s">
        <v>956</v>
      </c>
      <c r="B271" s="2" t="s">
        <v>956</v>
      </c>
      <c r="C271" s="2" t="s">
        <v>17</v>
      </c>
      <c r="D271" s="2" t="s">
        <v>18</v>
      </c>
      <c r="E271" s="3" t="s">
        <v>957</v>
      </c>
      <c r="F271" s="3" t="s">
        <v>958</v>
      </c>
      <c r="G271" s="3" t="s">
        <v>959</v>
      </c>
      <c r="H271" s="2" t="s">
        <v>55</v>
      </c>
      <c r="I271" s="2" t="s">
        <v>960</v>
      </c>
      <c r="J271" s="3" t="str">
        <f>HYPERLINK("https://www.boe.es/gazeta/dias/1809/02/27/pdfs/GMD-1809-58.pdf#page=1","Abrir facsímil")</f>
        <v>Abrir facsímil</v>
      </c>
      <c r="K271" s="3" t="s">
        <v>57</v>
      </c>
    </row>
    <row r="272" spans="1:11" ht="42" customHeight="1">
      <c r="A272" s="2" t="s">
        <v>961</v>
      </c>
      <c r="B272" s="2" t="s">
        <v>961</v>
      </c>
      <c r="C272" s="2" t="s">
        <v>39</v>
      </c>
      <c r="D272" s="2" t="s">
        <v>18</v>
      </c>
      <c r="E272" s="3" t="s">
        <v>421</v>
      </c>
      <c r="F272" s="3" t="s">
        <v>962</v>
      </c>
      <c r="G272" s="3" t="s">
        <v>75</v>
      </c>
      <c r="H272" s="2" t="s">
        <v>55</v>
      </c>
      <c r="I272" s="2" t="s">
        <v>963</v>
      </c>
      <c r="J272" s="3" t="str">
        <f>HYPERLINK("https://www.boe.es/gazeta/dias/1809/04/28/pdfs/GGB-1809-22.pdf#page=2","Abrir facsímil")</f>
        <v>Abrir facsímil</v>
      </c>
      <c r="K272" s="3" t="s">
        <v>57</v>
      </c>
    </row>
    <row r="273" spans="1:11" ht="42" customHeight="1">
      <c r="A273" s="2" t="s">
        <v>964</v>
      </c>
      <c r="B273" s="2" t="s">
        <v>965</v>
      </c>
      <c r="C273" s="2" t="s">
        <v>25</v>
      </c>
      <c r="D273" s="2" t="s">
        <v>80</v>
      </c>
      <c r="E273" s="3" t="s">
        <v>179</v>
      </c>
      <c r="F273" s="3" t="s">
        <v>180</v>
      </c>
      <c r="G273" s="3" t="s">
        <v>966</v>
      </c>
      <c r="H273" s="2" t="s">
        <v>55</v>
      </c>
      <c r="I273" s="2" t="s">
        <v>967</v>
      </c>
      <c r="J273" s="3" t="str">
        <f>HYPERLINK("https://www.boe.es/gazeta/dias/1809/12/08/pdfs/GGB-1809-552E.pdf#page=3","Abrir facsímil")</f>
        <v>Abrir facsímil</v>
      </c>
      <c r="K273" s="3" t="s">
        <v>57</v>
      </c>
    </row>
    <row r="274" spans="1:11" ht="42" customHeight="1">
      <c r="A274" s="2" t="s">
        <v>968</v>
      </c>
      <c r="B274" s="2" t="s">
        <v>968</v>
      </c>
      <c r="C274" s="2" t="s">
        <v>25</v>
      </c>
      <c r="D274" s="2" t="s">
        <v>18</v>
      </c>
      <c r="E274" s="3" t="s">
        <v>969</v>
      </c>
      <c r="F274" s="3" t="s">
        <v>970</v>
      </c>
      <c r="G274" s="3" t="s">
        <v>823</v>
      </c>
      <c r="H274" s="2" t="s">
        <v>55</v>
      </c>
      <c r="I274" s="2" t="s">
        <v>971</v>
      </c>
      <c r="J274" s="3" t="str">
        <f>HYPERLINK("https://www.boe.es/gazeta/dias/1809/09/19/pdfs/GGB-1809-212.pdf#page=7","Abrir facsímil")</f>
        <v>Abrir facsímil</v>
      </c>
      <c r="K274" s="3" t="s">
        <v>57</v>
      </c>
    </row>
    <row r="275" spans="1:11" ht="42" customHeight="1">
      <c r="A275" s="2" t="s">
        <v>972</v>
      </c>
      <c r="B275" s="2" t="s">
        <v>973</v>
      </c>
      <c r="C275" s="2" t="s">
        <v>47</v>
      </c>
      <c r="D275" s="2" t="s">
        <v>40</v>
      </c>
      <c r="E275" s="3" t="s">
        <v>974</v>
      </c>
      <c r="F275" s="3" t="s">
        <v>975</v>
      </c>
      <c r="G275" s="3" t="s">
        <v>595</v>
      </c>
      <c r="H275" s="2" t="s">
        <v>55</v>
      </c>
      <c r="I275" s="2" t="s">
        <v>976</v>
      </c>
      <c r="J275" s="3" t="str">
        <f>HYPERLINK("https://www.boe.es/gazeta/dias/1809/11/14/pdfs/GGB-1809-452.pdf#page=7","Abrir facsímil")</f>
        <v>Abrir facsímil</v>
      </c>
      <c r="K275" s="3" t="s">
        <v>57</v>
      </c>
    </row>
    <row r="276" spans="1:11" ht="42" customHeight="1">
      <c r="A276" s="2" t="s">
        <v>977</v>
      </c>
      <c r="B276" s="2" t="s">
        <v>978</v>
      </c>
      <c r="C276" s="2" t="s">
        <v>17</v>
      </c>
      <c r="D276" s="2" t="s">
        <v>18</v>
      </c>
      <c r="E276" s="3" t="s">
        <v>712</v>
      </c>
      <c r="F276" s="3" t="s">
        <v>713</v>
      </c>
      <c r="G276" s="3" t="s">
        <v>120</v>
      </c>
      <c r="H276" s="2" t="s">
        <v>55</v>
      </c>
      <c r="I276" s="2" t="s">
        <v>979</v>
      </c>
      <c r="J276" s="3" t="str">
        <f>HYPERLINK("https://www.boe.es/gazeta/dias/1809/09/10/pdfs/GMD-1809-254.pdf#page=2","Abrir facsímil")</f>
        <v>Abrir facsímil</v>
      </c>
      <c r="K276" s="3" t="s">
        <v>57</v>
      </c>
    </row>
    <row r="277" spans="1:11" ht="42" customHeight="1">
      <c r="A277" s="2" t="s">
        <v>980</v>
      </c>
      <c r="B277" s="2" t="s">
        <v>981</v>
      </c>
      <c r="C277" s="2" t="s">
        <v>17</v>
      </c>
      <c r="D277" s="2" t="s">
        <v>18</v>
      </c>
      <c r="E277" s="3" t="s">
        <v>33</v>
      </c>
      <c r="F277" s="3" t="s">
        <v>34</v>
      </c>
      <c r="G277" s="3" t="s">
        <v>493</v>
      </c>
      <c r="H277" s="2" t="s">
        <v>55</v>
      </c>
      <c r="I277" s="2" t="s">
        <v>982</v>
      </c>
      <c r="J277" s="3" t="str">
        <f>HYPERLINK("https://www.boe.es/gazeta/dias/1809/12/19/pdfs/GGB-1809-602.pdf#page=6","Abrir facsímil")</f>
        <v>Abrir facsímil</v>
      </c>
      <c r="K277" s="3" t="s">
        <v>57</v>
      </c>
    </row>
    <row r="278" spans="1:11" ht="42" customHeight="1">
      <c r="A278" s="2" t="s">
        <v>983</v>
      </c>
      <c r="B278" s="2" t="s">
        <v>984</v>
      </c>
      <c r="C278" s="2" t="s">
        <v>17</v>
      </c>
      <c r="D278" s="2" t="s">
        <v>18</v>
      </c>
      <c r="E278" s="3" t="s">
        <v>985</v>
      </c>
      <c r="F278" s="3" t="s">
        <v>986</v>
      </c>
      <c r="G278" s="3" t="s">
        <v>225</v>
      </c>
      <c r="H278" s="2" t="s">
        <v>55</v>
      </c>
      <c r="I278" s="2" t="s">
        <v>987</v>
      </c>
      <c r="J278" s="3" t="str">
        <f>HYPERLINK("https://www.boe.es/gazeta/dias/1809/04/06/pdfs/GMD-1809-96.pdf#page=4","Abrir facsímil")</f>
        <v>Abrir facsímil</v>
      </c>
      <c r="K278" s="3" t="s">
        <v>57</v>
      </c>
    </row>
    <row r="279" spans="1:11" ht="42" customHeight="1">
      <c r="A279" s="2" t="s">
        <v>988</v>
      </c>
      <c r="B279" s="2" t="s">
        <v>989</v>
      </c>
      <c r="C279" s="2" t="s">
        <v>17</v>
      </c>
      <c r="D279" s="2" t="s">
        <v>80</v>
      </c>
      <c r="E279" s="3" t="s">
        <v>179</v>
      </c>
      <c r="F279" s="3" t="s">
        <v>180</v>
      </c>
      <c r="G279" s="3" t="s">
        <v>966</v>
      </c>
      <c r="H279" s="2" t="s">
        <v>55</v>
      </c>
      <c r="I279" s="2" t="s">
        <v>990</v>
      </c>
      <c r="J279" s="3" t="str">
        <f>HYPERLINK("https://www.boe.es/gazeta/dias/1809/12/08/pdfs/GGB-1809-552E.pdf#page=3","Abrir facsímil")</f>
        <v>Abrir facsímil</v>
      </c>
      <c r="K279" s="3" t="s">
        <v>57</v>
      </c>
    </row>
    <row r="280" spans="1:11" ht="42" customHeight="1">
      <c r="A280" s="2" t="s">
        <v>991</v>
      </c>
      <c r="B280" s="2" t="s">
        <v>991</v>
      </c>
      <c r="C280" s="2" t="s">
        <v>25</v>
      </c>
      <c r="D280" s="2" t="s">
        <v>26</v>
      </c>
      <c r="E280" s="3" t="s">
        <v>616</v>
      </c>
      <c r="F280" s="3" t="s">
        <v>617</v>
      </c>
      <c r="G280" s="3" t="s">
        <v>75</v>
      </c>
      <c r="H280" s="2" t="s">
        <v>55</v>
      </c>
      <c r="I280" s="2" t="s">
        <v>992</v>
      </c>
      <c r="J280" s="3" t="str">
        <f>HYPERLINK("https://www.boe.es/gazeta/dias/1809/10/15/pdfs/GMD-1809-289.pdf#page=2","Abrir facsímil")</f>
        <v>Abrir facsímil</v>
      </c>
      <c r="K280" s="3" t="s">
        <v>57</v>
      </c>
    </row>
    <row r="281" spans="1:11" ht="42" customHeight="1">
      <c r="A281" s="2" t="s">
        <v>993</v>
      </c>
      <c r="B281" s="2" t="s">
        <v>994</v>
      </c>
      <c r="C281" s="2" t="s">
        <v>25</v>
      </c>
      <c r="D281" s="2" t="s">
        <v>72</v>
      </c>
      <c r="E281" s="3" t="s">
        <v>143</v>
      </c>
      <c r="F281" s="3" t="s">
        <v>705</v>
      </c>
      <c r="G281" s="3" t="s">
        <v>110</v>
      </c>
      <c r="H281" s="2" t="s">
        <v>55</v>
      </c>
      <c r="I281" s="2" t="s">
        <v>995</v>
      </c>
      <c r="J281" s="3" t="str">
        <f>HYPERLINK("https://www.boe.es/gazeta/dias/1809/11/16/pdfs/GGB-H-1809-462.pdf#page=3","Abrir facsímil")</f>
        <v>Abrir facsímil</v>
      </c>
      <c r="K281" s="3" t="s">
        <v>57</v>
      </c>
    </row>
    <row r="282" spans="1:11" ht="42" customHeight="1">
      <c r="A282" s="2" t="s">
        <v>996</v>
      </c>
      <c r="B282" s="2" t="s">
        <v>997</v>
      </c>
      <c r="C282" s="2" t="s">
        <v>369</v>
      </c>
      <c r="D282" s="2" t="s">
        <v>18</v>
      </c>
      <c r="E282" s="3" t="s">
        <v>87</v>
      </c>
      <c r="F282" s="3" t="s">
        <v>88</v>
      </c>
      <c r="G282" s="3" t="s">
        <v>998</v>
      </c>
      <c r="H282" s="2" t="s">
        <v>55</v>
      </c>
      <c r="I282" s="2" t="s">
        <v>999</v>
      </c>
      <c r="J282" s="3" t="str">
        <f>HYPERLINK("https://www.boe.es/gazeta/dias/1809/02/15/pdfs/GMD-1809-46.pdf#page=2","Abrir facsímil")</f>
        <v>Abrir facsímil</v>
      </c>
      <c r="K282" s="3" t="s">
        <v>57</v>
      </c>
    </row>
    <row r="283" spans="1:11" ht="42" customHeight="1">
      <c r="A283" s="2" t="s">
        <v>1000</v>
      </c>
      <c r="B283" s="2" t="s">
        <v>1001</v>
      </c>
      <c r="C283" s="2" t="s">
        <v>17</v>
      </c>
      <c r="D283" s="2" t="s">
        <v>72</v>
      </c>
      <c r="E283" s="3" t="s">
        <v>720</v>
      </c>
      <c r="F283" s="3" t="s">
        <v>721</v>
      </c>
      <c r="G283" s="3" t="s">
        <v>62</v>
      </c>
      <c r="H283" s="2" t="s">
        <v>55</v>
      </c>
      <c r="I283" s="2" t="s">
        <v>1002</v>
      </c>
      <c r="J283" s="3" t="str">
        <f>HYPERLINK("https://www.boe.es/gazeta/dias/1809/01/27/pdfs/GGB-G-1809-5.pdf#page=8","Abrir facsímil")</f>
        <v>Abrir facsímil</v>
      </c>
      <c r="K283" s="3" t="s">
        <v>57</v>
      </c>
    </row>
    <row r="284" spans="1:11" ht="42" customHeight="1">
      <c r="A284" s="2" t="s">
        <v>1003</v>
      </c>
      <c r="B284" s="2" t="s">
        <v>1004</v>
      </c>
      <c r="C284" s="2" t="s">
        <v>25</v>
      </c>
      <c r="D284" s="2" t="s">
        <v>26</v>
      </c>
      <c r="E284" s="3" t="s">
        <v>143</v>
      </c>
      <c r="F284" s="3" t="s">
        <v>705</v>
      </c>
      <c r="G284" s="3" t="s">
        <v>260</v>
      </c>
      <c r="H284" s="2" t="s">
        <v>55</v>
      </c>
      <c r="I284" s="2" t="s">
        <v>1005</v>
      </c>
      <c r="J284" s="3" t="str">
        <f>HYPERLINK("https://www.boe.es/gazeta/dias/1809/11/16/pdfs/GGB-H-1809-462.pdf#page=7","Abrir facsímil")</f>
        <v>Abrir facsímil</v>
      </c>
      <c r="K284" s="3" t="s">
        <v>57</v>
      </c>
    </row>
    <row r="285" spans="1:11" ht="42" customHeight="1">
      <c r="A285" s="2" t="s">
        <v>1006</v>
      </c>
      <c r="B285" s="2" t="s">
        <v>1006</v>
      </c>
      <c r="C285" s="2" t="s">
        <v>25</v>
      </c>
      <c r="D285" s="2" t="s">
        <v>26</v>
      </c>
      <c r="E285" s="3" t="s">
        <v>1007</v>
      </c>
      <c r="F285" s="3" t="s">
        <v>1008</v>
      </c>
      <c r="G285" s="3" t="s">
        <v>467</v>
      </c>
      <c r="H285" s="2" t="s">
        <v>55</v>
      </c>
      <c r="I285" s="2" t="s">
        <v>1009</v>
      </c>
      <c r="J285" s="3" t="str">
        <f>HYPERLINK("https://www.boe.es/gazeta/dias/1809/04/14/pdfs/GMD-1809-104.pdf#page=3","Abrir facsímil")</f>
        <v>Abrir facsímil</v>
      </c>
      <c r="K285" s="3" t="s">
        <v>57</v>
      </c>
    </row>
    <row r="286" spans="1:11" ht="42" customHeight="1">
      <c r="A286" s="2" t="s">
        <v>1010</v>
      </c>
      <c r="B286" s="2" t="s">
        <v>1010</v>
      </c>
      <c r="C286" s="2" t="s">
        <v>25</v>
      </c>
      <c r="D286" s="2" t="s">
        <v>18</v>
      </c>
      <c r="E286" s="3" t="s">
        <v>1011</v>
      </c>
      <c r="F286" s="3" t="s">
        <v>1012</v>
      </c>
      <c r="G286" s="3" t="s">
        <v>1013</v>
      </c>
      <c r="H286" s="2" t="s">
        <v>55</v>
      </c>
      <c r="I286" s="2" t="s">
        <v>1014</v>
      </c>
      <c r="J286" s="3" t="str">
        <f>HYPERLINK("https://www.boe.es/gazeta/dias/1809/08/01/pdfs/GGB-1809-50.pdf#page=4","Abrir facsímil")</f>
        <v>Abrir facsímil</v>
      </c>
      <c r="K286" s="3" t="s">
        <v>57</v>
      </c>
    </row>
    <row r="287" spans="1:11" ht="42" customHeight="1">
      <c r="A287" s="2" t="s">
        <v>1010</v>
      </c>
      <c r="B287" s="2" t="s">
        <v>1010</v>
      </c>
      <c r="C287" s="2" t="s">
        <v>25</v>
      </c>
      <c r="D287" s="2" t="s">
        <v>18</v>
      </c>
      <c r="E287" s="3" t="s">
        <v>73</v>
      </c>
      <c r="F287" s="3" t="s">
        <v>822</v>
      </c>
      <c r="G287" s="3" t="s">
        <v>1015</v>
      </c>
      <c r="H287" s="2" t="s">
        <v>55</v>
      </c>
      <c r="I287" s="2" t="s">
        <v>1016</v>
      </c>
      <c r="J287" s="3" t="str">
        <f>HYPERLINK("https://www.boe.es/gazeta/dias/1809/09/21/pdfs/GGB-1809-222.pdf#page=1","Abrir facsímil")</f>
        <v>Abrir facsímil</v>
      </c>
      <c r="K287" s="3" t="s">
        <v>57</v>
      </c>
    </row>
    <row r="288" spans="1:11" ht="42" customHeight="1">
      <c r="A288" s="2" t="s">
        <v>1010</v>
      </c>
      <c r="B288" s="2" t="s">
        <v>1010</v>
      </c>
      <c r="C288" s="2" t="s">
        <v>25</v>
      </c>
      <c r="D288" s="2" t="s">
        <v>107</v>
      </c>
      <c r="E288" s="3" t="s">
        <v>893</v>
      </c>
      <c r="F288" s="3" t="s">
        <v>894</v>
      </c>
      <c r="G288" s="3" t="s">
        <v>1017</v>
      </c>
      <c r="H288" s="2" t="s">
        <v>55</v>
      </c>
      <c r="I288" s="2" t="s">
        <v>1018</v>
      </c>
      <c r="J288" s="3" t="str">
        <f>HYPERLINK("https://www.boe.es/gazeta/dias/1809/11/02/pdfs/GMD-1809-307.pdf#page=2","Abrir facsímil")</f>
        <v>Abrir facsímil</v>
      </c>
      <c r="K288" s="3" t="s">
        <v>57</v>
      </c>
    </row>
    <row r="289" spans="1:11" ht="42" customHeight="1">
      <c r="A289" s="2" t="s">
        <v>1019</v>
      </c>
      <c r="B289" s="2" t="s">
        <v>1020</v>
      </c>
      <c r="C289" s="2" t="s">
        <v>369</v>
      </c>
      <c r="D289" s="2" t="s">
        <v>18</v>
      </c>
      <c r="E289" s="3" t="s">
        <v>196</v>
      </c>
      <c r="F289" s="3" t="s">
        <v>197</v>
      </c>
      <c r="G289" s="3" t="s">
        <v>198</v>
      </c>
      <c r="H289" s="2" t="s">
        <v>55</v>
      </c>
      <c r="I289" s="2" t="s">
        <v>1021</v>
      </c>
      <c r="J289" s="3" t="str">
        <f>HYPERLINK("https://www.boe.es/gazeta/dias/1809/09/04/pdfs/GMD-1809-248.pdf#page=3","Abrir facsímil")</f>
        <v>Abrir facsímil</v>
      </c>
      <c r="K289" s="3" t="s">
        <v>57</v>
      </c>
    </row>
    <row r="290" spans="1:11" ht="42" customHeight="1">
      <c r="A290" s="2" t="s">
        <v>1022</v>
      </c>
      <c r="B290" s="2" t="s">
        <v>1023</v>
      </c>
      <c r="C290" s="2" t="s">
        <v>25</v>
      </c>
      <c r="D290" s="2" t="s">
        <v>26</v>
      </c>
      <c r="E290" s="3" t="s">
        <v>232</v>
      </c>
      <c r="F290" s="3" t="s">
        <v>233</v>
      </c>
      <c r="G290" s="3" t="s">
        <v>234</v>
      </c>
      <c r="H290" s="2" t="s">
        <v>55</v>
      </c>
      <c r="I290" s="2" t="s">
        <v>1024</v>
      </c>
      <c r="J290" s="3" t="str">
        <f>HYPERLINK("https://www.boe.es/gazeta/dias/1809/06/04/pdfs/GMD-1809-155.pdf#page=4","Abrir facsímil")</f>
        <v>Abrir facsímil</v>
      </c>
      <c r="K290" s="3" t="s">
        <v>57</v>
      </c>
    </row>
    <row r="291" spans="1:11" ht="42" customHeight="1">
      <c r="A291" s="2" t="s">
        <v>1025</v>
      </c>
      <c r="B291" s="2" t="s">
        <v>1025</v>
      </c>
      <c r="C291" s="2" t="s">
        <v>79</v>
      </c>
      <c r="D291" s="2" t="s">
        <v>18</v>
      </c>
      <c r="E291" s="3" t="s">
        <v>263</v>
      </c>
      <c r="F291" s="3" t="s">
        <v>1026</v>
      </c>
      <c r="G291" s="3" t="s">
        <v>1027</v>
      </c>
      <c r="H291" s="2" t="s">
        <v>55</v>
      </c>
      <c r="I291" s="2" t="s">
        <v>1028</v>
      </c>
      <c r="J291" s="3" t="str">
        <f>HYPERLINK("https://www.boe.es/gazeta/dias/1809/11/21/pdfs/GMD-1809-326.pdf#page=1","Abrir facsímil")</f>
        <v>Abrir facsímil</v>
      </c>
      <c r="K291" s="3" t="s">
        <v>57</v>
      </c>
    </row>
    <row r="292" spans="1:11" ht="42" customHeight="1">
      <c r="A292" s="2" t="s">
        <v>1029</v>
      </c>
      <c r="B292" s="2" t="s">
        <v>1029</v>
      </c>
      <c r="C292" s="2" t="s">
        <v>25</v>
      </c>
      <c r="D292" s="2" t="s">
        <v>18</v>
      </c>
      <c r="E292" s="3" t="s">
        <v>347</v>
      </c>
      <c r="F292" s="3" t="s">
        <v>348</v>
      </c>
      <c r="G292" s="3" t="s">
        <v>349</v>
      </c>
      <c r="H292" s="2" t="s">
        <v>55</v>
      </c>
      <c r="I292" s="2" t="s">
        <v>1030</v>
      </c>
      <c r="J292" s="3" t="str">
        <f>HYPERLINK("https://www.boe.es/gazeta/dias/1809/03/07/pdfs/GMD-1809-66.pdf#page=3","Abrir facsímil")</f>
        <v>Abrir facsímil</v>
      </c>
      <c r="K292" s="3" t="s">
        <v>57</v>
      </c>
    </row>
    <row r="293" spans="1:11" ht="42" customHeight="1">
      <c r="A293" s="2" t="s">
        <v>1031</v>
      </c>
      <c r="B293" s="2" t="s">
        <v>1032</v>
      </c>
      <c r="C293" s="2" t="s">
        <v>17</v>
      </c>
      <c r="D293" s="2" t="s">
        <v>18</v>
      </c>
      <c r="E293" s="3" t="s">
        <v>567</v>
      </c>
      <c r="F293" s="3" t="s">
        <v>568</v>
      </c>
      <c r="G293" s="3" t="s">
        <v>569</v>
      </c>
      <c r="H293" s="2" t="s">
        <v>55</v>
      </c>
      <c r="I293" s="2" t="s">
        <v>1033</v>
      </c>
      <c r="J293" s="3" t="str">
        <f>HYPERLINK("https://www.boe.es/gazeta/dias/1809/06/03/pdfs/GMD-1809-154.pdf#page=3","Abrir facsímil")</f>
        <v>Abrir facsímil</v>
      </c>
      <c r="K293" s="3" t="s">
        <v>57</v>
      </c>
    </row>
    <row r="294" spans="1:11" ht="42" customHeight="1">
      <c r="A294" s="2" t="s">
        <v>1034</v>
      </c>
      <c r="B294" s="2" t="s">
        <v>1035</v>
      </c>
      <c r="C294" s="2" t="s">
        <v>17</v>
      </c>
      <c r="D294" s="2" t="s">
        <v>18</v>
      </c>
      <c r="E294" s="3" t="s">
        <v>243</v>
      </c>
      <c r="F294" s="3" t="s">
        <v>735</v>
      </c>
      <c r="G294" s="3" t="s">
        <v>736</v>
      </c>
      <c r="H294" s="2" t="s">
        <v>55</v>
      </c>
      <c r="I294" s="2" t="s">
        <v>1036</v>
      </c>
      <c r="J294" s="3" t="str">
        <f>HYPERLINK("https://www.boe.es/gazeta/dias/1809/02/17/pdfs/GGB-1809-8.pdf#page=8","Abrir facsímil")</f>
        <v>Abrir facsímil</v>
      </c>
      <c r="K294" s="3" t="s">
        <v>57</v>
      </c>
    </row>
    <row r="295" spans="1:11" ht="42" customHeight="1">
      <c r="A295" s="2" t="s">
        <v>1037</v>
      </c>
      <c r="B295" s="2" t="s">
        <v>1038</v>
      </c>
      <c r="C295" s="2" t="s">
        <v>17</v>
      </c>
      <c r="D295" s="2" t="s">
        <v>18</v>
      </c>
      <c r="E295" s="3" t="s">
        <v>243</v>
      </c>
      <c r="F295" s="3" t="s">
        <v>735</v>
      </c>
      <c r="G295" s="3" t="s">
        <v>736</v>
      </c>
      <c r="H295" s="2" t="s">
        <v>55</v>
      </c>
      <c r="I295" s="2" t="s">
        <v>1039</v>
      </c>
      <c r="J295" s="3" t="str">
        <f>HYPERLINK("https://www.boe.es/gazeta/dias/1809/02/17/pdfs/GGB-1809-8.pdf#page=8","Abrir facsímil")</f>
        <v>Abrir facsímil</v>
      </c>
      <c r="K295" s="3" t="s">
        <v>57</v>
      </c>
    </row>
    <row r="296" spans="1:11" ht="42" customHeight="1">
      <c r="A296" s="2" t="s">
        <v>1040</v>
      </c>
      <c r="B296" s="2" t="s">
        <v>1041</v>
      </c>
      <c r="C296" s="2" t="s">
        <v>17</v>
      </c>
      <c r="D296" s="2" t="s">
        <v>18</v>
      </c>
      <c r="E296" s="3" t="s">
        <v>243</v>
      </c>
      <c r="F296" s="3" t="s">
        <v>735</v>
      </c>
      <c r="G296" s="3" t="s">
        <v>736</v>
      </c>
      <c r="H296" s="2" t="s">
        <v>55</v>
      </c>
      <c r="I296" s="2" t="s">
        <v>1042</v>
      </c>
      <c r="J296" s="3" t="str">
        <f>HYPERLINK("https://www.boe.es/gazeta/dias/1809/02/17/pdfs/GGB-1809-8.pdf#page=8","Abrir facsímil")</f>
        <v>Abrir facsímil</v>
      </c>
      <c r="K296" s="3" t="s">
        <v>57</v>
      </c>
    </row>
    <row r="297" spans="1:11" ht="42" customHeight="1">
      <c r="A297" s="2" t="s">
        <v>1043</v>
      </c>
      <c r="B297" s="2" t="s">
        <v>1044</v>
      </c>
      <c r="C297" s="2" t="s">
        <v>17</v>
      </c>
      <c r="D297" s="2" t="s">
        <v>18</v>
      </c>
      <c r="E297" s="3" t="s">
        <v>73</v>
      </c>
      <c r="F297" s="3" t="s">
        <v>1045</v>
      </c>
      <c r="G297" s="3" t="s">
        <v>89</v>
      </c>
      <c r="H297" s="2" t="s">
        <v>55</v>
      </c>
      <c r="I297" s="2" t="s">
        <v>1046</v>
      </c>
      <c r="J297" s="3" t="str">
        <f>HYPERLINK("https://www.boe.es/gazeta/dias/1809/09/21/pdfs/GMD-1809-265.pdf#page=3","Abrir facsímil")</f>
        <v>Abrir facsímil</v>
      </c>
      <c r="K297" s="3" t="s">
        <v>57</v>
      </c>
    </row>
    <row r="298" spans="1:11" ht="42" customHeight="1">
      <c r="A298" s="2" t="s">
        <v>1047</v>
      </c>
      <c r="B298" s="2" t="s">
        <v>1047</v>
      </c>
      <c r="C298" s="2" t="s">
        <v>25</v>
      </c>
      <c r="D298" s="2" t="s">
        <v>107</v>
      </c>
      <c r="E298" s="3" t="s">
        <v>1048</v>
      </c>
      <c r="F298" s="3" t="s">
        <v>1049</v>
      </c>
      <c r="G298" s="3" t="s">
        <v>736</v>
      </c>
      <c r="H298" s="2" t="s">
        <v>55</v>
      </c>
      <c r="I298" s="2" t="s">
        <v>1050</v>
      </c>
      <c r="J298" s="3" t="str">
        <f>HYPERLINK("https://www.boe.es/gazeta/dias/1809/08/10/pdfs/GGB-1809-42.pdf#page=2","Abrir facsímil")</f>
        <v>Abrir facsímil</v>
      </c>
      <c r="K298" s="3" t="s">
        <v>57</v>
      </c>
    </row>
    <row r="299" spans="1:11" ht="42" customHeight="1">
      <c r="A299" s="2" t="s">
        <v>1047</v>
      </c>
      <c r="B299" s="2" t="s">
        <v>1047</v>
      </c>
      <c r="C299" s="2" t="s">
        <v>25</v>
      </c>
      <c r="D299" s="2" t="s">
        <v>26</v>
      </c>
      <c r="E299" s="3" t="s">
        <v>649</v>
      </c>
      <c r="F299" s="3" t="s">
        <v>650</v>
      </c>
      <c r="G299" s="3" t="s">
        <v>651</v>
      </c>
      <c r="H299" s="2" t="s">
        <v>55</v>
      </c>
      <c r="I299" s="2" t="s">
        <v>1051</v>
      </c>
      <c r="J299" s="3" t="str">
        <f>HYPERLINK("https://www.boe.es/gazeta/dias/1809/10/08/pdfs/GMD-1809-282.pdf#page=2","Abrir facsímil")</f>
        <v>Abrir facsímil</v>
      </c>
      <c r="K299" s="3" t="s">
        <v>57</v>
      </c>
    </row>
    <row r="300" spans="1:11" ht="42" customHeight="1">
      <c r="A300" s="2" t="s">
        <v>1052</v>
      </c>
      <c r="B300" s="2" t="s">
        <v>1052</v>
      </c>
      <c r="C300" s="2" t="s">
        <v>25</v>
      </c>
      <c r="D300" s="2" t="s">
        <v>18</v>
      </c>
      <c r="E300" s="3" t="s">
        <v>1053</v>
      </c>
      <c r="F300" s="3" t="s">
        <v>1054</v>
      </c>
      <c r="G300" s="3" t="s">
        <v>120</v>
      </c>
      <c r="H300" s="2" t="s">
        <v>55</v>
      </c>
      <c r="I300" s="2" t="s">
        <v>1055</v>
      </c>
      <c r="J300" s="3" t="str">
        <f>HYPERLINK("https://www.boe.es/gazeta/dias/1809/05/13/pdfs/GMD-1809-133.pdf#page=1","Abrir facsímil")</f>
        <v>Abrir facsímil</v>
      </c>
      <c r="K300" s="3" t="s">
        <v>57</v>
      </c>
    </row>
    <row r="301" spans="1:11" ht="42" customHeight="1">
      <c r="A301" s="2" t="s">
        <v>1052</v>
      </c>
      <c r="B301" s="2" t="s">
        <v>1052</v>
      </c>
      <c r="C301" s="2" t="s">
        <v>25</v>
      </c>
      <c r="D301" s="2" t="s">
        <v>18</v>
      </c>
      <c r="E301" s="3" t="s">
        <v>749</v>
      </c>
      <c r="F301" s="3" t="s">
        <v>750</v>
      </c>
      <c r="G301" s="3" t="s">
        <v>1056</v>
      </c>
      <c r="H301" s="2" t="s">
        <v>55</v>
      </c>
      <c r="I301" s="2" t="s">
        <v>1057</v>
      </c>
      <c r="J301" s="3" t="str">
        <f>HYPERLINK("https://www.boe.es/gazeta/dias/1809/05/19/pdfs/GGB-1809-29.pdf#page=7","Abrir facsímil")</f>
        <v>Abrir facsímil</v>
      </c>
      <c r="K301" s="3" t="s">
        <v>57</v>
      </c>
    </row>
    <row r="302" spans="1:11" ht="42" customHeight="1">
      <c r="A302" s="2" t="s">
        <v>1058</v>
      </c>
      <c r="B302" s="2" t="s">
        <v>1059</v>
      </c>
      <c r="C302" s="2" t="s">
        <v>369</v>
      </c>
      <c r="D302" s="2" t="s">
        <v>18</v>
      </c>
      <c r="E302" s="3" t="s">
        <v>87</v>
      </c>
      <c r="F302" s="3" t="s">
        <v>88</v>
      </c>
      <c r="G302" s="3" t="s">
        <v>89</v>
      </c>
      <c r="H302" s="2" t="s">
        <v>55</v>
      </c>
      <c r="I302" s="2" t="s">
        <v>1060</v>
      </c>
      <c r="J302" s="3" t="str">
        <f>HYPERLINK("https://www.boe.es/gazeta/dias/1809/02/15/pdfs/GMD-1809-46.pdf#page=4","Abrir facsímil")</f>
        <v>Abrir facsímil</v>
      </c>
      <c r="K302" s="3" t="s">
        <v>57</v>
      </c>
    </row>
    <row r="303" spans="1:11" ht="42" customHeight="1">
      <c r="A303" s="2" t="s">
        <v>1061</v>
      </c>
      <c r="B303" s="2" t="s">
        <v>1062</v>
      </c>
      <c r="C303" s="2" t="s">
        <v>25</v>
      </c>
      <c r="D303" s="2" t="s">
        <v>26</v>
      </c>
      <c r="E303" s="3" t="s">
        <v>712</v>
      </c>
      <c r="F303" s="3" t="s">
        <v>713</v>
      </c>
      <c r="G303" s="3" t="s">
        <v>154</v>
      </c>
      <c r="H303" s="2" t="s">
        <v>55</v>
      </c>
      <c r="I303" s="2" t="s">
        <v>1063</v>
      </c>
      <c r="J303" s="3" t="str">
        <f>HYPERLINK("https://www.boe.es/gazeta/dias/1809/09/10/pdfs/GMD-1809-254.pdf#page=3","Abrir facsímil")</f>
        <v>Abrir facsímil</v>
      </c>
      <c r="K303" s="3" t="s">
        <v>57</v>
      </c>
    </row>
    <row r="304" spans="1:11" ht="42" customHeight="1">
      <c r="A304" s="2" t="s">
        <v>1064</v>
      </c>
      <c r="B304" s="2" t="s">
        <v>1065</v>
      </c>
      <c r="C304" s="2" t="s">
        <v>25</v>
      </c>
      <c r="D304" s="2" t="s">
        <v>26</v>
      </c>
      <c r="E304" s="3" t="s">
        <v>167</v>
      </c>
      <c r="F304" s="3" t="s">
        <v>168</v>
      </c>
      <c r="G304" s="3" t="s">
        <v>169</v>
      </c>
      <c r="H304" s="2" t="s">
        <v>55</v>
      </c>
      <c r="I304" s="2" t="s">
        <v>1066</v>
      </c>
      <c r="J304" s="3" t="str">
        <f>HYPERLINK("https://www.boe.es/gazeta/dias/1809/06/19/pdfs/GGB-1809-38.pdf#page=11","Abrir facsímil")</f>
        <v>Abrir facsímil</v>
      </c>
      <c r="K304" s="3" t="s">
        <v>57</v>
      </c>
    </row>
    <row r="305" spans="1:11" ht="42" customHeight="1">
      <c r="A305" s="2" t="s">
        <v>1067</v>
      </c>
      <c r="B305" s="2" t="s">
        <v>1068</v>
      </c>
      <c r="C305" s="2" t="s">
        <v>25</v>
      </c>
      <c r="D305" s="2" t="s">
        <v>26</v>
      </c>
      <c r="E305" s="3" t="s">
        <v>1069</v>
      </c>
      <c r="F305" s="3" t="s">
        <v>1070</v>
      </c>
      <c r="G305" s="3" t="s">
        <v>225</v>
      </c>
      <c r="H305" s="2" t="s">
        <v>55</v>
      </c>
      <c r="I305" s="2" t="s">
        <v>1071</v>
      </c>
      <c r="J305" s="3" t="str">
        <f>HYPERLINK("https://www.boe.es/gazeta/dias/1809/04/26/pdfs/GMD-1809-116.pdf#page=4","Abrir facsímil")</f>
        <v>Abrir facsímil</v>
      </c>
      <c r="K305" s="3" t="s">
        <v>57</v>
      </c>
    </row>
    <row r="306" spans="1:11" ht="42" customHeight="1">
      <c r="A306" s="2" t="s">
        <v>1072</v>
      </c>
      <c r="B306" s="2" t="s">
        <v>1072</v>
      </c>
      <c r="C306" s="2" t="s">
        <v>17</v>
      </c>
      <c r="D306" s="2" t="s">
        <v>18</v>
      </c>
      <c r="E306" s="3" t="s">
        <v>1073</v>
      </c>
      <c r="F306" s="3" t="s">
        <v>1074</v>
      </c>
      <c r="G306" s="3" t="s">
        <v>270</v>
      </c>
      <c r="H306" s="2" t="s">
        <v>55</v>
      </c>
      <c r="I306" s="2" t="s">
        <v>1075</v>
      </c>
      <c r="J306" s="3" t="str">
        <f>HYPERLINK("https://www.boe.es/gazeta/dias/1809/01/13/pdfs/GMD-1809-13.pdf#page=3","Abrir facsímil")</f>
        <v>Abrir facsímil</v>
      </c>
      <c r="K306" s="3" t="s">
        <v>57</v>
      </c>
    </row>
    <row r="307" spans="1:11" ht="42" customHeight="1">
      <c r="A307" s="2" t="s">
        <v>1072</v>
      </c>
      <c r="B307" s="2" t="s">
        <v>1072</v>
      </c>
      <c r="C307" s="2" t="s">
        <v>17</v>
      </c>
      <c r="D307" s="2" t="s">
        <v>18</v>
      </c>
      <c r="E307" s="3" t="s">
        <v>1076</v>
      </c>
      <c r="F307" s="3" t="s">
        <v>1074</v>
      </c>
      <c r="G307" s="3" t="s">
        <v>270</v>
      </c>
      <c r="H307" s="2" t="s">
        <v>55</v>
      </c>
      <c r="I307" s="2" t="s">
        <v>1075</v>
      </c>
      <c r="J307" s="3" t="str">
        <f>HYPERLINK("https://www.boe.es/gazeta/dias/1809/04/13/pdfs/GMD-1809-13.pdf#page=3","Abrir facsímil")</f>
        <v>Abrir facsímil</v>
      </c>
      <c r="K307" s="3" t="s">
        <v>57</v>
      </c>
    </row>
    <row r="308" spans="1:11" ht="42" customHeight="1">
      <c r="A308" s="2" t="s">
        <v>1077</v>
      </c>
      <c r="B308" s="2" t="s">
        <v>1077</v>
      </c>
      <c r="C308" s="2" t="s">
        <v>25</v>
      </c>
      <c r="D308" s="2" t="s">
        <v>18</v>
      </c>
      <c r="E308" s="3" t="s">
        <v>739</v>
      </c>
      <c r="F308" s="3" t="s">
        <v>740</v>
      </c>
      <c r="G308" s="3" t="s">
        <v>62</v>
      </c>
      <c r="H308" s="2" t="s">
        <v>55</v>
      </c>
      <c r="I308" s="2" t="s">
        <v>1078</v>
      </c>
      <c r="J308" s="3" t="str">
        <f>HYPERLINK("https://www.boe.es/gazeta/dias/1809/05/08/pdfs/GMD-1809-128.pdf#page=2","Abrir facsímil")</f>
        <v>Abrir facsímil</v>
      </c>
      <c r="K308" s="3" t="s">
        <v>57</v>
      </c>
    </row>
    <row r="309" spans="1:11" ht="42" customHeight="1">
      <c r="A309" s="2" t="s">
        <v>1079</v>
      </c>
      <c r="B309" s="2" t="s">
        <v>1079</v>
      </c>
      <c r="C309" s="2" t="s">
        <v>25</v>
      </c>
      <c r="D309" s="2" t="s">
        <v>18</v>
      </c>
      <c r="E309" s="3" t="s">
        <v>1080</v>
      </c>
      <c r="F309" s="3" t="s">
        <v>1081</v>
      </c>
      <c r="G309" s="3" t="s">
        <v>234</v>
      </c>
      <c r="H309" s="2" t="s">
        <v>55</v>
      </c>
      <c r="I309" s="2" t="s">
        <v>1082</v>
      </c>
      <c r="J309" s="3" t="str">
        <f>HYPERLINK("https://www.boe.es/gazeta/dias/1809/10/23/pdfs/GMD-1809-297.pdf#page=2","Abrir facsímil")</f>
        <v>Abrir facsímil</v>
      </c>
      <c r="K309" s="3" t="s">
        <v>57</v>
      </c>
    </row>
    <row r="310" spans="1:11" ht="42" customHeight="1">
      <c r="A310" s="2" t="s">
        <v>1083</v>
      </c>
      <c r="B310" s="2" t="s">
        <v>1083</v>
      </c>
      <c r="C310" s="2" t="s">
        <v>131</v>
      </c>
      <c r="D310" s="2" t="s">
        <v>107</v>
      </c>
      <c r="E310" s="3" t="s">
        <v>1084</v>
      </c>
      <c r="F310" s="3" t="s">
        <v>1085</v>
      </c>
      <c r="G310" s="3" t="s">
        <v>234</v>
      </c>
      <c r="H310" s="2" t="s">
        <v>55</v>
      </c>
      <c r="I310" s="2" t="s">
        <v>1086</v>
      </c>
      <c r="J310" s="3" t="str">
        <f>HYPERLINK("https://www.boe.es/gazeta/dias/1809/01/01/pdfs/GMD-1809-1.pdf#page=1","Abrir facsímil")</f>
        <v>Abrir facsímil</v>
      </c>
      <c r="K310" s="3" t="s">
        <v>57</v>
      </c>
    </row>
    <row r="311" spans="1:11" ht="42" customHeight="1">
      <c r="A311" s="2" t="s">
        <v>1087</v>
      </c>
      <c r="B311" s="2" t="s">
        <v>1087</v>
      </c>
      <c r="C311" s="2" t="s">
        <v>25</v>
      </c>
      <c r="D311" s="2" t="s">
        <v>18</v>
      </c>
      <c r="E311" s="3" t="s">
        <v>548</v>
      </c>
      <c r="F311" s="3" t="s">
        <v>549</v>
      </c>
      <c r="G311" s="3" t="s">
        <v>773</v>
      </c>
      <c r="H311" s="2" t="s">
        <v>55</v>
      </c>
      <c r="I311" s="2" t="s">
        <v>1088</v>
      </c>
      <c r="J311" s="3" t="str">
        <f>HYPERLINK("https://www.boe.es/gazeta/dias/1809/03/12/pdfs/GMD-1809-71.pdf#page=1","Abrir facsímil")</f>
        <v>Abrir facsímil</v>
      </c>
      <c r="K311" s="3" t="s">
        <v>57</v>
      </c>
    </row>
    <row r="312" spans="1:11" ht="42" customHeight="1">
      <c r="A312" s="2" t="s">
        <v>1089</v>
      </c>
      <c r="B312" s="2" t="s">
        <v>1090</v>
      </c>
      <c r="C312" s="2" t="s">
        <v>17</v>
      </c>
      <c r="D312" s="2" t="s">
        <v>18</v>
      </c>
      <c r="E312" s="3" t="s">
        <v>102</v>
      </c>
      <c r="F312" s="3" t="s">
        <v>103</v>
      </c>
      <c r="G312" s="3" t="s">
        <v>1091</v>
      </c>
      <c r="H312" s="2" t="s">
        <v>55</v>
      </c>
      <c r="I312" s="2" t="s">
        <v>1092</v>
      </c>
      <c r="J312" s="3" t="str">
        <f>HYPERLINK("https://www.boe.es/gazeta/dias/1809/09/28/pdfs/GGB-1809-252.pdf#page=6","Abrir facsímil")</f>
        <v>Abrir facsímil</v>
      </c>
      <c r="K312" s="3" t="s">
        <v>57</v>
      </c>
    </row>
    <row r="313" spans="1:11" ht="42" customHeight="1">
      <c r="A313" s="2" t="s">
        <v>1093</v>
      </c>
      <c r="B313" s="2" t="s">
        <v>1094</v>
      </c>
      <c r="C313" s="2" t="s">
        <v>17</v>
      </c>
      <c r="D313" s="2" t="s">
        <v>18</v>
      </c>
      <c r="E313" s="3" t="s">
        <v>102</v>
      </c>
      <c r="F313" s="3" t="s">
        <v>1095</v>
      </c>
      <c r="G313" s="3" t="s">
        <v>29</v>
      </c>
      <c r="H313" s="2" t="s">
        <v>55</v>
      </c>
      <c r="I313" s="2" t="s">
        <v>1096</v>
      </c>
      <c r="J313" s="3" t="str">
        <f>HYPERLINK("https://www.boe.es/gazeta/dias/1809/09/28/pdfs/GMD-1809-272.pdf#page=3","Abrir facsímil")</f>
        <v>Abrir facsímil</v>
      </c>
      <c r="K313" s="3" t="s">
        <v>57</v>
      </c>
    </row>
    <row r="314" spans="1:11" ht="42" customHeight="1">
      <c r="A314" s="2" t="s">
        <v>1097</v>
      </c>
      <c r="B314" s="2" t="s">
        <v>1097</v>
      </c>
      <c r="C314" s="2" t="s">
        <v>17</v>
      </c>
      <c r="D314" s="2" t="s">
        <v>18</v>
      </c>
      <c r="E314" s="3" t="s">
        <v>1098</v>
      </c>
      <c r="F314" s="3" t="s">
        <v>1099</v>
      </c>
      <c r="G314" s="3" t="s">
        <v>1100</v>
      </c>
      <c r="H314" s="2" t="s">
        <v>55</v>
      </c>
      <c r="I314" s="2" t="s">
        <v>1101</v>
      </c>
      <c r="J314" s="3" t="str">
        <f>HYPERLINK("https://www.boe.es/gazeta/dias/1809/03/23/pdfs/GMD-1809-82.pdf#page=3","Abrir facsímil")</f>
        <v>Abrir facsímil</v>
      </c>
      <c r="K314" s="3" t="s">
        <v>57</v>
      </c>
    </row>
    <row r="315" spans="1:11" ht="42" customHeight="1">
      <c r="A315" s="2" t="s">
        <v>1102</v>
      </c>
      <c r="B315" s="2" t="s">
        <v>1103</v>
      </c>
      <c r="C315" s="2" t="s">
        <v>369</v>
      </c>
      <c r="D315" s="2" t="s">
        <v>18</v>
      </c>
      <c r="E315" s="3" t="s">
        <v>1098</v>
      </c>
      <c r="F315" s="3" t="s">
        <v>1099</v>
      </c>
      <c r="G315" s="3" t="s">
        <v>62</v>
      </c>
      <c r="H315" s="2" t="s">
        <v>55</v>
      </c>
      <c r="I315" s="2" t="s">
        <v>1104</v>
      </c>
      <c r="J315" s="3" t="str">
        <f>HYPERLINK("https://www.boe.es/gazeta/dias/1809/03/23/pdfs/GMD-1809-82.pdf#page=4","Abrir facsímil")</f>
        <v>Abrir facsímil</v>
      </c>
      <c r="K315" s="3" t="s">
        <v>57</v>
      </c>
    </row>
    <row r="316" spans="1:11" ht="42" customHeight="1">
      <c r="A316" s="2" t="s">
        <v>1105</v>
      </c>
      <c r="B316" s="2" t="s">
        <v>1106</v>
      </c>
      <c r="C316" s="2" t="s">
        <v>17</v>
      </c>
      <c r="D316" s="2" t="s">
        <v>18</v>
      </c>
      <c r="E316" s="3" t="s">
        <v>33</v>
      </c>
      <c r="F316" s="3" t="s">
        <v>34</v>
      </c>
      <c r="G316" s="3" t="s">
        <v>493</v>
      </c>
      <c r="H316" s="2" t="s">
        <v>55</v>
      </c>
      <c r="I316" s="2" t="s">
        <v>1107</v>
      </c>
      <c r="J316" s="3" t="str">
        <f>HYPERLINK("https://www.boe.es/gazeta/dias/1809/12/19/pdfs/GGB-1809-602.pdf#page=6","Abrir facsímil")</f>
        <v>Abrir facsímil</v>
      </c>
      <c r="K316" s="3" t="s">
        <v>57</v>
      </c>
    </row>
    <row r="317" spans="1:11" ht="42" customHeight="1">
      <c r="A317" s="2" t="s">
        <v>1108</v>
      </c>
      <c r="B317" s="2" t="s">
        <v>1109</v>
      </c>
      <c r="C317" s="2" t="s">
        <v>25</v>
      </c>
      <c r="D317" s="2" t="s">
        <v>18</v>
      </c>
      <c r="E317" s="3" t="s">
        <v>1110</v>
      </c>
      <c r="F317" s="3" t="s">
        <v>1111</v>
      </c>
      <c r="G317" s="3" t="s">
        <v>1112</v>
      </c>
      <c r="H317" s="2" t="s">
        <v>55</v>
      </c>
      <c r="I317" s="2" t="s">
        <v>1113</v>
      </c>
      <c r="J317" s="3" t="str">
        <f>HYPERLINK("https://www.boe.es/gazeta/dias/1809/06/20/pdfs/GMD-1809-171.pdf#page=3","Abrir facsímil")</f>
        <v>Abrir facsímil</v>
      </c>
      <c r="K317" s="3" t="s">
        <v>57</v>
      </c>
    </row>
    <row r="318" spans="1:11" ht="42" customHeight="1">
      <c r="A318" s="2" t="s">
        <v>1114</v>
      </c>
      <c r="B318" s="2" t="s">
        <v>1114</v>
      </c>
      <c r="C318" s="2" t="s">
        <v>25</v>
      </c>
      <c r="D318" s="2" t="s">
        <v>18</v>
      </c>
      <c r="E318" s="3" t="s">
        <v>211</v>
      </c>
      <c r="F318" s="3" t="s">
        <v>212</v>
      </c>
      <c r="G318" s="3" t="s">
        <v>467</v>
      </c>
      <c r="H318" s="2" t="s">
        <v>55</v>
      </c>
      <c r="I318" s="2" t="s">
        <v>1115</v>
      </c>
      <c r="J318" s="3" t="str">
        <f>HYPERLINK("https://www.boe.es/gazeta/dias/1809/10/27/pdfs/GMD-1809-301.pdf#page=2","Abrir facsímil")</f>
        <v>Abrir facsímil</v>
      </c>
      <c r="K318" s="3" t="s">
        <v>57</v>
      </c>
    </row>
    <row r="319" spans="1:11" ht="42" customHeight="1">
      <c r="A319" s="2" t="s">
        <v>1116</v>
      </c>
      <c r="B319" s="2" t="s">
        <v>1116</v>
      </c>
      <c r="C319" s="2" t="s">
        <v>17</v>
      </c>
      <c r="D319" s="2" t="s">
        <v>18</v>
      </c>
      <c r="E319" s="3" t="s">
        <v>1117</v>
      </c>
      <c r="F319" s="3" t="s">
        <v>1118</v>
      </c>
      <c r="G319" s="3" t="s">
        <v>239</v>
      </c>
      <c r="H319" s="2" t="s">
        <v>55</v>
      </c>
      <c r="I319" s="2" t="s">
        <v>1119</v>
      </c>
      <c r="J319" s="3" t="str">
        <f>HYPERLINK("https://www.boe.es/gazeta/dias/1809/11/04/pdfs/GGB-1809-412.pdf#page=7","Abrir facsímil")</f>
        <v>Abrir facsímil</v>
      </c>
      <c r="K319" s="3" t="s">
        <v>57</v>
      </c>
    </row>
    <row r="320" spans="1:11" ht="42" customHeight="1">
      <c r="A320" s="2" t="s">
        <v>1120</v>
      </c>
      <c r="B320" s="2" t="s">
        <v>1120</v>
      </c>
      <c r="C320" s="2" t="s">
        <v>25</v>
      </c>
      <c r="D320" s="2" t="s">
        <v>26</v>
      </c>
      <c r="E320" s="3" t="s">
        <v>248</v>
      </c>
      <c r="F320" s="3" t="s">
        <v>249</v>
      </c>
      <c r="G320" s="3" t="s">
        <v>110</v>
      </c>
      <c r="H320" s="2" t="s">
        <v>55</v>
      </c>
      <c r="I320" s="2" t="s">
        <v>1121</v>
      </c>
      <c r="J320" s="3" t="str">
        <f>HYPERLINK("https://www.boe.es/gazeta/dias/1809/07/26/pdfs/GGB-1809-48E.pdf#page=2","Abrir facsímil")</f>
        <v>Abrir facsímil</v>
      </c>
      <c r="K320" s="3" t="s">
        <v>57</v>
      </c>
    </row>
    <row r="321" spans="1:11" ht="42" customHeight="1">
      <c r="A321" s="2" t="s">
        <v>1122</v>
      </c>
      <c r="B321" s="2" t="s">
        <v>1122</v>
      </c>
      <c r="C321" s="2" t="s">
        <v>17</v>
      </c>
      <c r="D321" s="2" t="s">
        <v>18</v>
      </c>
      <c r="E321" s="3" t="s">
        <v>1123</v>
      </c>
      <c r="F321" s="3" t="s">
        <v>1124</v>
      </c>
      <c r="G321" s="3" t="s">
        <v>154</v>
      </c>
      <c r="H321" s="2" t="s">
        <v>55</v>
      </c>
      <c r="I321" s="2" t="s">
        <v>1125</v>
      </c>
      <c r="J321" s="3" t="str">
        <f>HYPERLINK("https://www.boe.es/gazeta/dias/1809/01/08/pdfs/GMD-1809-8.pdf#page=2","Abrir facsímil")</f>
        <v>Abrir facsímil</v>
      </c>
      <c r="K321" s="3" t="s">
        <v>57</v>
      </c>
    </row>
    <row r="322" spans="1:11" ht="42" customHeight="1">
      <c r="A322" s="2" t="s">
        <v>1122</v>
      </c>
      <c r="B322" s="2" t="s">
        <v>1122</v>
      </c>
      <c r="C322" s="2" t="s">
        <v>25</v>
      </c>
      <c r="D322" s="2" t="s">
        <v>26</v>
      </c>
      <c r="E322" s="3" t="s">
        <v>1126</v>
      </c>
      <c r="F322" s="3" t="s">
        <v>1127</v>
      </c>
      <c r="G322" s="3" t="s">
        <v>29</v>
      </c>
      <c r="H322" s="2" t="s">
        <v>55</v>
      </c>
      <c r="I322" s="2" t="s">
        <v>1128</v>
      </c>
      <c r="J322" s="3" t="str">
        <f>HYPERLINK("https://www.boe.es/gazeta/dias/1809/06/30/pdfs/GMD-1809-181.pdf#page=3","Abrir facsímil")</f>
        <v>Abrir facsímil</v>
      </c>
      <c r="K322" s="3" t="s">
        <v>57</v>
      </c>
    </row>
    <row r="323" spans="1:11" ht="42" customHeight="1">
      <c r="A323" s="2" t="s">
        <v>1122</v>
      </c>
      <c r="B323" s="2" t="s">
        <v>1122</v>
      </c>
      <c r="C323" s="2" t="s">
        <v>25</v>
      </c>
      <c r="D323" s="2" t="s">
        <v>26</v>
      </c>
      <c r="E323" s="3" t="s">
        <v>1129</v>
      </c>
      <c r="F323" s="3" t="s">
        <v>1130</v>
      </c>
      <c r="G323" s="3" t="s">
        <v>959</v>
      </c>
      <c r="H323" s="2" t="s">
        <v>55</v>
      </c>
      <c r="I323" s="2" t="s">
        <v>1131</v>
      </c>
      <c r="J323" s="3" t="str">
        <f>HYPERLINK("https://www.boe.es/gazeta/dias/1809/08/17/pdfs/GGB-1809-72.pdf#page=6","Abrir facsímil")</f>
        <v>Abrir facsímil</v>
      </c>
      <c r="K323" s="3" t="s">
        <v>57</v>
      </c>
    </row>
    <row r="324" spans="1:11" ht="42" customHeight="1">
      <c r="A324" s="2" t="s">
        <v>1122</v>
      </c>
      <c r="B324" s="2" t="s">
        <v>1122</v>
      </c>
      <c r="C324" s="2" t="s">
        <v>25</v>
      </c>
      <c r="D324" s="2" t="s">
        <v>107</v>
      </c>
      <c r="E324" s="3" t="s">
        <v>1132</v>
      </c>
      <c r="F324" s="3" t="s">
        <v>1133</v>
      </c>
      <c r="G324" s="3" t="s">
        <v>1134</v>
      </c>
      <c r="H324" s="2" t="s">
        <v>55</v>
      </c>
      <c r="I324" s="2" t="s">
        <v>1135</v>
      </c>
      <c r="J324" s="3" t="str">
        <f>HYPERLINK("https://www.boe.es/gazeta/dias/1809/11/11/pdfs/GGB-1809-442.pdf#page=5","Abrir facsímil")</f>
        <v>Abrir facsímil</v>
      </c>
      <c r="K324" s="3" t="s">
        <v>57</v>
      </c>
    </row>
    <row r="325" spans="1:11" ht="42" customHeight="1">
      <c r="A325" s="2" t="s">
        <v>1136</v>
      </c>
      <c r="B325" s="2" t="s">
        <v>1136</v>
      </c>
      <c r="C325" s="2" t="s">
        <v>25</v>
      </c>
      <c r="D325" s="2" t="s">
        <v>26</v>
      </c>
      <c r="E325" s="3" t="s">
        <v>739</v>
      </c>
      <c r="F325" s="3" t="s">
        <v>1137</v>
      </c>
      <c r="G325" s="3" t="s">
        <v>1138</v>
      </c>
      <c r="H325" s="2" t="s">
        <v>55</v>
      </c>
      <c r="I325" s="2" t="s">
        <v>1139</v>
      </c>
      <c r="J325" s="3" t="str">
        <f>HYPERLINK("https://www.boe.es/gazeta/dias/1809/05/08/pdfs/GGB-1809-25.pdf#page=1","Abrir facsímil")</f>
        <v>Abrir facsímil</v>
      </c>
      <c r="K325" s="3" t="s">
        <v>57</v>
      </c>
    </row>
    <row r="326" spans="1:11" ht="42" customHeight="1">
      <c r="A326" s="2" t="s">
        <v>1140</v>
      </c>
      <c r="B326" s="2" t="s">
        <v>1140</v>
      </c>
      <c r="C326" s="2" t="s">
        <v>17</v>
      </c>
      <c r="D326" s="2" t="s">
        <v>18</v>
      </c>
      <c r="E326" s="3" t="s">
        <v>1141</v>
      </c>
      <c r="F326" s="3" t="s">
        <v>1142</v>
      </c>
      <c r="G326" s="3" t="s">
        <v>129</v>
      </c>
      <c r="H326" s="2" t="s">
        <v>55</v>
      </c>
      <c r="I326" s="2" t="s">
        <v>1143</v>
      </c>
      <c r="J326" s="3" t="str">
        <f>HYPERLINK("https://www.boe.es/gazeta/dias/1809/03/02/pdfs/GMD-1809-61.pdf#page=2","Abrir facsímil")</f>
        <v>Abrir facsímil</v>
      </c>
      <c r="K326" s="3" t="s">
        <v>57</v>
      </c>
    </row>
    <row r="327" spans="1:11" ht="42" customHeight="1">
      <c r="A327" s="2" t="s">
        <v>1144</v>
      </c>
      <c r="B327" s="2" t="s">
        <v>1145</v>
      </c>
      <c r="C327" s="2" t="s">
        <v>369</v>
      </c>
      <c r="D327" s="2" t="s">
        <v>18</v>
      </c>
      <c r="E327" s="3" t="s">
        <v>143</v>
      </c>
      <c r="F327" s="3" t="s">
        <v>144</v>
      </c>
      <c r="G327" s="3" t="s">
        <v>29</v>
      </c>
      <c r="H327" s="2" t="s">
        <v>55</v>
      </c>
      <c r="I327" s="2" t="s">
        <v>1146</v>
      </c>
      <c r="J327" s="3" t="str">
        <f>HYPERLINK("https://www.boe.es/gazeta/dias/1809/11/16/pdfs/GGB-1809-462.pdf#page=3","Abrir facsímil")</f>
        <v>Abrir facsímil</v>
      </c>
      <c r="K327" s="3" t="s">
        <v>57</v>
      </c>
    </row>
    <row r="328" spans="1:11" ht="42" customHeight="1">
      <c r="A328" s="2" t="s">
        <v>1147</v>
      </c>
      <c r="B328" s="2" t="s">
        <v>1147</v>
      </c>
      <c r="C328" s="2" t="s">
        <v>288</v>
      </c>
      <c r="D328" s="2" t="s">
        <v>107</v>
      </c>
      <c r="E328" s="3" t="s">
        <v>933</v>
      </c>
      <c r="F328" s="3" t="s">
        <v>934</v>
      </c>
      <c r="G328" s="3" t="s">
        <v>1148</v>
      </c>
      <c r="H328" s="2" t="s">
        <v>55</v>
      </c>
      <c r="I328" s="2" t="s">
        <v>1149</v>
      </c>
      <c r="J328" s="3" t="str">
        <f>HYPERLINK("https://www.boe.es/gazeta/dias/1809/10/28/pdfs/GMD-1809-302.pdf#page=1","Abrir facsímil")</f>
        <v>Abrir facsímil</v>
      </c>
      <c r="K328" s="3" t="s">
        <v>57</v>
      </c>
    </row>
    <row r="329" spans="1:11" ht="42" customHeight="1">
      <c r="A329" s="2" t="s">
        <v>1147</v>
      </c>
      <c r="B329" s="2" t="s">
        <v>1147</v>
      </c>
      <c r="C329" s="2" t="s">
        <v>17</v>
      </c>
      <c r="D329" s="2" t="s">
        <v>18</v>
      </c>
      <c r="E329" s="3" t="s">
        <v>1150</v>
      </c>
      <c r="F329" s="3" t="s">
        <v>1151</v>
      </c>
      <c r="G329" s="3" t="s">
        <v>1152</v>
      </c>
      <c r="H329" s="2" t="s">
        <v>55</v>
      </c>
      <c r="I329" s="2" t="s">
        <v>1153</v>
      </c>
      <c r="J329" s="3" t="str">
        <f>HYPERLINK("https://www.boe.es/gazeta/dias/1809/11/26/pdfs/GMD-1809-331.pdf#page=1","Abrir facsímil")</f>
        <v>Abrir facsímil</v>
      </c>
      <c r="K329" s="3" t="s">
        <v>57</v>
      </c>
    </row>
    <row r="330" spans="1:11" ht="42" customHeight="1">
      <c r="A330" s="2" t="s">
        <v>1147</v>
      </c>
      <c r="B330" s="2" t="s">
        <v>1147</v>
      </c>
      <c r="C330" s="2" t="s">
        <v>25</v>
      </c>
      <c r="D330" s="2" t="s">
        <v>26</v>
      </c>
      <c r="E330" s="3" t="s">
        <v>216</v>
      </c>
      <c r="F330" s="3" t="s">
        <v>217</v>
      </c>
      <c r="G330" s="3" t="s">
        <v>75</v>
      </c>
      <c r="H330" s="2" t="s">
        <v>55</v>
      </c>
      <c r="I330" s="2" t="s">
        <v>1154</v>
      </c>
      <c r="J330" s="3" t="str">
        <f>HYPERLINK("https://www.boe.es/gazeta/dias/1809/12/05/pdfs/GGB-H-1809-542.pdf#page=2","Abrir facsímil")</f>
        <v>Abrir facsímil</v>
      </c>
      <c r="K330" s="3" t="s">
        <v>57</v>
      </c>
    </row>
    <row r="331" spans="1:11" ht="42" customHeight="1">
      <c r="A331" s="2" t="s">
        <v>1155</v>
      </c>
      <c r="B331" s="2" t="s">
        <v>1155</v>
      </c>
      <c r="C331" s="2" t="s">
        <v>47</v>
      </c>
      <c r="D331" s="2" t="s">
        <v>18</v>
      </c>
      <c r="E331" s="3" t="s">
        <v>1156</v>
      </c>
      <c r="F331" s="3" t="s">
        <v>1157</v>
      </c>
      <c r="G331" s="3" t="s">
        <v>316</v>
      </c>
      <c r="H331" s="2" t="s">
        <v>55</v>
      </c>
      <c r="I331" s="2" t="s">
        <v>1158</v>
      </c>
      <c r="J331" s="3" t="str">
        <f>HYPERLINK("https://www.boe.es/gazeta/dias/1809/06/17/pdfs/GMD-1809-168.pdf#page=1","Abrir facsímil")</f>
        <v>Abrir facsímil</v>
      </c>
      <c r="K331" s="3" t="s">
        <v>57</v>
      </c>
    </row>
    <row r="332" spans="1:11" ht="42" customHeight="1">
      <c r="A332" s="2" t="s">
        <v>1159</v>
      </c>
      <c r="B332" s="2" t="s">
        <v>1160</v>
      </c>
      <c r="C332" s="2" t="s">
        <v>17</v>
      </c>
      <c r="D332" s="2" t="s">
        <v>18</v>
      </c>
      <c r="E332" s="3" t="s">
        <v>925</v>
      </c>
      <c r="F332" s="3" t="s">
        <v>926</v>
      </c>
      <c r="G332" s="3" t="s">
        <v>62</v>
      </c>
      <c r="H332" s="2" t="s">
        <v>55</v>
      </c>
      <c r="I332" s="2" t="s">
        <v>1161</v>
      </c>
      <c r="J332" s="3" t="str">
        <f>HYPERLINK("https://www.boe.es/gazeta/dias/1809/01/11/pdfs/GGB-1809-2.pdf#page=6","Abrir facsímil")</f>
        <v>Abrir facsímil</v>
      </c>
      <c r="K332" s="3" t="s">
        <v>57</v>
      </c>
    </row>
    <row r="333" spans="1:11" ht="42" customHeight="1">
      <c r="A333" s="2" t="s">
        <v>1162</v>
      </c>
      <c r="B333" s="2" t="s">
        <v>1163</v>
      </c>
      <c r="C333" s="2" t="s">
        <v>79</v>
      </c>
      <c r="D333" s="2" t="s">
        <v>40</v>
      </c>
      <c r="E333" s="3" t="s">
        <v>102</v>
      </c>
      <c r="F333" s="3" t="s">
        <v>103</v>
      </c>
      <c r="G333" s="3" t="s">
        <v>104</v>
      </c>
      <c r="H333" s="2" t="s">
        <v>55</v>
      </c>
      <c r="I333" s="2" t="s">
        <v>1164</v>
      </c>
      <c r="J333" s="3" t="str">
        <f>HYPERLINK("https://www.boe.es/gazeta/dias/1809/09/28/pdfs/GGB-1809-252.pdf#page=8","Abrir facsímil")</f>
        <v>Abrir facsímil</v>
      </c>
      <c r="K333" s="3" t="s">
        <v>57</v>
      </c>
    </row>
    <row r="334" spans="1:11" ht="42" customHeight="1">
      <c r="A334" s="2" t="s">
        <v>1165</v>
      </c>
      <c r="B334" s="2" t="s">
        <v>1166</v>
      </c>
      <c r="C334" s="2" t="s">
        <v>17</v>
      </c>
      <c r="D334" s="2" t="s">
        <v>72</v>
      </c>
      <c r="E334" s="3" t="s">
        <v>92</v>
      </c>
      <c r="F334" s="3" t="s">
        <v>93</v>
      </c>
      <c r="G334" s="3" t="s">
        <v>239</v>
      </c>
      <c r="H334" s="2" t="s">
        <v>55</v>
      </c>
      <c r="I334" s="2" t="s">
        <v>1167</v>
      </c>
      <c r="J334" s="3" t="str">
        <f>HYPERLINK("https://www.boe.es/gazeta/dias/1809/05/22/pdfs/GGB-G-1809-30.pdf#page=3","Abrir facsímil")</f>
        <v>Abrir facsímil</v>
      </c>
      <c r="K334" s="3" t="s">
        <v>57</v>
      </c>
    </row>
    <row r="335" spans="1:11" ht="42" customHeight="1">
      <c r="A335" s="2" t="s">
        <v>1168</v>
      </c>
      <c r="B335" s="2" t="s">
        <v>1169</v>
      </c>
      <c r="C335" s="2" t="s">
        <v>25</v>
      </c>
      <c r="D335" s="2" t="s">
        <v>72</v>
      </c>
      <c r="E335" s="3" t="s">
        <v>92</v>
      </c>
      <c r="F335" s="3" t="s">
        <v>93</v>
      </c>
      <c r="G335" s="3" t="s">
        <v>225</v>
      </c>
      <c r="H335" s="2" t="s">
        <v>55</v>
      </c>
      <c r="I335" s="2" t="s">
        <v>1170</v>
      </c>
      <c r="J335" s="3" t="str">
        <f>HYPERLINK("https://www.boe.es/gazeta/dias/1809/05/22/pdfs/GGB-G-1809-30.pdf#page=4","Abrir facsímil")</f>
        <v>Abrir facsímil</v>
      </c>
      <c r="K335" s="3" t="s">
        <v>57</v>
      </c>
    </row>
    <row r="336" spans="1:11" ht="42" customHeight="1">
      <c r="A336" s="2" t="s">
        <v>1171</v>
      </c>
      <c r="B336" s="2" t="s">
        <v>1172</v>
      </c>
      <c r="C336" s="2" t="s">
        <v>17</v>
      </c>
      <c r="D336" s="2" t="s">
        <v>18</v>
      </c>
      <c r="E336" s="3" t="s">
        <v>357</v>
      </c>
      <c r="F336" s="3" t="s">
        <v>358</v>
      </c>
      <c r="G336" s="3" t="s">
        <v>225</v>
      </c>
      <c r="H336" s="2" t="s">
        <v>55</v>
      </c>
      <c r="I336" s="2" t="s">
        <v>1173</v>
      </c>
      <c r="J336" s="3" t="str">
        <f>HYPERLINK("https://www.boe.es/gazeta/dias/1809/03/20/pdfs/GMD-1809-79.pdf#page=4","Abrir facsímil")</f>
        <v>Abrir facsímil</v>
      </c>
      <c r="K336" s="3" t="s">
        <v>57</v>
      </c>
    </row>
    <row r="337" spans="1:11" ht="42" customHeight="1">
      <c r="A337" s="2" t="s">
        <v>1174</v>
      </c>
      <c r="B337" s="2" t="s">
        <v>1174</v>
      </c>
      <c r="C337" s="2" t="s">
        <v>25</v>
      </c>
      <c r="D337" s="2" t="s">
        <v>26</v>
      </c>
      <c r="E337" s="3" t="s">
        <v>695</v>
      </c>
      <c r="F337" s="3" t="s">
        <v>696</v>
      </c>
      <c r="G337" s="3" t="s">
        <v>1175</v>
      </c>
      <c r="H337" s="2" t="s">
        <v>55</v>
      </c>
      <c r="I337" s="2" t="s">
        <v>1176</v>
      </c>
      <c r="J337" s="3" t="str">
        <f>HYPERLINK("https://www.boe.es/gazeta/dias/1809/10/24/pdfs/GGB-1809-362.pdf#page=2","Abrir facsímil")</f>
        <v>Abrir facsímil</v>
      </c>
      <c r="K337" s="3" t="s">
        <v>57</v>
      </c>
    </row>
    <row r="338" spans="1:11" ht="42" customHeight="1">
      <c r="A338" s="2" t="s">
        <v>1177</v>
      </c>
      <c r="B338" s="2" t="s">
        <v>1178</v>
      </c>
      <c r="C338" s="2" t="s">
        <v>25</v>
      </c>
      <c r="D338" s="2" t="s">
        <v>18</v>
      </c>
      <c r="E338" s="3" t="s">
        <v>73</v>
      </c>
      <c r="F338" s="3" t="s">
        <v>1045</v>
      </c>
      <c r="G338" s="3" t="s">
        <v>89</v>
      </c>
      <c r="H338" s="2" t="s">
        <v>55</v>
      </c>
      <c r="I338" s="2" t="s">
        <v>1179</v>
      </c>
      <c r="J338" s="3" t="str">
        <f>HYPERLINK("https://www.boe.es/gazeta/dias/1809/09/21/pdfs/GMD-1809-265.pdf#page=3","Abrir facsímil")</f>
        <v>Abrir facsímil</v>
      </c>
      <c r="K338" s="3" t="s">
        <v>57</v>
      </c>
    </row>
    <row r="339" spans="1:11" ht="42" customHeight="1">
      <c r="A339" s="2" t="s">
        <v>1180</v>
      </c>
      <c r="B339" s="2" t="s">
        <v>1181</v>
      </c>
      <c r="C339" s="2" t="s">
        <v>39</v>
      </c>
      <c r="D339" s="2" t="s">
        <v>18</v>
      </c>
      <c r="E339" s="3" t="s">
        <v>473</v>
      </c>
      <c r="F339" s="3" t="s">
        <v>1182</v>
      </c>
      <c r="G339" s="3" t="s">
        <v>1183</v>
      </c>
      <c r="H339" s="2" t="s">
        <v>55</v>
      </c>
      <c r="I339" s="2" t="s">
        <v>1184</v>
      </c>
      <c r="J339" s="3" t="str">
        <f>HYPERLINK("https://www.boe.es/gazeta/dias/1809/12/28/pdfs/GGB-1809-642.pdf#page=4","Abrir facsímil")</f>
        <v>Abrir facsímil</v>
      </c>
      <c r="K339" s="3" t="s">
        <v>57</v>
      </c>
    </row>
    <row r="340" spans="1:11" ht="42" customHeight="1">
      <c r="A340" s="2" t="s">
        <v>1185</v>
      </c>
      <c r="B340" s="2" t="s">
        <v>1186</v>
      </c>
      <c r="C340" s="2" t="s">
        <v>17</v>
      </c>
      <c r="D340" s="2" t="s">
        <v>72</v>
      </c>
      <c r="E340" s="3" t="s">
        <v>243</v>
      </c>
      <c r="F340" s="3" t="s">
        <v>244</v>
      </c>
      <c r="G340" s="3" t="s">
        <v>525</v>
      </c>
      <c r="H340" s="2" t="s">
        <v>22</v>
      </c>
      <c r="I340" s="2" t="s">
        <v>1187</v>
      </c>
      <c r="J340" s="3" t="str">
        <f>HYPERLINK("https://www.boe.es/gazeta/dias/1809/02/17/pdfs/GGB-G-1809-8.pdf#page=4","Abrir facsímil")</f>
        <v>Abrir facsímil</v>
      </c>
      <c r="K340" s="3" t="s">
        <v>24</v>
      </c>
    </row>
    <row r="341" spans="1:11" ht="42" customHeight="1">
      <c r="A341" s="2" t="s">
        <v>1188</v>
      </c>
      <c r="B341" s="2" t="s">
        <v>1189</v>
      </c>
      <c r="C341" s="2" t="s">
        <v>25</v>
      </c>
      <c r="D341" s="2" t="s">
        <v>26</v>
      </c>
      <c r="E341" s="3" t="s">
        <v>108</v>
      </c>
      <c r="F341" s="3" t="s">
        <v>109</v>
      </c>
      <c r="G341" s="3" t="s">
        <v>110</v>
      </c>
      <c r="H341" s="2" t="s">
        <v>22</v>
      </c>
      <c r="I341" s="2" t="s">
        <v>1190</v>
      </c>
      <c r="J341" s="3" t="str">
        <f>HYPERLINK("https://www.boe.es/gazeta/dias/1809/09/08/pdfs/GMD-1809-252.pdf#page=2","Abrir facsímil")</f>
        <v>Abrir facsímil</v>
      </c>
      <c r="K341" s="3" t="s">
        <v>24</v>
      </c>
    </row>
    <row r="342" spans="1:11" ht="42" customHeight="1">
      <c r="A342" s="2" t="s">
        <v>1191</v>
      </c>
      <c r="B342" s="2" t="s">
        <v>1192</v>
      </c>
      <c r="C342" s="2" t="s">
        <v>17</v>
      </c>
      <c r="D342" s="2" t="s">
        <v>18</v>
      </c>
      <c r="E342" s="3" t="s">
        <v>243</v>
      </c>
      <c r="F342" s="3" t="s">
        <v>735</v>
      </c>
      <c r="G342" s="3" t="s">
        <v>736</v>
      </c>
      <c r="H342" s="2" t="s">
        <v>22</v>
      </c>
      <c r="I342" s="2" t="s">
        <v>1193</v>
      </c>
      <c r="J342" s="3" t="str">
        <f>HYPERLINK("https://www.boe.es/gazeta/dias/1809/02/17/pdfs/GGB-1809-8.pdf#page=8","Abrir facsímil")</f>
        <v>Abrir facsímil</v>
      </c>
      <c r="K342" s="3" t="s">
        <v>24</v>
      </c>
    </row>
    <row r="343" spans="1:11" ht="42" customHeight="1">
      <c r="A343" s="2" t="s">
        <v>1194</v>
      </c>
      <c r="B343" s="2" t="s">
        <v>1195</v>
      </c>
      <c r="C343" s="2" t="s">
        <v>17</v>
      </c>
      <c r="D343" s="2" t="s">
        <v>72</v>
      </c>
      <c r="E343" s="3" t="s">
        <v>243</v>
      </c>
      <c r="F343" s="3" t="s">
        <v>244</v>
      </c>
      <c r="G343" s="3" t="s">
        <v>110</v>
      </c>
      <c r="H343" s="2" t="s">
        <v>22</v>
      </c>
      <c r="I343" s="2" t="s">
        <v>1196</v>
      </c>
      <c r="J343" s="3" t="str">
        <f>HYPERLINK("https://www.boe.es/gazeta/dias/1809/02/17/pdfs/GGB-G-1809-8.pdf#page=6","Abrir facsímil")</f>
        <v>Abrir facsímil</v>
      </c>
      <c r="K343" s="3" t="s">
        <v>24</v>
      </c>
    </row>
    <row r="344" spans="1:11" ht="42" customHeight="1">
      <c r="A344" s="2" t="s">
        <v>1197</v>
      </c>
      <c r="B344" s="2" t="s">
        <v>1198</v>
      </c>
      <c r="C344" s="2" t="s">
        <v>25</v>
      </c>
      <c r="D344" s="2" t="s">
        <v>72</v>
      </c>
      <c r="E344" s="3" t="s">
        <v>473</v>
      </c>
      <c r="F344" s="3" t="s">
        <v>1199</v>
      </c>
      <c r="G344" s="3" t="s">
        <v>94</v>
      </c>
      <c r="H344" s="2" t="s">
        <v>55</v>
      </c>
      <c r="I344" s="2" t="s">
        <v>1200</v>
      </c>
      <c r="J344" s="3" t="str">
        <f>HYPERLINK("https://www.boe.es/gazeta/dias/1809/12/28/pdfs/GGB-H-1809-642.pdf#page=5","Abrir facsímil")</f>
        <v>Abrir facsímil</v>
      </c>
      <c r="K344" s="3" t="s">
        <v>57</v>
      </c>
    </row>
    <row r="345" spans="1:11" ht="42" customHeight="1">
      <c r="A345" s="2" t="s">
        <v>1201</v>
      </c>
      <c r="B345" s="2" t="s">
        <v>1202</v>
      </c>
      <c r="C345" s="2" t="s">
        <v>17</v>
      </c>
      <c r="D345" s="2" t="s">
        <v>72</v>
      </c>
      <c r="E345" s="3" t="s">
        <v>163</v>
      </c>
      <c r="F345" s="3" t="s">
        <v>164</v>
      </c>
      <c r="G345" s="3" t="s">
        <v>21</v>
      </c>
      <c r="H345" s="2" t="s">
        <v>55</v>
      </c>
      <c r="I345" s="2" t="s">
        <v>1203</v>
      </c>
      <c r="J345" s="3" t="str">
        <f>HYPERLINK("https://www.boe.es/gazeta/dias/1809/03/10/pdfs/GGB-H-1809-11.pdf#page=8","Abrir facsímil")</f>
        <v>Abrir facsímil</v>
      </c>
      <c r="K345" s="3" t="s">
        <v>57</v>
      </c>
    </row>
    <row r="346" spans="1:11" ht="42" customHeight="1">
      <c r="A346" s="2" t="s">
        <v>1204</v>
      </c>
      <c r="B346" s="2" t="s">
        <v>1205</v>
      </c>
      <c r="C346" s="2" t="s">
        <v>25</v>
      </c>
      <c r="D346" s="2" t="s">
        <v>72</v>
      </c>
      <c r="E346" s="3" t="s">
        <v>1206</v>
      </c>
      <c r="F346" s="3" t="s">
        <v>1207</v>
      </c>
      <c r="G346" s="3" t="s">
        <v>110</v>
      </c>
      <c r="H346" s="2" t="s">
        <v>55</v>
      </c>
      <c r="I346" s="2" t="s">
        <v>1208</v>
      </c>
      <c r="J346" s="3" t="str">
        <f>HYPERLINK("https://www.boe.es/gazeta/dias/1809/09/23/pdfs/GGB-H-1809-232.pdf#page=3","Abrir facsímil")</f>
        <v>Abrir facsímil</v>
      </c>
      <c r="K346" s="3" t="s">
        <v>57</v>
      </c>
    </row>
    <row r="347" spans="1:11" ht="42" customHeight="1">
      <c r="A347" s="2" t="s">
        <v>1209</v>
      </c>
      <c r="B347" s="2" t="s">
        <v>1209</v>
      </c>
      <c r="C347" s="2" t="s">
        <v>25</v>
      </c>
      <c r="D347" s="2" t="s">
        <v>18</v>
      </c>
      <c r="E347" s="3" t="s">
        <v>394</v>
      </c>
      <c r="F347" s="3" t="s">
        <v>1210</v>
      </c>
      <c r="G347" s="3" t="s">
        <v>1211</v>
      </c>
      <c r="H347" s="2" t="s">
        <v>55</v>
      </c>
      <c r="I347" s="2" t="s">
        <v>1212</v>
      </c>
      <c r="J347" s="3" t="str">
        <f>HYPERLINK("https://www.boe.es/gazeta/dias/1809/12/14/pdfs/GGB-1809-582.pdf#page=1","Abrir facsímil")</f>
        <v>Abrir facsímil</v>
      </c>
      <c r="K347" s="3" t="s">
        <v>57</v>
      </c>
    </row>
    <row r="348" spans="1:11" ht="42" customHeight="1">
      <c r="A348" s="2" t="s">
        <v>1209</v>
      </c>
      <c r="B348" s="2" t="s">
        <v>1209</v>
      </c>
      <c r="C348" s="2" t="s">
        <v>131</v>
      </c>
      <c r="D348" s="2" t="s">
        <v>107</v>
      </c>
      <c r="E348" s="3" t="s">
        <v>1213</v>
      </c>
      <c r="F348" s="3" t="s">
        <v>1214</v>
      </c>
      <c r="G348" s="3" t="s">
        <v>29</v>
      </c>
      <c r="H348" s="2" t="s">
        <v>55</v>
      </c>
      <c r="I348" s="2" t="s">
        <v>1215</v>
      </c>
      <c r="J348" s="3" t="str">
        <f>HYPERLINK("https://www.boe.es/gazeta/dias/1809/12/20/pdfs/GMD-1809-355.pdf#page=3","Abrir facsímil")</f>
        <v>Abrir facsímil</v>
      </c>
      <c r="K348" s="3" t="s">
        <v>57</v>
      </c>
    </row>
    <row r="349" spans="1:11" ht="42" customHeight="1">
      <c r="A349" s="2" t="s">
        <v>1216</v>
      </c>
      <c r="B349" s="2" t="s">
        <v>1217</v>
      </c>
      <c r="C349" s="2" t="s">
        <v>25</v>
      </c>
      <c r="D349" s="2" t="s">
        <v>26</v>
      </c>
      <c r="E349" s="3" t="s">
        <v>761</v>
      </c>
      <c r="F349" s="3" t="s">
        <v>1218</v>
      </c>
      <c r="G349" s="3" t="s">
        <v>225</v>
      </c>
      <c r="H349" s="2" t="s">
        <v>55</v>
      </c>
      <c r="I349" s="2" t="s">
        <v>1219</v>
      </c>
      <c r="J349" s="3" t="str">
        <f>HYPERLINK("https://www.boe.es/gazeta/dias/1809/06/02/pdfs/GGB-1809-33.pdf#page=4","Abrir facsímil")</f>
        <v>Abrir facsímil</v>
      </c>
      <c r="K349" s="3" t="s">
        <v>57</v>
      </c>
    </row>
    <row r="350" spans="1:11" ht="42" customHeight="1">
      <c r="A350" s="2" t="s">
        <v>1220</v>
      </c>
      <c r="B350" s="2" t="s">
        <v>1220</v>
      </c>
      <c r="C350" s="2" t="s">
        <v>25</v>
      </c>
      <c r="D350" s="2" t="s">
        <v>26</v>
      </c>
      <c r="E350" s="3" t="s">
        <v>196</v>
      </c>
      <c r="F350" s="3" t="s">
        <v>197</v>
      </c>
      <c r="G350" s="3" t="s">
        <v>374</v>
      </c>
      <c r="H350" s="2" t="s">
        <v>55</v>
      </c>
      <c r="I350" s="2" t="s">
        <v>1221</v>
      </c>
      <c r="J350" s="3" t="str">
        <f>HYPERLINK("https://www.boe.es/gazeta/dias/1809/09/04/pdfs/GMD-1809-248.pdf#page=2","Abrir facsímil")</f>
        <v>Abrir facsímil</v>
      </c>
      <c r="K350" s="3" t="s">
        <v>57</v>
      </c>
    </row>
    <row r="351" spans="1:11" ht="42" customHeight="1">
      <c r="A351" s="2" t="s">
        <v>1222</v>
      </c>
      <c r="B351" s="2" t="s">
        <v>1222</v>
      </c>
      <c r="C351" s="2" t="s">
        <v>25</v>
      </c>
      <c r="D351" s="2" t="s">
        <v>72</v>
      </c>
      <c r="E351" s="3" t="s">
        <v>394</v>
      </c>
      <c r="F351" s="3" t="s">
        <v>395</v>
      </c>
      <c r="G351" s="3" t="s">
        <v>234</v>
      </c>
      <c r="H351" s="2" t="s">
        <v>55</v>
      </c>
      <c r="I351" s="2" t="s">
        <v>1223</v>
      </c>
      <c r="J351" s="3" t="str">
        <f>HYPERLINK("https://www.boe.es/gazeta/dias/1809/12/14/pdfs/GGB-H-1809-582.pdf#page=1","Abrir facsímil")</f>
        <v>Abrir facsímil</v>
      </c>
      <c r="K351" s="3" t="s">
        <v>57</v>
      </c>
    </row>
    <row r="352" spans="1:11" ht="42" customHeight="1">
      <c r="A352" s="2" t="s">
        <v>1224</v>
      </c>
      <c r="B352" s="2" t="s">
        <v>1224</v>
      </c>
      <c r="C352" s="2" t="s">
        <v>25</v>
      </c>
      <c r="D352" s="2" t="s">
        <v>18</v>
      </c>
      <c r="E352" s="3" t="s">
        <v>123</v>
      </c>
      <c r="F352" s="3" t="s">
        <v>124</v>
      </c>
      <c r="G352" s="3" t="s">
        <v>125</v>
      </c>
      <c r="H352" s="2" t="s">
        <v>55</v>
      </c>
      <c r="I352" s="2" t="s">
        <v>1225</v>
      </c>
      <c r="J352" s="3" t="str">
        <f>HYPERLINK("https://www.boe.es/gazeta/dias/1809/04/21/pdfs/GMD-1809-111.pdf#page=1","Abrir facsímil")</f>
        <v>Abrir facsímil</v>
      </c>
      <c r="K352" s="3" t="s">
        <v>57</v>
      </c>
    </row>
    <row r="353" spans="1:11" ht="42" customHeight="1">
      <c r="A353" s="2" t="s">
        <v>1224</v>
      </c>
      <c r="B353" s="2" t="s">
        <v>1224</v>
      </c>
      <c r="C353" s="2" t="s">
        <v>369</v>
      </c>
      <c r="D353" s="2" t="s">
        <v>107</v>
      </c>
      <c r="E353" s="3" t="s">
        <v>1226</v>
      </c>
      <c r="F353" s="3" t="s">
        <v>1227</v>
      </c>
      <c r="G353" s="3" t="s">
        <v>1228</v>
      </c>
      <c r="H353" s="2" t="s">
        <v>55</v>
      </c>
      <c r="I353" s="2" t="s">
        <v>1229</v>
      </c>
      <c r="J353" s="3" t="str">
        <f>HYPERLINK("https://www.boe.es/gazeta/dias/1809/11/09/pdfs/GMD-1809-314.pdf#page=3","Abrir facsímil")</f>
        <v>Abrir facsímil</v>
      </c>
      <c r="K353" s="3" t="s">
        <v>57</v>
      </c>
    </row>
    <row r="354" spans="1:11" ht="42" customHeight="1">
      <c r="A354" s="2" t="s">
        <v>1230</v>
      </c>
      <c r="B354" s="2" t="s">
        <v>1230</v>
      </c>
      <c r="C354" s="2" t="s">
        <v>25</v>
      </c>
      <c r="D354" s="2" t="s">
        <v>26</v>
      </c>
      <c r="E354" s="3" t="s">
        <v>1132</v>
      </c>
      <c r="F354" s="3" t="s">
        <v>1133</v>
      </c>
      <c r="G354" s="3" t="s">
        <v>1231</v>
      </c>
      <c r="H354" s="2" t="s">
        <v>55</v>
      </c>
      <c r="I354" s="2" t="s">
        <v>1232</v>
      </c>
      <c r="J354" s="3" t="str">
        <f>HYPERLINK("https://www.boe.es/gazeta/dias/1809/11/11/pdfs/GGB-1809-442.pdf#page=1","Abrir facsímil")</f>
        <v>Abrir facsímil</v>
      </c>
      <c r="K354" s="3" t="s">
        <v>57</v>
      </c>
    </row>
    <row r="355" spans="1:11" ht="42" customHeight="1">
      <c r="A355" s="2" t="s">
        <v>1230</v>
      </c>
      <c r="B355" s="2" t="s">
        <v>1230</v>
      </c>
      <c r="C355" s="2" t="s">
        <v>25</v>
      </c>
      <c r="D355" s="2" t="s">
        <v>26</v>
      </c>
      <c r="E355" s="3" t="s">
        <v>1233</v>
      </c>
      <c r="F355" s="3" t="s">
        <v>1234</v>
      </c>
      <c r="G355" s="3" t="s">
        <v>1235</v>
      </c>
      <c r="H355" s="2" t="s">
        <v>55</v>
      </c>
      <c r="I355" s="2" t="s">
        <v>1236</v>
      </c>
      <c r="J355" s="3" t="str">
        <f>HYPERLINK("https://www.boe.es/gazeta/dias/1809/12/01/pdfs/GMD-1809-336.pdf#page=1","Abrir facsímil")</f>
        <v>Abrir facsímil</v>
      </c>
      <c r="K355" s="3" t="s">
        <v>57</v>
      </c>
    </row>
    <row r="356" spans="1:11" ht="42" customHeight="1">
      <c r="A356" s="2" t="s">
        <v>1230</v>
      </c>
      <c r="B356" s="2" t="s">
        <v>1230</v>
      </c>
      <c r="C356" s="2" t="s">
        <v>17</v>
      </c>
      <c r="D356" s="2" t="s">
        <v>18</v>
      </c>
      <c r="E356" s="3" t="s">
        <v>1237</v>
      </c>
      <c r="F356" s="3" t="s">
        <v>1238</v>
      </c>
      <c r="G356" s="3" t="s">
        <v>1239</v>
      </c>
      <c r="H356" s="2" t="s">
        <v>55</v>
      </c>
      <c r="I356" s="2" t="s">
        <v>1240</v>
      </c>
      <c r="J356" s="3" t="str">
        <f>HYPERLINK("https://www.boe.es/gazeta/dias/1809/12/26/pdfs/GGB-1809-632.pdf#page=7","Abrir facsímil")</f>
        <v>Abrir facsímil</v>
      </c>
      <c r="K356" s="3" t="s">
        <v>57</v>
      </c>
    </row>
    <row r="357" spans="1:11" ht="42" customHeight="1">
      <c r="A357" s="2" t="s">
        <v>1241</v>
      </c>
      <c r="B357" s="2" t="s">
        <v>1242</v>
      </c>
      <c r="C357" s="2" t="s">
        <v>17</v>
      </c>
      <c r="D357" s="2" t="s">
        <v>18</v>
      </c>
      <c r="E357" s="3" t="s">
        <v>33</v>
      </c>
      <c r="F357" s="3" t="s">
        <v>34</v>
      </c>
      <c r="G357" s="3" t="s">
        <v>493</v>
      </c>
      <c r="H357" s="2" t="s">
        <v>55</v>
      </c>
      <c r="I357" s="2" t="s">
        <v>1243</v>
      </c>
      <c r="J357" s="3" t="str">
        <f>HYPERLINK("https://www.boe.es/gazeta/dias/1809/12/19/pdfs/GGB-1809-602.pdf#page=6","Abrir facsímil")</f>
        <v>Abrir facsímil</v>
      </c>
      <c r="K357" s="3" t="s">
        <v>57</v>
      </c>
    </row>
    <row r="358" spans="1:11" ht="42" customHeight="1">
      <c r="A358" s="2" t="s">
        <v>1244</v>
      </c>
      <c r="B358" s="2" t="s">
        <v>1244</v>
      </c>
      <c r="C358" s="2" t="s">
        <v>25</v>
      </c>
      <c r="D358" s="2" t="s">
        <v>26</v>
      </c>
      <c r="E358" s="3" t="s">
        <v>1245</v>
      </c>
      <c r="F358" s="3" t="s">
        <v>1246</v>
      </c>
      <c r="G358" s="3" t="s">
        <v>129</v>
      </c>
      <c r="H358" s="2" t="s">
        <v>55</v>
      </c>
      <c r="I358" s="2" t="s">
        <v>1247</v>
      </c>
      <c r="J358" s="3" t="str">
        <f>HYPERLINK("https://www.boe.es/gazeta/dias/1809/01/12/pdfs/GMD-1809-12.pdf#page=2","Abrir facsímil")</f>
        <v>Abrir facsímil</v>
      </c>
      <c r="K358" s="3" t="s">
        <v>57</v>
      </c>
    </row>
    <row r="359" spans="1:11" ht="42" customHeight="1">
      <c r="A359" s="2" t="s">
        <v>1244</v>
      </c>
      <c r="B359" s="2" t="s">
        <v>1244</v>
      </c>
      <c r="C359" s="2" t="s">
        <v>79</v>
      </c>
      <c r="D359" s="2" t="s">
        <v>26</v>
      </c>
      <c r="E359" s="3" t="s">
        <v>243</v>
      </c>
      <c r="F359" s="3" t="s">
        <v>352</v>
      </c>
      <c r="G359" s="3" t="s">
        <v>110</v>
      </c>
      <c r="H359" s="2" t="s">
        <v>55</v>
      </c>
      <c r="I359" s="2" t="s">
        <v>1248</v>
      </c>
      <c r="J359" s="3" t="str">
        <f>HYPERLINK("https://www.boe.es/gazeta/dias/1809/02/17/pdfs/GMD-1809-48.pdf#page=2","Abrir facsímil")</f>
        <v>Abrir facsímil</v>
      </c>
      <c r="K359" s="3" t="s">
        <v>57</v>
      </c>
    </row>
    <row r="360" spans="1:11" ht="42" customHeight="1">
      <c r="A360" s="2" t="s">
        <v>1244</v>
      </c>
      <c r="B360" s="2" t="s">
        <v>1244</v>
      </c>
      <c r="C360" s="2" t="s">
        <v>25</v>
      </c>
      <c r="D360" s="2" t="s">
        <v>18</v>
      </c>
      <c r="E360" s="3" t="s">
        <v>258</v>
      </c>
      <c r="F360" s="3" t="s">
        <v>910</v>
      </c>
      <c r="G360" s="3" t="s">
        <v>62</v>
      </c>
      <c r="H360" s="2" t="s">
        <v>55</v>
      </c>
      <c r="I360" s="2" t="s">
        <v>1249</v>
      </c>
      <c r="J360" s="3" t="str">
        <f>HYPERLINK("https://www.boe.es/gazeta/dias/1809/03/17/pdfs/GGB-1809-12.pdf#page=1","Abrir facsímil")</f>
        <v>Abrir facsímil</v>
      </c>
      <c r="K360" s="3" t="s">
        <v>57</v>
      </c>
    </row>
    <row r="361" spans="1:11" ht="42" customHeight="1">
      <c r="A361" s="2" t="s">
        <v>1244</v>
      </c>
      <c r="B361" s="2" t="s">
        <v>1244</v>
      </c>
      <c r="C361" s="2" t="s">
        <v>25</v>
      </c>
      <c r="D361" s="2" t="s">
        <v>18</v>
      </c>
      <c r="E361" s="3" t="s">
        <v>278</v>
      </c>
      <c r="F361" s="3" t="s">
        <v>279</v>
      </c>
      <c r="G361" s="3" t="s">
        <v>270</v>
      </c>
      <c r="H361" s="2" t="s">
        <v>55</v>
      </c>
      <c r="I361" s="2" t="s">
        <v>1250</v>
      </c>
      <c r="J361" s="3" t="str">
        <f>HYPERLINK("https://www.boe.es/gazeta/dias/1809/03/26/pdfs/GMD-1809-85.pdf#page=3","Abrir facsímil")</f>
        <v>Abrir facsímil</v>
      </c>
      <c r="K361" s="3" t="s">
        <v>57</v>
      </c>
    </row>
    <row r="362" spans="1:11" ht="42" customHeight="1">
      <c r="A362" s="2" t="s">
        <v>1244</v>
      </c>
      <c r="B362" s="2" t="s">
        <v>1244</v>
      </c>
      <c r="C362" s="2" t="s">
        <v>25</v>
      </c>
      <c r="D362" s="2" t="s">
        <v>26</v>
      </c>
      <c r="E362" s="3" t="s">
        <v>81</v>
      </c>
      <c r="F362" s="3" t="s">
        <v>1251</v>
      </c>
      <c r="G362" s="3" t="s">
        <v>1252</v>
      </c>
      <c r="H362" s="2" t="s">
        <v>55</v>
      </c>
      <c r="I362" s="2" t="s">
        <v>1253</v>
      </c>
      <c r="J362" s="3" t="str">
        <f>HYPERLINK("https://www.boe.es/gazeta/dias/1809/04/11/pdfs/GMD-1809-101.pdf#page=1","Abrir facsímil")</f>
        <v>Abrir facsímil</v>
      </c>
      <c r="K362" s="3" t="s">
        <v>57</v>
      </c>
    </row>
    <row r="363" spans="1:11" ht="42" customHeight="1">
      <c r="A363" s="2" t="s">
        <v>1254</v>
      </c>
      <c r="B363" s="2" t="s">
        <v>1254</v>
      </c>
      <c r="C363" s="2" t="s">
        <v>369</v>
      </c>
      <c r="D363" s="2" t="s">
        <v>40</v>
      </c>
      <c r="E363" s="3" t="s">
        <v>190</v>
      </c>
      <c r="F363" s="3" t="s">
        <v>191</v>
      </c>
      <c r="G363" s="3" t="s">
        <v>872</v>
      </c>
      <c r="H363" s="2" t="s">
        <v>55</v>
      </c>
      <c r="I363" s="2" t="s">
        <v>1255</v>
      </c>
      <c r="J363" s="3" t="str">
        <f>HYPERLINK("https://www.boe.es/gazeta/dias/1809/10/14/pdfs/GGB-1809-322.pdf#page=7","Abrir facsímil")</f>
        <v>Abrir facsímil</v>
      </c>
      <c r="K363" s="3" t="s">
        <v>57</v>
      </c>
    </row>
    <row r="364" spans="1:11" ht="42" customHeight="1">
      <c r="A364" s="2" t="s">
        <v>1256</v>
      </c>
      <c r="B364" s="2" t="s">
        <v>1257</v>
      </c>
      <c r="C364" s="2" t="s">
        <v>17</v>
      </c>
      <c r="D364" s="2" t="s">
        <v>40</v>
      </c>
      <c r="E364" s="3" t="s">
        <v>925</v>
      </c>
      <c r="F364" s="3" t="s">
        <v>926</v>
      </c>
      <c r="G364" s="3" t="s">
        <v>62</v>
      </c>
      <c r="H364" s="2" t="s">
        <v>55</v>
      </c>
      <c r="I364" s="2" t="s">
        <v>1258</v>
      </c>
      <c r="J364" s="3" t="str">
        <f>HYPERLINK("https://www.boe.es/gazeta/dias/1809/01/11/pdfs/GGB-1809-2.pdf#page=6","Abrir facsímil")</f>
        <v>Abrir facsímil</v>
      </c>
      <c r="K364" s="3" t="s">
        <v>57</v>
      </c>
    </row>
    <row r="365" spans="1:11" ht="42" customHeight="1">
      <c r="A365" s="2" t="s">
        <v>1259</v>
      </c>
      <c r="B365" s="2" t="s">
        <v>1260</v>
      </c>
      <c r="C365" s="2" t="s">
        <v>25</v>
      </c>
      <c r="D365" s="2" t="s">
        <v>80</v>
      </c>
      <c r="E365" s="3" t="s">
        <v>179</v>
      </c>
      <c r="F365" s="3" t="s">
        <v>180</v>
      </c>
      <c r="G365" s="3" t="s">
        <v>966</v>
      </c>
      <c r="H365" s="2" t="s">
        <v>55</v>
      </c>
      <c r="I365" s="2" t="s">
        <v>1261</v>
      </c>
      <c r="J365" s="3" t="str">
        <f>HYPERLINK("https://www.boe.es/gazeta/dias/1809/12/08/pdfs/GGB-1809-552E.pdf#page=3","Abrir facsímil")</f>
        <v>Abrir facsímil</v>
      </c>
      <c r="K365" s="3" t="s">
        <v>57</v>
      </c>
    </row>
    <row r="366" spans="1:11" ht="42" customHeight="1">
      <c r="A366" s="2" t="s">
        <v>1262</v>
      </c>
      <c r="B366" s="2" t="s">
        <v>1263</v>
      </c>
      <c r="C366" s="2" t="s">
        <v>17</v>
      </c>
      <c r="D366" s="2" t="s">
        <v>18</v>
      </c>
      <c r="E366" s="3" t="s">
        <v>33</v>
      </c>
      <c r="F366" s="3" t="s">
        <v>34</v>
      </c>
      <c r="G366" s="3" t="s">
        <v>595</v>
      </c>
      <c r="H366" s="2" t="s">
        <v>55</v>
      </c>
      <c r="I366" s="2" t="s">
        <v>1264</v>
      </c>
      <c r="J366" s="3" t="str">
        <f>HYPERLINK("https://www.boe.es/gazeta/dias/1809/12/19/pdfs/GGB-1809-602.pdf#page=7","Abrir facsímil")</f>
        <v>Abrir facsímil</v>
      </c>
      <c r="K366" s="3" t="s">
        <v>57</v>
      </c>
    </row>
    <row r="367" spans="1:11" ht="42" customHeight="1">
      <c r="A367" s="2" t="s">
        <v>1265</v>
      </c>
      <c r="B367" s="2" t="s">
        <v>1266</v>
      </c>
      <c r="C367" s="2" t="s">
        <v>25</v>
      </c>
      <c r="D367" s="2" t="s">
        <v>40</v>
      </c>
      <c r="E367" s="3" t="s">
        <v>102</v>
      </c>
      <c r="F367" s="3" t="s">
        <v>1095</v>
      </c>
      <c r="G367" s="3" t="s">
        <v>29</v>
      </c>
      <c r="H367" s="2" t="s">
        <v>55</v>
      </c>
      <c r="I367" s="2" t="s">
        <v>1267</v>
      </c>
      <c r="J367" s="3" t="str">
        <f>HYPERLINK("https://www.boe.es/gazeta/dias/1809/09/28/pdfs/GMD-1809-272.pdf#page=3","Abrir facsímil")</f>
        <v>Abrir facsímil</v>
      </c>
      <c r="K367" s="3" t="s">
        <v>57</v>
      </c>
    </row>
    <row r="368" spans="1:11" ht="42" customHeight="1">
      <c r="A368" s="2" t="s">
        <v>1268</v>
      </c>
      <c r="B368" s="2" t="s">
        <v>1268</v>
      </c>
      <c r="C368" s="2" t="s">
        <v>25</v>
      </c>
      <c r="D368" s="2" t="s">
        <v>26</v>
      </c>
      <c r="E368" s="3" t="s">
        <v>1269</v>
      </c>
      <c r="F368" s="3" t="s">
        <v>1270</v>
      </c>
      <c r="G368" s="3" t="s">
        <v>1228</v>
      </c>
      <c r="H368" s="2" t="s">
        <v>55</v>
      </c>
      <c r="I368" s="2" t="s">
        <v>1271</v>
      </c>
      <c r="J368" s="3" t="str">
        <f>HYPERLINK("https://www.boe.es/gazeta/dias/1809/08/12/pdfs/GGB-1809-52.pdf#page=3","Abrir facsímil")</f>
        <v>Abrir facsímil</v>
      </c>
      <c r="K368" s="3" t="s">
        <v>57</v>
      </c>
    </row>
    <row r="369" spans="1:11" ht="42" customHeight="1">
      <c r="A369" s="2" t="s">
        <v>1272</v>
      </c>
      <c r="B369" s="2" t="s">
        <v>1273</v>
      </c>
      <c r="C369" s="2" t="s">
        <v>17</v>
      </c>
      <c r="D369" s="2" t="s">
        <v>72</v>
      </c>
      <c r="E369" s="3" t="s">
        <v>243</v>
      </c>
      <c r="F369" s="3" t="s">
        <v>244</v>
      </c>
      <c r="G369" s="3" t="s">
        <v>525</v>
      </c>
      <c r="H369" s="2" t="s">
        <v>55</v>
      </c>
      <c r="I369" s="2" t="s">
        <v>1274</v>
      </c>
      <c r="J369" s="3" t="str">
        <f>HYPERLINK("https://www.boe.es/gazeta/dias/1809/02/17/pdfs/GGB-G-1809-8.pdf#page=4","Abrir facsímil")</f>
        <v>Abrir facsímil</v>
      </c>
      <c r="K369" s="3" t="s">
        <v>57</v>
      </c>
    </row>
    <row r="370" spans="1:11" ht="42" customHeight="1">
      <c r="A370" s="2" t="s">
        <v>1275</v>
      </c>
      <c r="B370" s="2" t="s">
        <v>1275</v>
      </c>
      <c r="C370" s="2" t="s">
        <v>25</v>
      </c>
      <c r="D370" s="2" t="s">
        <v>26</v>
      </c>
      <c r="E370" s="3" t="s">
        <v>1276</v>
      </c>
      <c r="F370" s="3" t="s">
        <v>1277</v>
      </c>
      <c r="G370" s="3" t="s">
        <v>1278</v>
      </c>
      <c r="H370" s="2" t="s">
        <v>55</v>
      </c>
      <c r="I370" s="2" t="s">
        <v>1279</v>
      </c>
      <c r="J370" s="3" t="str">
        <f>HYPERLINK("https://www.boe.es/gazeta/dias/1809/01/03/pdfs/GMS-1809-63.pdf#page=4","Abrir facsímil")</f>
        <v>Abrir facsímil</v>
      </c>
      <c r="K370" s="3" t="s">
        <v>57</v>
      </c>
    </row>
    <row r="371" spans="1:11" ht="42" customHeight="1">
      <c r="A371" s="2" t="s">
        <v>1275</v>
      </c>
      <c r="B371" s="2" t="s">
        <v>1275</v>
      </c>
      <c r="C371" s="2" t="s">
        <v>25</v>
      </c>
      <c r="D371" s="2" t="s">
        <v>18</v>
      </c>
      <c r="E371" s="3" t="s">
        <v>761</v>
      </c>
      <c r="F371" s="3" t="s">
        <v>1218</v>
      </c>
      <c r="G371" s="3" t="s">
        <v>1280</v>
      </c>
      <c r="H371" s="2" t="s">
        <v>55</v>
      </c>
      <c r="I371" s="2" t="s">
        <v>1281</v>
      </c>
      <c r="J371" s="3" t="str">
        <f>HYPERLINK("https://www.boe.es/gazeta/dias/1809/06/02/pdfs/GGB-1809-33.pdf#page=11","Abrir facsímil")</f>
        <v>Abrir facsímil</v>
      </c>
      <c r="K371" s="3" t="s">
        <v>57</v>
      </c>
    </row>
    <row r="372" spans="1:11" ht="42" customHeight="1">
      <c r="A372" s="2" t="s">
        <v>1275</v>
      </c>
      <c r="B372" s="2" t="s">
        <v>1275</v>
      </c>
      <c r="C372" s="2" t="s">
        <v>25</v>
      </c>
      <c r="D372" s="2" t="s">
        <v>18</v>
      </c>
      <c r="E372" s="3" t="s">
        <v>1282</v>
      </c>
      <c r="F372" s="3" t="s">
        <v>1283</v>
      </c>
      <c r="G372" s="3" t="s">
        <v>21</v>
      </c>
      <c r="H372" s="2" t="s">
        <v>55</v>
      </c>
      <c r="I372" s="2" t="s">
        <v>1284</v>
      </c>
      <c r="J372" s="3" t="str">
        <f>HYPERLINK("https://www.boe.es/gazeta/dias/1809/06/26/pdfs/GGB-1809-40.pdf#page=11","Abrir facsímil")</f>
        <v>Abrir facsímil</v>
      </c>
      <c r="K372" s="3" t="s">
        <v>57</v>
      </c>
    </row>
    <row r="373" spans="1:11" ht="42" customHeight="1">
      <c r="A373" s="2" t="s">
        <v>1275</v>
      </c>
      <c r="B373" s="2" t="s">
        <v>1275</v>
      </c>
      <c r="C373" s="2" t="s">
        <v>25</v>
      </c>
      <c r="D373" s="2" t="s">
        <v>26</v>
      </c>
      <c r="E373" s="3" t="s">
        <v>1285</v>
      </c>
      <c r="F373" s="3" t="s">
        <v>1286</v>
      </c>
      <c r="G373" s="3" t="s">
        <v>234</v>
      </c>
      <c r="H373" s="2" t="s">
        <v>55</v>
      </c>
      <c r="I373" s="2" t="s">
        <v>1287</v>
      </c>
      <c r="J373" s="3" t="str">
        <f>HYPERLINK("https://www.boe.es/gazeta/dias/1809/07/01/pdfs/GMD-1809-182.pdf#page=2","Abrir facsímil")</f>
        <v>Abrir facsímil</v>
      </c>
      <c r="K373" s="3" t="s">
        <v>57</v>
      </c>
    </row>
    <row r="374" spans="1:11" ht="42" customHeight="1">
      <c r="A374" s="2" t="s">
        <v>1275</v>
      </c>
      <c r="B374" s="2" t="s">
        <v>1275</v>
      </c>
      <c r="C374" s="2" t="s">
        <v>25</v>
      </c>
      <c r="D374" s="2" t="s">
        <v>18</v>
      </c>
      <c r="E374" s="3" t="s">
        <v>1288</v>
      </c>
      <c r="F374" s="3" t="s">
        <v>1289</v>
      </c>
      <c r="G374" s="3" t="s">
        <v>1290</v>
      </c>
      <c r="H374" s="2" t="s">
        <v>55</v>
      </c>
      <c r="I374" s="2" t="s">
        <v>1291</v>
      </c>
      <c r="J374" s="3" t="str">
        <f>HYPERLINK("https://www.boe.es/gazeta/dias/1809/07/28/pdfs/GGB-1809-49.pdf#page=11","Abrir facsímil")</f>
        <v>Abrir facsímil</v>
      </c>
      <c r="K374" s="3" t="s">
        <v>57</v>
      </c>
    </row>
    <row r="375" spans="1:11" ht="42" customHeight="1">
      <c r="A375" s="2" t="s">
        <v>1275</v>
      </c>
      <c r="B375" s="2" t="s">
        <v>1275</v>
      </c>
      <c r="C375" s="2" t="s">
        <v>25</v>
      </c>
      <c r="D375" s="2" t="s">
        <v>26</v>
      </c>
      <c r="E375" s="3" t="s">
        <v>1269</v>
      </c>
      <c r="F375" s="3" t="s">
        <v>1270</v>
      </c>
      <c r="G375" s="3" t="s">
        <v>1228</v>
      </c>
      <c r="H375" s="2" t="s">
        <v>55</v>
      </c>
      <c r="I375" s="2" t="s">
        <v>1292</v>
      </c>
      <c r="J375" s="3" t="str">
        <f>HYPERLINK("https://www.boe.es/gazeta/dias/1809/08/12/pdfs/GGB-1809-52.pdf#page=3","Abrir facsímil")</f>
        <v>Abrir facsímil</v>
      </c>
      <c r="K375" s="3" t="s">
        <v>57</v>
      </c>
    </row>
    <row r="376" spans="1:11" ht="42" customHeight="1">
      <c r="A376" s="2" t="s">
        <v>1275</v>
      </c>
      <c r="B376" s="2" t="s">
        <v>1275</v>
      </c>
      <c r="C376" s="2" t="s">
        <v>25</v>
      </c>
      <c r="D376" s="2" t="s">
        <v>26</v>
      </c>
      <c r="E376" s="3" t="s">
        <v>390</v>
      </c>
      <c r="F376" s="3" t="s">
        <v>391</v>
      </c>
      <c r="G376" s="3" t="s">
        <v>1293</v>
      </c>
      <c r="H376" s="2" t="s">
        <v>55</v>
      </c>
      <c r="I376" s="2" t="s">
        <v>1294</v>
      </c>
      <c r="J376" s="3" t="str">
        <f>HYPERLINK("https://www.boe.es/gazeta/dias/1809/10/19/pdfs/GGB-1809-342.pdf#page=4","Abrir facsímil")</f>
        <v>Abrir facsímil</v>
      </c>
      <c r="K376" s="3" t="s">
        <v>57</v>
      </c>
    </row>
    <row r="377" spans="1:11" ht="42" customHeight="1">
      <c r="A377" s="2" t="s">
        <v>1295</v>
      </c>
      <c r="B377" s="2" t="s">
        <v>1296</v>
      </c>
      <c r="C377" s="2" t="s">
        <v>25</v>
      </c>
      <c r="D377" s="2" t="s">
        <v>18</v>
      </c>
      <c r="E377" s="3" t="s">
        <v>258</v>
      </c>
      <c r="F377" s="3" t="s">
        <v>910</v>
      </c>
      <c r="G377" s="3" t="s">
        <v>21</v>
      </c>
      <c r="H377" s="2" t="s">
        <v>55</v>
      </c>
      <c r="I377" s="2" t="s">
        <v>1297</v>
      </c>
      <c r="J377" s="3" t="str">
        <f>HYPERLINK("https://www.boe.es/gazeta/dias/1809/03/17/pdfs/GGB-1809-12.pdf#page=8","Abrir facsímil")</f>
        <v>Abrir facsímil</v>
      </c>
      <c r="K377" s="3" t="s">
        <v>57</v>
      </c>
    </row>
    <row r="378" spans="1:11" ht="42" customHeight="1">
      <c r="A378" s="2" t="s">
        <v>1298</v>
      </c>
      <c r="B378" s="2" t="s">
        <v>1299</v>
      </c>
      <c r="C378" s="2" t="s">
        <v>25</v>
      </c>
      <c r="D378" s="2" t="s">
        <v>40</v>
      </c>
      <c r="E378" s="3" t="s">
        <v>1300</v>
      </c>
      <c r="F378" s="3" t="s">
        <v>1301</v>
      </c>
      <c r="G378" s="3" t="s">
        <v>1302</v>
      </c>
      <c r="H378" s="2" t="s">
        <v>55</v>
      </c>
      <c r="I378" s="2" t="s">
        <v>1303</v>
      </c>
      <c r="J378" s="3" t="str">
        <f>HYPERLINK("https://www.boe.es/gazeta/dias/1809/12/27/pdfs/GMD-1809-362.pdf#page=4","Abrir facsímil")</f>
        <v>Abrir facsímil</v>
      </c>
      <c r="K378" s="3" t="s">
        <v>57</v>
      </c>
    </row>
    <row r="379" spans="1:11" ht="42" customHeight="1">
      <c r="A379" s="2" t="s">
        <v>1304</v>
      </c>
      <c r="B379" s="2" t="s">
        <v>1304</v>
      </c>
      <c r="C379" s="2" t="s">
        <v>17</v>
      </c>
      <c r="D379" s="2" t="s">
        <v>18</v>
      </c>
      <c r="E379" s="3" t="s">
        <v>232</v>
      </c>
      <c r="F379" s="3" t="s">
        <v>233</v>
      </c>
      <c r="G379" s="3" t="s">
        <v>234</v>
      </c>
      <c r="H379" s="2" t="s">
        <v>55</v>
      </c>
      <c r="I379" s="2" t="s">
        <v>1305</v>
      </c>
      <c r="J379" s="3" t="str">
        <f>HYPERLINK("https://www.boe.es/gazeta/dias/1809/06/04/pdfs/GMD-1809-155.pdf#page=4","Abrir facsímil")</f>
        <v>Abrir facsímil</v>
      </c>
      <c r="K379" s="3" t="s">
        <v>57</v>
      </c>
    </row>
    <row r="380" spans="1:11" ht="42" customHeight="1">
      <c r="A380" s="2" t="s">
        <v>1306</v>
      </c>
      <c r="B380" s="2" t="s">
        <v>1307</v>
      </c>
      <c r="C380" s="2" t="s">
        <v>17</v>
      </c>
      <c r="D380" s="2" t="s">
        <v>18</v>
      </c>
      <c r="E380" s="3" t="s">
        <v>232</v>
      </c>
      <c r="F380" s="3" t="s">
        <v>233</v>
      </c>
      <c r="G380" s="3" t="s">
        <v>234</v>
      </c>
      <c r="H380" s="2" t="s">
        <v>55</v>
      </c>
      <c r="I380" s="2" t="s">
        <v>1308</v>
      </c>
      <c r="J380" s="3" t="str">
        <f>HYPERLINK("https://www.boe.es/gazeta/dias/1809/06/04/pdfs/GMD-1809-155.pdf#page=4","Abrir facsímil")</f>
        <v>Abrir facsímil</v>
      </c>
      <c r="K380" s="3" t="s">
        <v>57</v>
      </c>
    </row>
    <row r="381" spans="1:11" ht="42" customHeight="1">
      <c r="A381" s="2" t="s">
        <v>1309</v>
      </c>
      <c r="B381" s="2" t="s">
        <v>1309</v>
      </c>
      <c r="C381" s="2" t="s">
        <v>17</v>
      </c>
      <c r="D381" s="2" t="s">
        <v>18</v>
      </c>
      <c r="E381" s="3" t="s">
        <v>73</v>
      </c>
      <c r="F381" s="3" t="s">
        <v>1045</v>
      </c>
      <c r="G381" s="3" t="s">
        <v>75</v>
      </c>
      <c r="H381" s="2" t="s">
        <v>55</v>
      </c>
      <c r="I381" s="2" t="s">
        <v>1310</v>
      </c>
      <c r="J381" s="3" t="str">
        <f>HYPERLINK("https://www.boe.es/gazeta/dias/1809/09/21/pdfs/GMD-1809-265.pdf#page=1","Abrir facsímil")</f>
        <v>Abrir facsímil</v>
      </c>
      <c r="K381" s="3" t="s">
        <v>57</v>
      </c>
    </row>
    <row r="382" spans="1:11" ht="42" customHeight="1">
      <c r="A382" s="2" t="s">
        <v>1311</v>
      </c>
      <c r="B382" s="2" t="s">
        <v>1312</v>
      </c>
      <c r="C382" s="2" t="s">
        <v>17</v>
      </c>
      <c r="D382" s="2" t="s">
        <v>18</v>
      </c>
      <c r="E382" s="3" t="s">
        <v>33</v>
      </c>
      <c r="F382" s="3" t="s">
        <v>34</v>
      </c>
      <c r="G382" s="3" t="s">
        <v>595</v>
      </c>
      <c r="H382" s="2" t="s">
        <v>55</v>
      </c>
      <c r="I382" s="2" t="s">
        <v>1313</v>
      </c>
      <c r="J382" s="3" t="str">
        <f>HYPERLINK("https://www.boe.es/gazeta/dias/1809/12/19/pdfs/GGB-1809-602.pdf#page=7","Abrir facsímil")</f>
        <v>Abrir facsímil</v>
      </c>
      <c r="K382" s="3" t="s">
        <v>57</v>
      </c>
    </row>
    <row r="383" spans="1:11" ht="42" customHeight="1">
      <c r="A383" s="2" t="s">
        <v>1314</v>
      </c>
      <c r="B383" s="2" t="s">
        <v>1315</v>
      </c>
      <c r="C383" s="2" t="s">
        <v>25</v>
      </c>
      <c r="D383" s="2" t="s">
        <v>26</v>
      </c>
      <c r="E383" s="3" t="s">
        <v>92</v>
      </c>
      <c r="F383" s="3" t="s">
        <v>93</v>
      </c>
      <c r="G383" s="3" t="s">
        <v>94</v>
      </c>
      <c r="H383" s="2" t="s">
        <v>55</v>
      </c>
      <c r="I383" s="2" t="s">
        <v>1316</v>
      </c>
      <c r="J383" s="3" t="str">
        <f>HYPERLINK("https://www.boe.es/gazeta/dias/1809/05/22/pdfs/GGB-G-1809-30.pdf#page=5","Abrir facsímil")</f>
        <v>Abrir facsímil</v>
      </c>
      <c r="K383" s="3" t="s">
        <v>57</v>
      </c>
    </row>
    <row r="384" spans="1:11" ht="42" customHeight="1">
      <c r="A384" s="2" t="s">
        <v>1317</v>
      </c>
      <c r="B384" s="2" t="s">
        <v>1318</v>
      </c>
      <c r="C384" s="2" t="s">
        <v>25</v>
      </c>
      <c r="D384" s="2" t="s">
        <v>26</v>
      </c>
      <c r="E384" s="3" t="s">
        <v>299</v>
      </c>
      <c r="F384" s="3" t="s">
        <v>300</v>
      </c>
      <c r="G384" s="3" t="s">
        <v>1319</v>
      </c>
      <c r="H384" s="2" t="s">
        <v>55</v>
      </c>
      <c r="I384" s="2" t="s">
        <v>1320</v>
      </c>
      <c r="J384" s="3" t="str">
        <f>HYPERLINK("https://www.boe.es/gazeta/dias/1809/05/26/pdfs/GGB-1809-31.pdf#page=11","Abrir facsímil")</f>
        <v>Abrir facsímil</v>
      </c>
      <c r="K384" s="3" t="s">
        <v>57</v>
      </c>
    </row>
    <row r="385" spans="1:11" ht="42" customHeight="1">
      <c r="A385" s="2" t="s">
        <v>1321</v>
      </c>
      <c r="B385" s="2" t="s">
        <v>1321</v>
      </c>
      <c r="C385" s="2" t="s">
        <v>17</v>
      </c>
      <c r="D385" s="2" t="s">
        <v>18</v>
      </c>
      <c r="E385" s="3" t="s">
        <v>102</v>
      </c>
      <c r="F385" s="3" t="s">
        <v>1095</v>
      </c>
      <c r="G385" s="3" t="s">
        <v>29</v>
      </c>
      <c r="H385" s="2" t="s">
        <v>55</v>
      </c>
      <c r="I385" s="2" t="s">
        <v>1322</v>
      </c>
      <c r="J385" s="3" t="str">
        <f>HYPERLINK("https://www.boe.es/gazeta/dias/1809/09/28/pdfs/GMD-1809-272.pdf#page=3","Abrir facsímil")</f>
        <v>Abrir facsímil</v>
      </c>
      <c r="K385" s="3" t="s">
        <v>57</v>
      </c>
    </row>
    <row r="386" spans="1:11" ht="42" customHeight="1">
      <c r="A386" s="2" t="s">
        <v>1323</v>
      </c>
      <c r="B386" s="2" t="s">
        <v>1324</v>
      </c>
      <c r="C386" s="2" t="s">
        <v>25</v>
      </c>
      <c r="D386" s="2" t="s">
        <v>72</v>
      </c>
      <c r="E386" s="3" t="s">
        <v>143</v>
      </c>
      <c r="F386" s="3" t="s">
        <v>705</v>
      </c>
      <c r="G386" s="3" t="s">
        <v>260</v>
      </c>
      <c r="H386" s="2" t="s">
        <v>55</v>
      </c>
      <c r="I386" s="2" t="s">
        <v>1325</v>
      </c>
      <c r="J386" s="3" t="str">
        <f>HYPERLINK("https://www.boe.es/gazeta/dias/1809/11/16/pdfs/GGB-H-1809-462.pdf#page=7","Abrir facsímil")</f>
        <v>Abrir facsímil</v>
      </c>
      <c r="K386" s="3" t="s">
        <v>57</v>
      </c>
    </row>
    <row r="387" spans="1:11" ht="42" customHeight="1">
      <c r="A387" s="2" t="s">
        <v>1326</v>
      </c>
      <c r="B387" s="2" t="s">
        <v>1326</v>
      </c>
      <c r="C387" s="2" t="s">
        <v>25</v>
      </c>
      <c r="D387" s="2" t="s">
        <v>26</v>
      </c>
      <c r="E387" s="3" t="s">
        <v>621</v>
      </c>
      <c r="F387" s="3" t="s">
        <v>913</v>
      </c>
      <c r="G387" s="3" t="s">
        <v>192</v>
      </c>
      <c r="H387" s="2" t="s">
        <v>55</v>
      </c>
      <c r="I387" s="2" t="s">
        <v>1327</v>
      </c>
      <c r="J387" s="3" t="str">
        <f>HYPERLINK("https://www.boe.es/gazeta/dias/1809/07/04/pdfs/GMD-1809-185.pdf#page=3","Abrir facsímil")</f>
        <v>Abrir facsímil</v>
      </c>
      <c r="K387" s="3" t="s">
        <v>57</v>
      </c>
    </row>
    <row r="388" spans="1:11" ht="42" customHeight="1">
      <c r="A388" s="2" t="s">
        <v>1328</v>
      </c>
      <c r="B388" s="2" t="s">
        <v>1328</v>
      </c>
      <c r="C388" s="2" t="s">
        <v>17</v>
      </c>
      <c r="D388" s="2" t="s">
        <v>107</v>
      </c>
      <c r="E388" s="3" t="s">
        <v>589</v>
      </c>
      <c r="F388" s="3" t="s">
        <v>1329</v>
      </c>
      <c r="G388" s="3" t="s">
        <v>154</v>
      </c>
      <c r="H388" s="2" t="s">
        <v>55</v>
      </c>
      <c r="I388" s="2" t="s">
        <v>1330</v>
      </c>
      <c r="J388" s="3" t="str">
        <f>HYPERLINK("https://www.boe.es/gazeta/dias/1809/10/05/pdfs/GMD-1809-279.pdf#page=2","Abrir facsímil")</f>
        <v>Abrir facsímil</v>
      </c>
      <c r="K388" s="3" t="s">
        <v>57</v>
      </c>
    </row>
    <row r="389" spans="1:11" ht="42" customHeight="1">
      <c r="A389" s="2" t="s">
        <v>1331</v>
      </c>
      <c r="B389" s="2" t="s">
        <v>1331</v>
      </c>
      <c r="C389" s="2" t="s">
        <v>25</v>
      </c>
      <c r="D389" s="2" t="s">
        <v>107</v>
      </c>
      <c r="E389" s="3" t="s">
        <v>1332</v>
      </c>
      <c r="F389" s="3" t="s">
        <v>1333</v>
      </c>
      <c r="G389" s="3" t="s">
        <v>374</v>
      </c>
      <c r="H389" s="2" t="s">
        <v>55</v>
      </c>
      <c r="I389" s="2" t="s">
        <v>1334</v>
      </c>
      <c r="J389" s="3" t="str">
        <f>HYPERLINK("https://www.boe.es/gazeta/dias/1809/05/09/pdfs/GMD-1809-129.pdf#page=2","Abrir facsímil")</f>
        <v>Abrir facsímil</v>
      </c>
      <c r="K389" s="3" t="s">
        <v>57</v>
      </c>
    </row>
    <row r="390" spans="1:11" ht="42" customHeight="1">
      <c r="A390" s="2" t="s">
        <v>1335</v>
      </c>
      <c r="B390" s="2" t="s">
        <v>1336</v>
      </c>
      <c r="C390" s="2" t="s">
        <v>17</v>
      </c>
      <c r="D390" s="2" t="s">
        <v>40</v>
      </c>
      <c r="E390" s="3" t="s">
        <v>627</v>
      </c>
      <c r="F390" s="3" t="s">
        <v>628</v>
      </c>
      <c r="G390" s="3" t="s">
        <v>270</v>
      </c>
      <c r="H390" s="2" t="s">
        <v>55</v>
      </c>
      <c r="I390" s="2" t="s">
        <v>1337</v>
      </c>
      <c r="J390" s="3" t="str">
        <f>HYPERLINK("https://www.boe.es/gazeta/dias/1809/08/28/pdfs/GMD-1809-241.pdf#page=3","Abrir facsímil")</f>
        <v>Abrir facsímil</v>
      </c>
      <c r="K390" s="3" t="s">
        <v>57</v>
      </c>
    </row>
    <row r="391" spans="1:11" ht="42" customHeight="1">
      <c r="A391" s="2" t="s">
        <v>1338</v>
      </c>
      <c r="B391" s="2" t="s">
        <v>1339</v>
      </c>
      <c r="C391" s="2" t="s">
        <v>39</v>
      </c>
      <c r="D391" s="2" t="s">
        <v>18</v>
      </c>
      <c r="E391" s="3" t="s">
        <v>305</v>
      </c>
      <c r="F391" s="3" t="s">
        <v>306</v>
      </c>
      <c r="G391" s="3" t="s">
        <v>29</v>
      </c>
      <c r="H391" s="2" t="s">
        <v>55</v>
      </c>
      <c r="I391" s="2" t="s">
        <v>1340</v>
      </c>
      <c r="J391" s="3" t="str">
        <f>HYPERLINK("https://www.boe.es/gazeta/dias/1809/10/20/pdfs/GMD-1809-294.pdf#page=3","Abrir facsímil")</f>
        <v>Abrir facsímil</v>
      </c>
      <c r="K391" s="3" t="s">
        <v>57</v>
      </c>
    </row>
    <row r="392" spans="1:11" ht="42" customHeight="1">
      <c r="A392" s="2" t="s">
        <v>1341</v>
      </c>
      <c r="B392" s="2" t="s">
        <v>1342</v>
      </c>
      <c r="C392" s="2" t="s">
        <v>25</v>
      </c>
      <c r="D392" s="2" t="s">
        <v>26</v>
      </c>
      <c r="E392" s="3" t="s">
        <v>1343</v>
      </c>
      <c r="F392" s="3" t="s">
        <v>1344</v>
      </c>
      <c r="G392" s="3" t="s">
        <v>270</v>
      </c>
      <c r="H392" s="2" t="s">
        <v>55</v>
      </c>
      <c r="I392" s="2" t="s">
        <v>1345</v>
      </c>
      <c r="J392" s="3" t="str">
        <f>HYPERLINK("https://www.boe.es/gazeta/dias/1809/07/24/pdfs/GMD-1809-205.pdf#page=7","Abrir facsímil")</f>
        <v>Abrir facsímil</v>
      </c>
      <c r="K392" s="3" t="s">
        <v>57</v>
      </c>
    </row>
    <row r="393" spans="1:11" ht="42" customHeight="1">
      <c r="A393" s="2" t="s">
        <v>1346</v>
      </c>
      <c r="B393" s="2" t="s">
        <v>1347</v>
      </c>
      <c r="C393" s="2" t="s">
        <v>17</v>
      </c>
      <c r="D393" s="2" t="s">
        <v>18</v>
      </c>
      <c r="E393" s="3" t="s">
        <v>893</v>
      </c>
      <c r="F393" s="3" t="s">
        <v>1348</v>
      </c>
      <c r="G393" s="3" t="s">
        <v>1349</v>
      </c>
      <c r="H393" s="2" t="s">
        <v>55</v>
      </c>
      <c r="I393" s="2" t="s">
        <v>1350</v>
      </c>
      <c r="J393" s="3" t="str">
        <f>HYPERLINK("https://www.boe.es/gazeta/dias/1809/11/02/pdfs/GGB-1809-402.pdf#page=4","Abrir facsímil")</f>
        <v>Abrir facsímil</v>
      </c>
      <c r="K393" s="3" t="s">
        <v>57</v>
      </c>
    </row>
    <row r="394" spans="1:11" ht="42" customHeight="1">
      <c r="A394" s="2" t="s">
        <v>1351</v>
      </c>
      <c r="B394" s="2" t="s">
        <v>1351</v>
      </c>
      <c r="C394" s="2" t="s">
        <v>25</v>
      </c>
      <c r="D394" s="2" t="s">
        <v>26</v>
      </c>
      <c r="E394" s="3" t="s">
        <v>1352</v>
      </c>
      <c r="F394" s="3" t="s">
        <v>1353</v>
      </c>
      <c r="G394" s="3" t="s">
        <v>89</v>
      </c>
      <c r="H394" s="2" t="s">
        <v>55</v>
      </c>
      <c r="I394" s="2" t="s">
        <v>1354</v>
      </c>
      <c r="J394" s="3" t="str">
        <f>HYPERLINK("https://www.boe.es/gazeta/dias/1809/05/27/pdfs/GMD-1809-147.pdf#page=2","Abrir facsímil")</f>
        <v>Abrir facsímil</v>
      </c>
      <c r="K394" s="3" t="s">
        <v>57</v>
      </c>
    </row>
    <row r="395" spans="1:11" ht="42" customHeight="1">
      <c r="A395" s="2" t="s">
        <v>1355</v>
      </c>
      <c r="B395" s="2" t="s">
        <v>1356</v>
      </c>
      <c r="C395" s="2" t="s">
        <v>25</v>
      </c>
      <c r="D395" s="2" t="s">
        <v>80</v>
      </c>
      <c r="E395" s="3" t="s">
        <v>179</v>
      </c>
      <c r="F395" s="3" t="s">
        <v>180</v>
      </c>
      <c r="G395" s="3" t="s">
        <v>966</v>
      </c>
      <c r="H395" s="2" t="s">
        <v>55</v>
      </c>
      <c r="I395" s="2" t="s">
        <v>1357</v>
      </c>
      <c r="J395" s="3" t="str">
        <f>HYPERLINK("https://www.boe.es/gazeta/dias/1809/12/08/pdfs/GGB-1809-552E.pdf#page=3","Abrir facsímil")</f>
        <v>Abrir facsímil</v>
      </c>
      <c r="K395" s="3" t="s">
        <v>57</v>
      </c>
    </row>
    <row r="396" spans="1:11" ht="42" customHeight="1">
      <c r="A396" s="2" t="s">
        <v>1358</v>
      </c>
      <c r="B396" s="2" t="s">
        <v>1359</v>
      </c>
      <c r="C396" s="2" t="s">
        <v>25</v>
      </c>
      <c r="D396" s="2" t="s">
        <v>26</v>
      </c>
      <c r="E396" s="3" t="s">
        <v>294</v>
      </c>
      <c r="F396" s="3" t="s">
        <v>1360</v>
      </c>
      <c r="G396" s="3" t="s">
        <v>605</v>
      </c>
      <c r="H396" s="2" t="s">
        <v>55</v>
      </c>
      <c r="I396" s="2" t="s">
        <v>1361</v>
      </c>
      <c r="J396" s="3" t="str">
        <f>HYPERLINK("https://www.boe.es/gazeta/dias/1809/09/30/pdfs/GGB-1809-262.pdf#page=8","Abrir facsímil")</f>
        <v>Abrir facsímil</v>
      </c>
      <c r="K396" s="3" t="s">
        <v>57</v>
      </c>
    </row>
    <row r="397" spans="1:11" ht="42" customHeight="1">
      <c r="A397" s="2" t="s">
        <v>1362</v>
      </c>
      <c r="B397" s="2" t="s">
        <v>1362</v>
      </c>
      <c r="C397" s="2" t="s">
        <v>25</v>
      </c>
      <c r="D397" s="2" t="s">
        <v>26</v>
      </c>
      <c r="E397" s="3" t="s">
        <v>933</v>
      </c>
      <c r="F397" s="3" t="s">
        <v>1363</v>
      </c>
      <c r="G397" s="3" t="s">
        <v>154</v>
      </c>
      <c r="H397" s="2" t="s">
        <v>55</v>
      </c>
      <c r="I397" s="2" t="s">
        <v>1364</v>
      </c>
      <c r="J397" s="3" t="str">
        <f>HYPERLINK("https://www.boe.es/gazeta/dias/1809/10/28/pdfs/GGB-1809-382.pdf#page=1","Abrir facsímil")</f>
        <v>Abrir facsímil</v>
      </c>
      <c r="K397" s="3" t="s">
        <v>57</v>
      </c>
    </row>
    <row r="398" spans="1:11" ht="42" customHeight="1">
      <c r="A398" s="2" t="s">
        <v>1365</v>
      </c>
      <c r="B398" s="2" t="s">
        <v>1366</v>
      </c>
      <c r="C398" s="2" t="s">
        <v>369</v>
      </c>
      <c r="D398" s="2" t="s">
        <v>40</v>
      </c>
      <c r="E398" s="3" t="s">
        <v>1132</v>
      </c>
      <c r="F398" s="3" t="s">
        <v>1133</v>
      </c>
      <c r="G398" s="3" t="s">
        <v>1367</v>
      </c>
      <c r="H398" s="2" t="s">
        <v>55</v>
      </c>
      <c r="I398" s="2" t="s">
        <v>1368</v>
      </c>
      <c r="J398" s="3" t="str">
        <f>HYPERLINK("https://www.boe.es/gazeta/dias/1809/11/11/pdfs/GGB-1809-442.pdf#page=8","Abrir facsímil")</f>
        <v>Abrir facsímil</v>
      </c>
      <c r="K398" s="3" t="s">
        <v>57</v>
      </c>
    </row>
    <row r="399" spans="1:11" ht="42" customHeight="1">
      <c r="A399" s="2" t="s">
        <v>1369</v>
      </c>
      <c r="B399" s="2" t="s">
        <v>1370</v>
      </c>
      <c r="C399" s="2" t="s">
        <v>17</v>
      </c>
      <c r="D399" s="2" t="s">
        <v>18</v>
      </c>
      <c r="E399" s="3" t="s">
        <v>33</v>
      </c>
      <c r="F399" s="3" t="s">
        <v>34</v>
      </c>
      <c r="G399" s="3" t="s">
        <v>493</v>
      </c>
      <c r="H399" s="2" t="s">
        <v>55</v>
      </c>
      <c r="I399" s="2" t="s">
        <v>1371</v>
      </c>
      <c r="J399" s="3" t="str">
        <f>HYPERLINK("https://www.boe.es/gazeta/dias/1809/12/19/pdfs/GGB-1809-602.pdf#page=6","Abrir facsímil")</f>
        <v>Abrir facsímil</v>
      </c>
      <c r="K399" s="3" t="s">
        <v>57</v>
      </c>
    </row>
    <row r="400" spans="1:11" ht="42" customHeight="1">
      <c r="A400" s="2" t="s">
        <v>1372</v>
      </c>
      <c r="B400" s="2" t="s">
        <v>1373</v>
      </c>
      <c r="C400" s="2" t="s">
        <v>17</v>
      </c>
      <c r="D400" s="2" t="s">
        <v>18</v>
      </c>
      <c r="E400" s="3" t="s">
        <v>33</v>
      </c>
      <c r="F400" s="3" t="s">
        <v>34</v>
      </c>
      <c r="G400" s="3" t="s">
        <v>493</v>
      </c>
      <c r="H400" s="2" t="s">
        <v>55</v>
      </c>
      <c r="I400" s="2" t="s">
        <v>1374</v>
      </c>
      <c r="J400" s="3" t="str">
        <f>HYPERLINK("https://www.boe.es/gazeta/dias/1809/12/19/pdfs/GGB-1809-602.pdf#page=6","Abrir facsímil")</f>
        <v>Abrir facsímil</v>
      </c>
      <c r="K400" s="3" t="s">
        <v>57</v>
      </c>
    </row>
    <row r="401" spans="1:11" ht="42" customHeight="1">
      <c r="A401" s="2" t="s">
        <v>1375</v>
      </c>
      <c r="B401" s="2" t="s">
        <v>1376</v>
      </c>
      <c r="C401" s="2" t="s">
        <v>25</v>
      </c>
      <c r="D401" s="2" t="s">
        <v>18</v>
      </c>
      <c r="E401" s="3" t="s">
        <v>27</v>
      </c>
      <c r="F401" s="3" t="s">
        <v>254</v>
      </c>
      <c r="G401" s="3" t="s">
        <v>239</v>
      </c>
      <c r="H401" s="2" t="s">
        <v>55</v>
      </c>
      <c r="I401" s="2" t="s">
        <v>1377</v>
      </c>
      <c r="J401" s="3" t="str">
        <f>HYPERLINK("https://www.boe.es/gazeta/dias/1809/05/12/pdfs/GGB-1809-26.pdf#page=11","Abrir facsímil")</f>
        <v>Abrir facsímil</v>
      </c>
      <c r="K401" s="3" t="s">
        <v>57</v>
      </c>
    </row>
    <row r="402" spans="1:11" ht="42" customHeight="1">
      <c r="A402" s="2" t="s">
        <v>1378</v>
      </c>
      <c r="B402" s="2" t="s">
        <v>1379</v>
      </c>
      <c r="C402" s="2" t="s">
        <v>131</v>
      </c>
      <c r="D402" s="2" t="s">
        <v>26</v>
      </c>
      <c r="E402" s="3" t="s">
        <v>515</v>
      </c>
      <c r="F402" s="3" t="s">
        <v>516</v>
      </c>
      <c r="G402" s="3" t="s">
        <v>1380</v>
      </c>
      <c r="H402" s="2" t="s">
        <v>55</v>
      </c>
      <c r="I402" s="2" t="s">
        <v>1381</v>
      </c>
      <c r="J402" s="3" t="str">
        <f>HYPERLINK("https://www.boe.es/gazeta/dias/1809/09/02/pdfs/GMD-1809-246.pdf#page=3","Abrir facsímil")</f>
        <v>Abrir facsímil</v>
      </c>
      <c r="K402" s="3" t="s">
        <v>57</v>
      </c>
    </row>
    <row r="403" spans="1:11" ht="42" customHeight="1">
      <c r="A403" s="2" t="s">
        <v>1382</v>
      </c>
      <c r="B403" s="2" t="s">
        <v>1382</v>
      </c>
      <c r="C403" s="2" t="s">
        <v>25</v>
      </c>
      <c r="D403" s="2" t="s">
        <v>26</v>
      </c>
      <c r="E403" s="3" t="s">
        <v>92</v>
      </c>
      <c r="F403" s="3" t="s">
        <v>1383</v>
      </c>
      <c r="G403" s="3" t="s">
        <v>120</v>
      </c>
      <c r="H403" s="2" t="s">
        <v>55</v>
      </c>
      <c r="I403" s="2" t="s">
        <v>1384</v>
      </c>
      <c r="J403" s="3" t="str">
        <f>HYPERLINK("https://www.boe.es/gazeta/dias/1809/05/22/pdfs/GGB-1809-30.pdf#page=6","Abrir facsímil")</f>
        <v>Abrir facsímil</v>
      </c>
      <c r="K403" s="3" t="s">
        <v>57</v>
      </c>
    </row>
    <row r="404" spans="1:11" ht="42" customHeight="1">
      <c r="A404" s="2" t="s">
        <v>1385</v>
      </c>
      <c r="B404" s="2" t="s">
        <v>1386</v>
      </c>
      <c r="C404" s="2" t="s">
        <v>17</v>
      </c>
      <c r="D404" s="2" t="s">
        <v>72</v>
      </c>
      <c r="E404" s="3" t="s">
        <v>394</v>
      </c>
      <c r="F404" s="3" t="s">
        <v>395</v>
      </c>
      <c r="G404" s="3" t="s">
        <v>396</v>
      </c>
      <c r="H404" s="2" t="s">
        <v>55</v>
      </c>
      <c r="I404" s="2" t="s">
        <v>1387</v>
      </c>
      <c r="J404" s="3" t="str">
        <f>HYPERLINK("https://www.boe.es/gazeta/dias/1809/12/14/pdfs/GGB-H-1809-582.pdf#page=2","Abrir facsímil")</f>
        <v>Abrir facsímil</v>
      </c>
      <c r="K404" s="3" t="s">
        <v>57</v>
      </c>
    </row>
    <row r="405" spans="1:11" ht="42" customHeight="1">
      <c r="A405" s="2" t="s">
        <v>1388</v>
      </c>
      <c r="B405" s="2" t="s">
        <v>1389</v>
      </c>
      <c r="C405" s="2" t="s">
        <v>25</v>
      </c>
      <c r="D405" s="2" t="s">
        <v>26</v>
      </c>
      <c r="E405" s="3" t="s">
        <v>248</v>
      </c>
      <c r="F405" s="3" t="s">
        <v>249</v>
      </c>
      <c r="G405" s="3" t="s">
        <v>192</v>
      </c>
      <c r="H405" s="2" t="s">
        <v>55</v>
      </c>
      <c r="I405" s="2" t="s">
        <v>1390</v>
      </c>
      <c r="J405" s="3" t="str">
        <f>HYPERLINK("https://www.boe.es/gazeta/dias/1809/07/26/pdfs/GGB-1809-48E.pdf#page=6","Abrir facsímil")</f>
        <v>Abrir facsímil</v>
      </c>
      <c r="K405" s="3" t="s">
        <v>57</v>
      </c>
    </row>
    <row r="406" spans="1:11" ht="42" customHeight="1">
      <c r="A406" s="2" t="s">
        <v>1391</v>
      </c>
      <c r="B406" s="2" t="s">
        <v>1392</v>
      </c>
      <c r="C406" s="2" t="s">
        <v>17</v>
      </c>
      <c r="D406" s="2" t="s">
        <v>72</v>
      </c>
      <c r="E406" s="3" t="s">
        <v>394</v>
      </c>
      <c r="F406" s="3" t="s">
        <v>395</v>
      </c>
      <c r="G406" s="3" t="s">
        <v>396</v>
      </c>
      <c r="H406" s="2" t="s">
        <v>55</v>
      </c>
      <c r="I406" s="2" t="s">
        <v>1393</v>
      </c>
      <c r="J406" s="3" t="str">
        <f>HYPERLINK("https://www.boe.es/gazeta/dias/1809/12/14/pdfs/GGB-H-1809-582.pdf#page=2","Abrir facsímil")</f>
        <v>Abrir facsímil</v>
      </c>
      <c r="K406" s="3" t="s">
        <v>57</v>
      </c>
    </row>
    <row r="407" spans="1:11" ht="42" customHeight="1">
      <c r="A407" s="2" t="s">
        <v>1394</v>
      </c>
      <c r="B407" s="2" t="s">
        <v>1395</v>
      </c>
      <c r="C407" s="2" t="s">
        <v>47</v>
      </c>
      <c r="D407" s="2" t="s">
        <v>18</v>
      </c>
      <c r="E407" s="3" t="s">
        <v>1396</v>
      </c>
      <c r="F407" s="3" t="s">
        <v>1397</v>
      </c>
      <c r="G407" s="3" t="s">
        <v>1398</v>
      </c>
      <c r="H407" s="2" t="s">
        <v>55</v>
      </c>
      <c r="I407" s="2" t="s">
        <v>1399</v>
      </c>
      <c r="J407" s="3" t="str">
        <f>HYPERLINK("https://www.boe.es/gazeta/dias/1809/11/28/pdfs/GGB-1809-512.pdf#page=7","Abrir facsímil")</f>
        <v>Abrir facsímil</v>
      </c>
      <c r="K407" s="3" t="s">
        <v>57</v>
      </c>
    </row>
    <row r="408" spans="1:11" ht="42" customHeight="1">
      <c r="A408" s="2" t="s">
        <v>1400</v>
      </c>
      <c r="B408" s="2" t="s">
        <v>1401</v>
      </c>
      <c r="C408" s="2" t="s">
        <v>25</v>
      </c>
      <c r="D408" s="2" t="s">
        <v>18</v>
      </c>
      <c r="E408" s="3" t="s">
        <v>809</v>
      </c>
      <c r="F408" s="3" t="s">
        <v>1402</v>
      </c>
      <c r="G408" s="3" t="s">
        <v>1403</v>
      </c>
      <c r="H408" s="2" t="s">
        <v>55</v>
      </c>
      <c r="I408" s="2" t="s">
        <v>1404</v>
      </c>
      <c r="J408" s="3" t="str">
        <f>HYPERLINK("https://www.boe.es/gazeta/dias/1809/08/19/pdfs/GGB-1809-82.pdf#page=5","Abrir facsímil")</f>
        <v>Abrir facsímil</v>
      </c>
      <c r="K408" s="3" t="s">
        <v>57</v>
      </c>
    </row>
    <row r="409" spans="1:11" ht="42" customHeight="1">
      <c r="A409" s="2" t="s">
        <v>1405</v>
      </c>
      <c r="B409" s="2" t="s">
        <v>1406</v>
      </c>
      <c r="C409" s="2" t="s">
        <v>25</v>
      </c>
      <c r="D409" s="2" t="s">
        <v>26</v>
      </c>
      <c r="E409" s="3" t="s">
        <v>207</v>
      </c>
      <c r="F409" s="3" t="s">
        <v>208</v>
      </c>
      <c r="G409" s="3" t="s">
        <v>209</v>
      </c>
      <c r="H409" s="2" t="s">
        <v>55</v>
      </c>
      <c r="I409" s="2" t="s">
        <v>1407</v>
      </c>
      <c r="J409" s="3" t="str">
        <f>HYPERLINK("https://www.boe.es/gazeta/dias/1809/09/16/pdfs/GMD-1809-260.pdf#page=4","Abrir facsímil")</f>
        <v>Abrir facsímil</v>
      </c>
      <c r="K409" s="3" t="s">
        <v>57</v>
      </c>
    </row>
    <row r="410" spans="1:11" ht="42" customHeight="1">
      <c r="A410" s="2" t="s">
        <v>1408</v>
      </c>
      <c r="B410" s="2" t="s">
        <v>1408</v>
      </c>
      <c r="C410" s="2" t="s">
        <v>25</v>
      </c>
      <c r="D410" s="2" t="s">
        <v>72</v>
      </c>
      <c r="E410" s="3" t="s">
        <v>394</v>
      </c>
      <c r="F410" s="3" t="s">
        <v>395</v>
      </c>
      <c r="G410" s="3" t="s">
        <v>234</v>
      </c>
      <c r="H410" s="2" t="s">
        <v>55</v>
      </c>
      <c r="I410" s="2" t="s">
        <v>1409</v>
      </c>
      <c r="J410" s="3" t="str">
        <f>HYPERLINK("https://www.boe.es/gazeta/dias/1809/12/14/pdfs/GGB-H-1809-582.pdf#page=1","Abrir facsímil")</f>
        <v>Abrir facsímil</v>
      </c>
      <c r="K410" s="3" t="s">
        <v>57</v>
      </c>
    </row>
    <row r="411" spans="1:11" ht="42" customHeight="1">
      <c r="A411" s="2" t="s">
        <v>1410</v>
      </c>
      <c r="B411" s="2" t="s">
        <v>1411</v>
      </c>
      <c r="C411" s="2" t="s">
        <v>25</v>
      </c>
      <c r="D411" s="2" t="s">
        <v>80</v>
      </c>
      <c r="E411" s="3" t="s">
        <v>179</v>
      </c>
      <c r="F411" s="3" t="s">
        <v>180</v>
      </c>
      <c r="G411" s="3" t="s">
        <v>239</v>
      </c>
      <c r="H411" s="2" t="s">
        <v>55</v>
      </c>
      <c r="I411" s="2" t="s">
        <v>1412</v>
      </c>
      <c r="J411" s="3" t="str">
        <f>HYPERLINK("https://www.boe.es/gazeta/dias/1809/12/08/pdfs/GGB-1809-552E.pdf#page=2","Abrir facsímil")</f>
        <v>Abrir facsímil</v>
      </c>
      <c r="K411" s="3" t="s">
        <v>57</v>
      </c>
    </row>
    <row r="412" spans="1:11" ht="42" customHeight="1">
      <c r="A412" s="2" t="s">
        <v>1413</v>
      </c>
      <c r="B412" s="2" t="s">
        <v>1414</v>
      </c>
      <c r="C412" s="2" t="s">
        <v>25</v>
      </c>
      <c r="D412" s="2" t="s">
        <v>26</v>
      </c>
      <c r="E412" s="3" t="s">
        <v>216</v>
      </c>
      <c r="F412" s="3" t="s">
        <v>217</v>
      </c>
      <c r="G412" s="3" t="s">
        <v>439</v>
      </c>
      <c r="H412" s="2" t="s">
        <v>55</v>
      </c>
      <c r="I412" s="2" t="s">
        <v>1415</v>
      </c>
      <c r="J412" s="3" t="str">
        <f>HYPERLINK("https://www.boe.es/gazeta/dias/1809/12/05/pdfs/GGB-H-1809-542.pdf#page=7","Abrir facsímil")</f>
        <v>Abrir facsímil</v>
      </c>
      <c r="K412" s="3" t="s">
        <v>57</v>
      </c>
    </row>
    <row r="413" spans="1:11" ht="42" customHeight="1">
      <c r="A413" s="2" t="s">
        <v>1416</v>
      </c>
      <c r="B413" s="2" t="s">
        <v>1416</v>
      </c>
      <c r="C413" s="2" t="s">
        <v>25</v>
      </c>
      <c r="D413" s="2" t="s">
        <v>26</v>
      </c>
      <c r="E413" s="3" t="s">
        <v>211</v>
      </c>
      <c r="F413" s="3" t="s">
        <v>212</v>
      </c>
      <c r="G413" s="3" t="s">
        <v>213</v>
      </c>
      <c r="H413" s="2" t="s">
        <v>55</v>
      </c>
      <c r="I413" s="2" t="s">
        <v>1417</v>
      </c>
      <c r="J413" s="3" t="str">
        <f>HYPERLINK("https://www.boe.es/gazeta/dias/1809/10/27/pdfs/GMD-1809-301.pdf#page=4","Abrir facsímil")</f>
        <v>Abrir facsímil</v>
      </c>
      <c r="K413" s="3" t="s">
        <v>57</v>
      </c>
    </row>
    <row r="414" spans="1:11" ht="42" customHeight="1">
      <c r="A414" s="2" t="s">
        <v>1416</v>
      </c>
      <c r="B414" s="2" t="s">
        <v>1416</v>
      </c>
      <c r="C414" s="2" t="s">
        <v>25</v>
      </c>
      <c r="D414" s="2" t="s">
        <v>26</v>
      </c>
      <c r="E414" s="3" t="s">
        <v>216</v>
      </c>
      <c r="F414" s="3" t="s">
        <v>217</v>
      </c>
      <c r="G414" s="3" t="s">
        <v>218</v>
      </c>
      <c r="H414" s="2" t="s">
        <v>55</v>
      </c>
      <c r="I414" s="2" t="s">
        <v>1418</v>
      </c>
      <c r="J414" s="3" t="str">
        <f>HYPERLINK("https://www.boe.es/gazeta/dias/1809/12/05/pdfs/GGB-H-1809-542.pdf#page=6","Abrir facsímil")</f>
        <v>Abrir facsímil</v>
      </c>
      <c r="K414" s="3" t="s">
        <v>57</v>
      </c>
    </row>
    <row r="415" spans="1:11" ht="42" customHeight="1">
      <c r="A415" s="2" t="s">
        <v>1419</v>
      </c>
      <c r="B415" s="2" t="s">
        <v>1420</v>
      </c>
      <c r="C415" s="2" t="s">
        <v>25</v>
      </c>
      <c r="D415" s="2" t="s">
        <v>80</v>
      </c>
      <c r="E415" s="3" t="s">
        <v>179</v>
      </c>
      <c r="F415" s="3" t="s">
        <v>180</v>
      </c>
      <c r="G415" s="3" t="s">
        <v>62</v>
      </c>
      <c r="H415" s="2" t="s">
        <v>55</v>
      </c>
      <c r="I415" s="2" t="s">
        <v>1421</v>
      </c>
      <c r="J415" s="3" t="str">
        <f>HYPERLINK("https://www.boe.es/gazeta/dias/1809/12/08/pdfs/GGB-1809-552E.pdf#page=1","Abrir facsímil")</f>
        <v>Abrir facsímil</v>
      </c>
      <c r="K415" s="3" t="s">
        <v>57</v>
      </c>
    </row>
    <row r="416" spans="1:11" ht="42" customHeight="1">
      <c r="A416" s="2" t="s">
        <v>1422</v>
      </c>
      <c r="B416" s="2" t="s">
        <v>1423</v>
      </c>
      <c r="C416" s="2" t="s">
        <v>25</v>
      </c>
      <c r="D416" s="2" t="s">
        <v>18</v>
      </c>
      <c r="E416" s="3" t="s">
        <v>294</v>
      </c>
      <c r="F416" s="3" t="s">
        <v>1360</v>
      </c>
      <c r="G416" s="3" t="s">
        <v>1424</v>
      </c>
      <c r="H416" s="2" t="s">
        <v>55</v>
      </c>
      <c r="I416" s="2" t="s">
        <v>1425</v>
      </c>
      <c r="J416" s="3" t="str">
        <f>HYPERLINK("https://www.boe.es/gazeta/dias/1809/09/30/pdfs/GGB-1809-262.pdf#page=5","Abrir facsímil")</f>
        <v>Abrir facsímil</v>
      </c>
      <c r="K416" s="3" t="s">
        <v>57</v>
      </c>
    </row>
    <row r="417" spans="1:11" ht="42" customHeight="1">
      <c r="A417" s="2" t="s">
        <v>1426</v>
      </c>
      <c r="B417" s="2" t="s">
        <v>1427</v>
      </c>
      <c r="C417" s="2" t="s">
        <v>25</v>
      </c>
      <c r="D417" s="2" t="s">
        <v>72</v>
      </c>
      <c r="E417" s="3" t="s">
        <v>118</v>
      </c>
      <c r="F417" s="3" t="s">
        <v>819</v>
      </c>
      <c r="G417" s="3" t="s">
        <v>541</v>
      </c>
      <c r="H417" s="2" t="s">
        <v>55</v>
      </c>
      <c r="I417" s="2" t="s">
        <v>1428</v>
      </c>
      <c r="J417" s="3" t="str">
        <f>HYPERLINK("https://www.boe.es/gazeta/dias/1809/09/07/pdfs/GGB-H-1809-162.pdf#page=6","Abrir facsímil")</f>
        <v>Abrir facsímil</v>
      </c>
      <c r="K417" s="3" t="s">
        <v>57</v>
      </c>
    </row>
    <row r="418" spans="1:11" ht="42" customHeight="1">
      <c r="A418" s="2" t="s">
        <v>1429</v>
      </c>
      <c r="B418" s="2" t="s">
        <v>1429</v>
      </c>
      <c r="C418" s="2" t="s">
        <v>25</v>
      </c>
      <c r="D418" s="2" t="s">
        <v>107</v>
      </c>
      <c r="E418" s="3" t="s">
        <v>482</v>
      </c>
      <c r="F418" s="3" t="s">
        <v>483</v>
      </c>
      <c r="G418" s="3" t="s">
        <v>918</v>
      </c>
      <c r="H418" s="2" t="s">
        <v>55</v>
      </c>
      <c r="I418" s="2" t="s">
        <v>1430</v>
      </c>
      <c r="J418" s="3" t="str">
        <f>HYPERLINK("https://www.boe.es/gazeta/dias/1809/06/15/pdfs/GMD-1809-166.pdf#page=2","Abrir facsímil")</f>
        <v>Abrir facsímil</v>
      </c>
      <c r="K418" s="3" t="s">
        <v>57</v>
      </c>
    </row>
    <row r="419" spans="1:11" ht="42" customHeight="1">
      <c r="A419" s="2" t="s">
        <v>1431</v>
      </c>
      <c r="B419" s="2" t="s">
        <v>1432</v>
      </c>
      <c r="C419" s="2" t="s">
        <v>25</v>
      </c>
      <c r="D419" s="2" t="s">
        <v>26</v>
      </c>
      <c r="E419" s="3" t="s">
        <v>589</v>
      </c>
      <c r="F419" s="3" t="s">
        <v>590</v>
      </c>
      <c r="G419" s="3" t="s">
        <v>1433</v>
      </c>
      <c r="H419" s="2" t="s">
        <v>55</v>
      </c>
      <c r="I419" s="2" t="s">
        <v>1434</v>
      </c>
      <c r="J419" s="3" t="str">
        <f>HYPERLINK("https://www.boe.es/gazeta/dias/1809/10/05/pdfs/GGB-1809-282.pdf#page=8","Abrir facsímil")</f>
        <v>Abrir facsímil</v>
      </c>
      <c r="K419" s="3" t="s">
        <v>57</v>
      </c>
    </row>
    <row r="420" spans="1:11" ht="42" customHeight="1">
      <c r="A420" s="2" t="s">
        <v>1435</v>
      </c>
      <c r="B420" s="2" t="s">
        <v>1435</v>
      </c>
      <c r="C420" s="2" t="s">
        <v>25</v>
      </c>
      <c r="D420" s="2" t="s">
        <v>26</v>
      </c>
      <c r="E420" s="3" t="s">
        <v>66</v>
      </c>
      <c r="F420" s="3" t="s">
        <v>793</v>
      </c>
      <c r="G420" s="3" t="s">
        <v>1436</v>
      </c>
      <c r="H420" s="2" t="s">
        <v>55</v>
      </c>
      <c r="I420" s="2" t="s">
        <v>1437</v>
      </c>
      <c r="J420" s="3" t="str">
        <f>HYPERLINK("https://www.boe.es/gazeta/dias/1809/12/30/pdfs/GMD-1809-365.pdf#page=2","Abrir facsímil")</f>
        <v>Abrir facsímil</v>
      </c>
      <c r="K420" s="3" t="s">
        <v>57</v>
      </c>
    </row>
    <row r="421" spans="1:11" ht="42" customHeight="1">
      <c r="A421" s="2" t="s">
        <v>1438</v>
      </c>
      <c r="B421" s="2" t="s">
        <v>1438</v>
      </c>
      <c r="C421" s="2" t="s">
        <v>131</v>
      </c>
      <c r="D421" s="2" t="s">
        <v>107</v>
      </c>
      <c r="E421" s="3" t="s">
        <v>1439</v>
      </c>
      <c r="F421" s="3" t="s">
        <v>1440</v>
      </c>
      <c r="G421" s="3" t="s">
        <v>1441</v>
      </c>
      <c r="H421" s="2" t="s">
        <v>22</v>
      </c>
      <c r="I421" s="2" t="s">
        <v>1442</v>
      </c>
      <c r="J421" s="3" t="str">
        <f>HYPERLINK("https://www.boe.es/gazeta/dias/1809/12/06/pdfs/GMD-1809-341.pdf#page=2","Abrir facsímil")</f>
        <v>Abrir facsímil</v>
      </c>
      <c r="K421" s="3" t="s">
        <v>24</v>
      </c>
    </row>
    <row r="422" spans="1:11" ht="42" customHeight="1">
      <c r="A422" s="2" t="s">
        <v>1443</v>
      </c>
      <c r="B422" s="2" t="s">
        <v>1443</v>
      </c>
      <c r="C422" s="2" t="s">
        <v>25</v>
      </c>
      <c r="D422" s="2" t="s">
        <v>26</v>
      </c>
      <c r="E422" s="3" t="s">
        <v>1126</v>
      </c>
      <c r="F422" s="3" t="s">
        <v>1444</v>
      </c>
      <c r="G422" s="3" t="s">
        <v>1152</v>
      </c>
      <c r="H422" s="2" t="s">
        <v>55</v>
      </c>
      <c r="I422" s="2" t="s">
        <v>1445</v>
      </c>
      <c r="J422" s="3" t="str">
        <f>HYPERLINK("https://www.boe.es/gazeta/dias/1809/06/30/pdfs/GGB-1809-41.pdf#page=5","Abrir facsímil")</f>
        <v>Abrir facsímil</v>
      </c>
      <c r="K422" s="3" t="s">
        <v>57</v>
      </c>
    </row>
    <row r="423" spans="1:11" ht="42" customHeight="1">
      <c r="A423" s="2" t="s">
        <v>1446</v>
      </c>
      <c r="B423" s="2" t="s">
        <v>1447</v>
      </c>
      <c r="C423" s="2" t="s">
        <v>17</v>
      </c>
      <c r="D423" s="2" t="s">
        <v>18</v>
      </c>
      <c r="E423" s="3" t="s">
        <v>666</v>
      </c>
      <c r="F423" s="3" t="s">
        <v>667</v>
      </c>
      <c r="G423" s="3" t="s">
        <v>1448</v>
      </c>
      <c r="H423" s="2" t="s">
        <v>55</v>
      </c>
      <c r="I423" s="2" t="s">
        <v>1449</v>
      </c>
      <c r="J423" s="3" t="str">
        <f>HYPERLINK("https://www.boe.es/gazeta/dias/1809/08/29/pdfs/GGB-1809-122.pdf#page=7","Abrir facsímil")</f>
        <v>Abrir facsímil</v>
      </c>
      <c r="K423" s="3" t="s">
        <v>57</v>
      </c>
    </row>
    <row r="424" spans="1:11" ht="42" customHeight="1">
      <c r="A424" s="2" t="s">
        <v>1450</v>
      </c>
      <c r="B424" s="2" t="s">
        <v>1450</v>
      </c>
      <c r="C424" s="2" t="s">
        <v>25</v>
      </c>
      <c r="D424" s="2" t="s">
        <v>18</v>
      </c>
      <c r="E424" s="3" t="s">
        <v>925</v>
      </c>
      <c r="F424" s="3" t="s">
        <v>1451</v>
      </c>
      <c r="G424" s="3" t="s">
        <v>1452</v>
      </c>
      <c r="H424" s="2" t="s">
        <v>55</v>
      </c>
      <c r="I424" s="2" t="s">
        <v>1453</v>
      </c>
      <c r="J424" s="3" t="str">
        <f>HYPERLINK("https://www.boe.es/gazeta/dias/1809/01/11/pdfs/GMD-1809-11.pdf#page=1","Abrir facsímil")</f>
        <v>Abrir facsímil</v>
      </c>
      <c r="K424" s="3" t="s">
        <v>57</v>
      </c>
    </row>
    <row r="425" spans="1:11" ht="42" customHeight="1">
      <c r="A425" s="2" t="s">
        <v>1454</v>
      </c>
      <c r="B425" s="2" t="s">
        <v>1455</v>
      </c>
      <c r="C425" s="2" t="s">
        <v>17</v>
      </c>
      <c r="D425" s="2" t="s">
        <v>72</v>
      </c>
      <c r="E425" s="3" t="s">
        <v>53</v>
      </c>
      <c r="F425" s="3" t="s">
        <v>1456</v>
      </c>
      <c r="G425" s="3" t="s">
        <v>120</v>
      </c>
      <c r="H425" s="2" t="s">
        <v>55</v>
      </c>
      <c r="I425" s="2" t="s">
        <v>1457</v>
      </c>
      <c r="J425" s="3" t="str">
        <f>HYPERLINK("https://www.boe.es/gazeta/dias/1809/03/03/pdfs/GGB-G-1809-10.pdf#page=7","Abrir facsímil")</f>
        <v>Abrir facsímil</v>
      </c>
      <c r="K425" s="3" t="s">
        <v>57</v>
      </c>
    </row>
    <row r="426" spans="1:11" ht="42" customHeight="1">
      <c r="A426" s="2" t="s">
        <v>1458</v>
      </c>
      <c r="B426" s="2" t="s">
        <v>1459</v>
      </c>
      <c r="C426" s="2" t="s">
        <v>369</v>
      </c>
      <c r="D426" s="2" t="s">
        <v>18</v>
      </c>
      <c r="E426" s="3" t="s">
        <v>1460</v>
      </c>
      <c r="F426" s="3" t="s">
        <v>1461</v>
      </c>
      <c r="G426" s="3" t="s">
        <v>75</v>
      </c>
      <c r="H426" s="2" t="s">
        <v>55</v>
      </c>
      <c r="I426" s="2" t="s">
        <v>1462</v>
      </c>
      <c r="J426" s="3" t="str">
        <f>HYPERLINK("https://www.boe.es/gazeta/dias/1809/04/02/pdfs/GMD-1809-92.pdf#page=4","Abrir facsímil")</f>
        <v>Abrir facsímil</v>
      </c>
      <c r="K426" s="3" t="s">
        <v>57</v>
      </c>
    </row>
    <row r="427" spans="1:11" ht="42" customHeight="1">
      <c r="A427" s="2" t="s">
        <v>1463</v>
      </c>
      <c r="B427" s="2" t="s">
        <v>1464</v>
      </c>
      <c r="C427" s="2" t="s">
        <v>17</v>
      </c>
      <c r="D427" s="2" t="s">
        <v>80</v>
      </c>
      <c r="E427" s="3" t="s">
        <v>179</v>
      </c>
      <c r="F427" s="3" t="s">
        <v>180</v>
      </c>
      <c r="G427" s="3" t="s">
        <v>966</v>
      </c>
      <c r="H427" s="2" t="s">
        <v>55</v>
      </c>
      <c r="I427" s="2" t="s">
        <v>1465</v>
      </c>
      <c r="J427" s="3" t="str">
        <f>HYPERLINK("https://www.boe.es/gazeta/dias/1809/12/08/pdfs/GGB-1809-552E.pdf#page=3","Abrir facsímil")</f>
        <v>Abrir facsímil</v>
      </c>
      <c r="K427" s="3" t="s">
        <v>57</v>
      </c>
    </row>
    <row r="428" spans="1:11" ht="42" customHeight="1">
      <c r="A428" s="2" t="s">
        <v>1466</v>
      </c>
      <c r="B428" s="2" t="s">
        <v>1467</v>
      </c>
      <c r="C428" s="2" t="s">
        <v>17</v>
      </c>
      <c r="D428" s="2" t="s">
        <v>18</v>
      </c>
      <c r="E428" s="3" t="s">
        <v>1468</v>
      </c>
      <c r="F428" s="3" t="s">
        <v>1469</v>
      </c>
      <c r="G428" s="3" t="s">
        <v>104</v>
      </c>
      <c r="H428" s="2" t="s">
        <v>55</v>
      </c>
      <c r="I428" s="2" t="s">
        <v>1470</v>
      </c>
      <c r="J428" s="3" t="str">
        <f>HYPERLINK("https://www.boe.es/gazeta/dias/1809/02/12/pdfs/GMD-1809-43.pdf#page=6","Abrir facsímil")</f>
        <v>Abrir facsímil</v>
      </c>
      <c r="K428" s="3" t="s">
        <v>57</v>
      </c>
    </row>
    <row r="429" spans="1:11" ht="42" customHeight="1">
      <c r="A429" s="2" t="s">
        <v>1471</v>
      </c>
      <c r="B429" s="2" t="s">
        <v>1471</v>
      </c>
      <c r="C429" s="2" t="s">
        <v>25</v>
      </c>
      <c r="D429" s="2" t="s">
        <v>18</v>
      </c>
      <c r="E429" s="3" t="s">
        <v>1343</v>
      </c>
      <c r="F429" s="3" t="s">
        <v>1344</v>
      </c>
      <c r="G429" s="3" t="s">
        <v>340</v>
      </c>
      <c r="H429" s="2" t="s">
        <v>55</v>
      </c>
      <c r="I429" s="2" t="s">
        <v>1472</v>
      </c>
      <c r="J429" s="3" t="str">
        <f>HYPERLINK("https://www.boe.es/gazeta/dias/1809/07/24/pdfs/GMD-1809-205.pdf#page=4","Abrir facsímil")</f>
        <v>Abrir facsímil</v>
      </c>
      <c r="K429" s="3" t="s">
        <v>57</v>
      </c>
    </row>
    <row r="430" spans="1:11" ht="42" customHeight="1">
      <c r="A430" s="2" t="s">
        <v>1473</v>
      </c>
      <c r="B430" s="2" t="s">
        <v>1474</v>
      </c>
      <c r="C430" s="2" t="s">
        <v>17</v>
      </c>
      <c r="D430" s="2" t="s">
        <v>18</v>
      </c>
      <c r="E430" s="3" t="s">
        <v>33</v>
      </c>
      <c r="F430" s="3" t="s">
        <v>34</v>
      </c>
      <c r="G430" s="3" t="s">
        <v>595</v>
      </c>
      <c r="H430" s="2" t="s">
        <v>55</v>
      </c>
      <c r="I430" s="2" t="s">
        <v>1475</v>
      </c>
      <c r="J430" s="3" t="str">
        <f>HYPERLINK("https://www.boe.es/gazeta/dias/1809/12/19/pdfs/GGB-1809-602.pdf#page=7","Abrir facsímil")</f>
        <v>Abrir facsímil</v>
      </c>
      <c r="K430" s="3" t="s">
        <v>57</v>
      </c>
    </row>
    <row r="431" spans="1:11" ht="42" customHeight="1">
      <c r="A431" s="2" t="s">
        <v>1476</v>
      </c>
      <c r="B431" s="2" t="s">
        <v>1476</v>
      </c>
      <c r="C431" s="2" t="s">
        <v>25</v>
      </c>
      <c r="D431" s="2" t="s">
        <v>18</v>
      </c>
      <c r="E431" s="3" t="s">
        <v>1477</v>
      </c>
      <c r="F431" s="3" t="s">
        <v>1478</v>
      </c>
      <c r="G431" s="3" t="s">
        <v>75</v>
      </c>
      <c r="H431" s="2" t="s">
        <v>55</v>
      </c>
      <c r="I431" s="2" t="s">
        <v>1479</v>
      </c>
      <c r="J431" s="3" t="str">
        <f>HYPERLINK("https://www.boe.es/gazeta/dias/1809/09/06/pdfs/GMD-1809-250.pdf#page=2","Abrir facsímil")</f>
        <v>Abrir facsímil</v>
      </c>
      <c r="K431" s="3" t="s">
        <v>57</v>
      </c>
    </row>
    <row r="432" spans="1:11" ht="42" customHeight="1">
      <c r="A432" s="2" t="s">
        <v>1480</v>
      </c>
      <c r="B432" s="2" t="s">
        <v>1480</v>
      </c>
      <c r="C432" s="2" t="s">
        <v>25</v>
      </c>
      <c r="D432" s="2" t="s">
        <v>26</v>
      </c>
      <c r="E432" s="3" t="s">
        <v>1481</v>
      </c>
      <c r="F432" s="3" t="s">
        <v>1482</v>
      </c>
      <c r="G432" s="3" t="s">
        <v>75</v>
      </c>
      <c r="H432" s="2" t="s">
        <v>55</v>
      </c>
      <c r="I432" s="2" t="s">
        <v>1483</v>
      </c>
      <c r="J432" s="3" t="str">
        <f>HYPERLINK("https://www.boe.es/gazeta/dias/1809/08/02/pdfs/GMD-1809-215.pdf#page=2","Abrir facsímil")</f>
        <v>Abrir facsímil</v>
      </c>
      <c r="K432" s="3" t="s">
        <v>57</v>
      </c>
    </row>
    <row r="433" spans="1:11" ht="42" customHeight="1">
      <c r="A433" s="2" t="s">
        <v>1484</v>
      </c>
      <c r="B433" s="2" t="s">
        <v>1484</v>
      </c>
      <c r="C433" s="2" t="s">
        <v>25</v>
      </c>
      <c r="D433" s="2" t="s">
        <v>26</v>
      </c>
      <c r="E433" s="3" t="s">
        <v>776</v>
      </c>
      <c r="F433" s="3" t="s">
        <v>1485</v>
      </c>
      <c r="G433" s="3" t="s">
        <v>225</v>
      </c>
      <c r="H433" s="2" t="s">
        <v>55</v>
      </c>
      <c r="I433" s="2" t="s">
        <v>1486</v>
      </c>
      <c r="J433" s="3" t="str">
        <f>HYPERLINK("https://www.boe.es/gazeta/dias/1809/05/28/pdfs/GGB-1809-31E2.pdf#page=4","Abrir facsímil")</f>
        <v>Abrir facsímil</v>
      </c>
      <c r="K433" s="3" t="s">
        <v>57</v>
      </c>
    </row>
    <row r="434" spans="1:11" ht="42" customHeight="1">
      <c r="A434" s="2" t="s">
        <v>1487</v>
      </c>
      <c r="B434" s="2" t="s">
        <v>1487</v>
      </c>
      <c r="C434" s="2" t="s">
        <v>25</v>
      </c>
      <c r="D434" s="2" t="s">
        <v>40</v>
      </c>
      <c r="E434" s="3" t="s">
        <v>482</v>
      </c>
      <c r="F434" s="3" t="s">
        <v>483</v>
      </c>
      <c r="G434" s="3" t="s">
        <v>484</v>
      </c>
      <c r="H434" s="2" t="s">
        <v>55</v>
      </c>
      <c r="I434" s="2" t="s">
        <v>1488</v>
      </c>
      <c r="J434" s="3" t="str">
        <f>HYPERLINK("https://www.boe.es/gazeta/dias/1809/06/15/pdfs/GMD-1809-166.pdf#page=3","Abrir facsímil")</f>
        <v>Abrir facsímil</v>
      </c>
      <c r="K434" s="3" t="s">
        <v>57</v>
      </c>
    </row>
    <row r="435" spans="1:11" ht="42" customHeight="1">
      <c r="A435" s="2" t="s">
        <v>1487</v>
      </c>
      <c r="B435" s="2" t="s">
        <v>1487</v>
      </c>
      <c r="C435" s="2" t="s">
        <v>25</v>
      </c>
      <c r="D435" s="2" t="s">
        <v>26</v>
      </c>
      <c r="E435" s="3" t="s">
        <v>1489</v>
      </c>
      <c r="F435" s="3" t="s">
        <v>1490</v>
      </c>
      <c r="G435" s="3" t="s">
        <v>736</v>
      </c>
      <c r="H435" s="2" t="s">
        <v>55</v>
      </c>
      <c r="I435" s="2" t="s">
        <v>1491</v>
      </c>
      <c r="J435" s="3" t="str">
        <f>HYPERLINK("https://www.boe.es/gazeta/dias/1809/06/28/pdfs/GMD-1809-179.pdf#page=1","Abrir facsímil")</f>
        <v>Abrir facsímil</v>
      </c>
      <c r="K435" s="3" t="s">
        <v>57</v>
      </c>
    </row>
    <row r="436" spans="1:11" ht="42" customHeight="1">
      <c r="A436" s="2" t="s">
        <v>1487</v>
      </c>
      <c r="B436" s="2" t="s">
        <v>1487</v>
      </c>
      <c r="C436" s="2" t="s">
        <v>25</v>
      </c>
      <c r="D436" s="2" t="s">
        <v>107</v>
      </c>
      <c r="E436" s="3" t="s">
        <v>1126</v>
      </c>
      <c r="F436" s="3" t="s">
        <v>1127</v>
      </c>
      <c r="G436" s="3" t="s">
        <v>62</v>
      </c>
      <c r="H436" s="2" t="s">
        <v>55</v>
      </c>
      <c r="I436" s="2" t="s">
        <v>1492</v>
      </c>
      <c r="J436" s="3" t="str">
        <f>HYPERLINK("https://www.boe.es/gazeta/dias/1809/06/30/pdfs/GMD-1809-181.pdf#page=2","Abrir facsímil")</f>
        <v>Abrir facsímil</v>
      </c>
      <c r="K436" s="3" t="s">
        <v>57</v>
      </c>
    </row>
    <row r="437" spans="1:11" ht="42" customHeight="1">
      <c r="A437" s="2" t="s">
        <v>1487</v>
      </c>
      <c r="B437" s="2" t="s">
        <v>1487</v>
      </c>
      <c r="C437" s="2" t="s">
        <v>25</v>
      </c>
      <c r="D437" s="2" t="s">
        <v>18</v>
      </c>
      <c r="E437" s="3" t="s">
        <v>1493</v>
      </c>
      <c r="F437" s="3" t="s">
        <v>1494</v>
      </c>
      <c r="G437" s="3" t="s">
        <v>1319</v>
      </c>
      <c r="H437" s="2" t="s">
        <v>55</v>
      </c>
      <c r="I437" s="2" t="s">
        <v>1495</v>
      </c>
      <c r="J437" s="3" t="str">
        <f>HYPERLINK("https://www.boe.es/gazeta/dias/1809/08/25/pdfs/GMD-1809-238.pdf#page=1","Abrir facsímil")</f>
        <v>Abrir facsímil</v>
      </c>
      <c r="K437" s="3" t="s">
        <v>57</v>
      </c>
    </row>
    <row r="438" spans="1:11" ht="42" customHeight="1">
      <c r="A438" s="2" t="s">
        <v>1487</v>
      </c>
      <c r="B438" s="2" t="s">
        <v>1487</v>
      </c>
      <c r="C438" s="2" t="s">
        <v>25</v>
      </c>
      <c r="D438" s="2" t="s">
        <v>26</v>
      </c>
      <c r="E438" s="3" t="s">
        <v>1496</v>
      </c>
      <c r="F438" s="3" t="s">
        <v>1497</v>
      </c>
      <c r="G438" s="3" t="s">
        <v>209</v>
      </c>
      <c r="H438" s="2" t="s">
        <v>55</v>
      </c>
      <c r="I438" s="2" t="s">
        <v>1498</v>
      </c>
      <c r="J438" s="3" t="str">
        <f>HYPERLINK("https://www.boe.es/gazeta/dias/1809/11/06/pdfs/GMD-1809-311.pdf#page=2","Abrir facsímil")</f>
        <v>Abrir facsímil</v>
      </c>
      <c r="K438" s="3" t="s">
        <v>57</v>
      </c>
    </row>
    <row r="439" spans="1:11" ht="42" customHeight="1">
      <c r="A439" s="2" t="s">
        <v>1487</v>
      </c>
      <c r="B439" s="2" t="s">
        <v>1487</v>
      </c>
      <c r="C439" s="2" t="s">
        <v>25</v>
      </c>
      <c r="D439" s="2" t="s">
        <v>18</v>
      </c>
      <c r="E439" s="3" t="s">
        <v>1132</v>
      </c>
      <c r="F439" s="3" t="s">
        <v>1499</v>
      </c>
      <c r="G439" s="3" t="s">
        <v>62</v>
      </c>
      <c r="H439" s="2" t="s">
        <v>55</v>
      </c>
      <c r="I439" s="2" t="s">
        <v>1500</v>
      </c>
      <c r="J439" s="3" t="str">
        <f>HYPERLINK("https://www.boe.es/gazeta/dias/1809/11/11/pdfs/GMD-1809-316.pdf#page=2","Abrir facsímil")</f>
        <v>Abrir facsímil</v>
      </c>
      <c r="K439" s="3" t="s">
        <v>57</v>
      </c>
    </row>
    <row r="440" spans="1:11" ht="42" customHeight="1">
      <c r="A440" s="2" t="s">
        <v>1501</v>
      </c>
      <c r="B440" s="2" t="s">
        <v>1501</v>
      </c>
      <c r="C440" s="2" t="s">
        <v>25</v>
      </c>
      <c r="D440" s="2" t="s">
        <v>18</v>
      </c>
      <c r="E440" s="3" t="s">
        <v>1502</v>
      </c>
      <c r="F440" s="3" t="s">
        <v>1503</v>
      </c>
      <c r="G440" s="3" t="s">
        <v>1504</v>
      </c>
      <c r="H440" s="2" t="s">
        <v>55</v>
      </c>
      <c r="I440" s="2" t="s">
        <v>1505</v>
      </c>
      <c r="J440" s="3" t="str">
        <f>HYPERLINK("https://www.boe.es/gazeta/dias/1809/06/18/pdfs/GMD-1809-169.pdf#page=3","Abrir facsímil")</f>
        <v>Abrir facsímil</v>
      </c>
      <c r="K440" s="3" t="s">
        <v>57</v>
      </c>
    </row>
    <row r="441" spans="1:11" ht="42" customHeight="1">
      <c r="A441" s="2" t="s">
        <v>1506</v>
      </c>
      <c r="B441" s="2" t="s">
        <v>1506</v>
      </c>
      <c r="C441" s="2" t="s">
        <v>25</v>
      </c>
      <c r="D441" s="2" t="s">
        <v>26</v>
      </c>
      <c r="E441" s="3" t="s">
        <v>1129</v>
      </c>
      <c r="F441" s="3" t="s">
        <v>1507</v>
      </c>
      <c r="G441" s="3" t="s">
        <v>1508</v>
      </c>
      <c r="H441" s="2" t="s">
        <v>55</v>
      </c>
      <c r="I441" s="2" t="s">
        <v>1509</v>
      </c>
      <c r="J441" s="3" t="str">
        <f>HYPERLINK("https://www.boe.es/gazeta/dias/1809/08/17/pdfs/GMD-1809-230.pdf#page=3","Abrir facsímil")</f>
        <v>Abrir facsímil</v>
      </c>
      <c r="K441" s="3" t="s">
        <v>57</v>
      </c>
    </row>
    <row r="442" spans="1:11" ht="42" customHeight="1">
      <c r="A442" s="2" t="s">
        <v>1510</v>
      </c>
      <c r="B442" s="2" t="s">
        <v>1510</v>
      </c>
      <c r="C442" s="2" t="s">
        <v>17</v>
      </c>
      <c r="D442" s="2" t="s">
        <v>18</v>
      </c>
      <c r="E442" s="3" t="s">
        <v>1011</v>
      </c>
      <c r="F442" s="3" t="s">
        <v>1511</v>
      </c>
      <c r="G442" s="3" t="s">
        <v>62</v>
      </c>
      <c r="H442" s="2" t="s">
        <v>55</v>
      </c>
      <c r="I442" s="2" t="s">
        <v>1512</v>
      </c>
      <c r="J442" s="3" t="str">
        <f>HYPERLINK("https://www.boe.es/gazeta/dias/1809/08/01/pdfs/GMD-1809-214.pdf#page=2","Abrir facsímil")</f>
        <v>Abrir facsímil</v>
      </c>
      <c r="K442" s="3" t="s">
        <v>57</v>
      </c>
    </row>
    <row r="443" spans="1:11" ht="42" customHeight="1">
      <c r="A443" s="2" t="s">
        <v>1513</v>
      </c>
      <c r="B443" s="2" t="s">
        <v>1513</v>
      </c>
      <c r="C443" s="2" t="s">
        <v>25</v>
      </c>
      <c r="D443" s="2" t="s">
        <v>26</v>
      </c>
      <c r="E443" s="3" t="s">
        <v>1514</v>
      </c>
      <c r="F443" s="3" t="s">
        <v>1515</v>
      </c>
      <c r="G443" s="3" t="s">
        <v>1516</v>
      </c>
      <c r="H443" s="2" t="s">
        <v>55</v>
      </c>
      <c r="I443" s="2" t="s">
        <v>1517</v>
      </c>
      <c r="J443" s="3" t="str">
        <f>HYPERLINK("https://www.boe.es/gazeta/dias/1809/04/17/pdfs/GGB-G-1809-19.pdf#page=4","Abrir facsímil")</f>
        <v>Abrir facsímil</v>
      </c>
      <c r="K443" s="3" t="s">
        <v>57</v>
      </c>
    </row>
    <row r="444" spans="1:11" ht="42" customHeight="1">
      <c r="A444" s="2" t="s">
        <v>1518</v>
      </c>
      <c r="B444" s="2" t="s">
        <v>1518</v>
      </c>
      <c r="C444" s="2" t="s">
        <v>25</v>
      </c>
      <c r="D444" s="2" t="s">
        <v>18</v>
      </c>
      <c r="E444" s="3" t="s">
        <v>27</v>
      </c>
      <c r="F444" s="3" t="s">
        <v>254</v>
      </c>
      <c r="G444" s="3" t="s">
        <v>110</v>
      </c>
      <c r="H444" s="2" t="s">
        <v>55</v>
      </c>
      <c r="I444" s="2" t="s">
        <v>1519</v>
      </c>
      <c r="J444" s="3" t="str">
        <f>HYPERLINK("https://www.boe.es/gazeta/dias/1809/05/12/pdfs/GGB-1809-26.pdf#page=4","Abrir facsímil")</f>
        <v>Abrir facsímil</v>
      </c>
      <c r="K444" s="3" t="s">
        <v>57</v>
      </c>
    </row>
    <row r="445" spans="1:11" ht="42" customHeight="1">
      <c r="A445" s="2" t="s">
        <v>1520</v>
      </c>
      <c r="B445" s="2" t="s">
        <v>1520</v>
      </c>
      <c r="C445" s="2" t="s">
        <v>25</v>
      </c>
      <c r="D445" s="2" t="s">
        <v>18</v>
      </c>
      <c r="E445" s="3" t="s">
        <v>289</v>
      </c>
      <c r="F445" s="3" t="s">
        <v>290</v>
      </c>
      <c r="G445" s="3" t="s">
        <v>1521</v>
      </c>
      <c r="H445" s="2" t="s">
        <v>55</v>
      </c>
      <c r="I445" s="2" t="s">
        <v>1522</v>
      </c>
      <c r="J445" s="3" t="str">
        <f>HYPERLINK("https://www.boe.es/gazeta/dias/1809/05/15/pdfs/GMD-1809-135.pdf#page=1","Abrir facsímil")</f>
        <v>Abrir facsímil</v>
      </c>
      <c r="K445" s="3" t="s">
        <v>57</v>
      </c>
    </row>
    <row r="446" spans="1:11" ht="42" customHeight="1">
      <c r="A446" s="2" t="s">
        <v>1523</v>
      </c>
      <c r="B446" s="2" t="s">
        <v>1524</v>
      </c>
      <c r="C446" s="2" t="s">
        <v>25</v>
      </c>
      <c r="D446" s="2" t="s">
        <v>40</v>
      </c>
      <c r="E446" s="3" t="s">
        <v>432</v>
      </c>
      <c r="F446" s="3" t="s">
        <v>1525</v>
      </c>
      <c r="G446" s="3" t="s">
        <v>1526</v>
      </c>
      <c r="H446" s="2" t="s">
        <v>55</v>
      </c>
      <c r="I446" s="2" t="s">
        <v>1527</v>
      </c>
      <c r="J446" s="3" t="str">
        <f>HYPERLINK("https://www.boe.es/gazeta/dias/1809/07/11/pdfs/GGB-1809-44.pdf#page=12","Abrir facsímil")</f>
        <v>Abrir facsímil</v>
      </c>
      <c r="K446" s="3" t="s">
        <v>57</v>
      </c>
    </row>
    <row r="447" spans="1:11" ht="42" customHeight="1">
      <c r="A447" s="2" t="s">
        <v>1528</v>
      </c>
      <c r="B447" s="2" t="s">
        <v>1529</v>
      </c>
      <c r="C447" s="2" t="s">
        <v>17</v>
      </c>
      <c r="D447" s="2" t="s">
        <v>72</v>
      </c>
      <c r="E447" s="3" t="s">
        <v>243</v>
      </c>
      <c r="F447" s="3" t="s">
        <v>244</v>
      </c>
      <c r="G447" s="3" t="s">
        <v>110</v>
      </c>
      <c r="H447" s="2" t="s">
        <v>55</v>
      </c>
      <c r="I447" s="2" t="s">
        <v>1530</v>
      </c>
      <c r="J447" s="3" t="str">
        <f>HYPERLINK("https://www.boe.es/gazeta/dias/1809/02/17/pdfs/GGB-G-1809-8.pdf#page=5","Abrir facsímil")</f>
        <v>Abrir facsímil</v>
      </c>
      <c r="K447" s="3" t="s">
        <v>57</v>
      </c>
    </row>
    <row r="448" spans="1:11" ht="42" customHeight="1">
      <c r="A448" s="2" t="s">
        <v>1531</v>
      </c>
      <c r="B448" s="2" t="s">
        <v>1531</v>
      </c>
      <c r="C448" s="2" t="s">
        <v>25</v>
      </c>
      <c r="D448" s="2" t="s">
        <v>80</v>
      </c>
      <c r="E448" s="3" t="s">
        <v>1110</v>
      </c>
      <c r="F448" s="3" t="s">
        <v>1532</v>
      </c>
      <c r="G448" s="3" t="s">
        <v>75</v>
      </c>
      <c r="H448" s="2" t="s">
        <v>55</v>
      </c>
      <c r="I448" s="2" t="s">
        <v>1533</v>
      </c>
      <c r="J448" s="3" t="str">
        <f>HYPERLINK("https://www.boe.es/gazeta/dias/1809/06/20/pdfs/GGB-1809-38E2.pdf#page=2","Abrir facsímil")</f>
        <v>Abrir facsímil</v>
      </c>
      <c r="K448" s="3" t="s">
        <v>57</v>
      </c>
    </row>
    <row r="449" spans="1:11" ht="42" customHeight="1">
      <c r="A449" s="2" t="s">
        <v>1534</v>
      </c>
      <c r="B449" s="2" t="s">
        <v>1535</v>
      </c>
      <c r="C449" s="2" t="s">
        <v>25</v>
      </c>
      <c r="D449" s="2" t="s">
        <v>18</v>
      </c>
      <c r="E449" s="3" t="s">
        <v>1468</v>
      </c>
      <c r="F449" s="3" t="s">
        <v>1469</v>
      </c>
      <c r="G449" s="3" t="s">
        <v>830</v>
      </c>
      <c r="H449" s="2" t="s">
        <v>55</v>
      </c>
      <c r="I449" s="2" t="s">
        <v>1536</v>
      </c>
      <c r="J449" s="3" t="str">
        <f>HYPERLINK("https://www.boe.es/gazeta/dias/1809/02/12/pdfs/GMD-1809-43.pdf#page=5","Abrir facsímil")</f>
        <v>Abrir facsímil</v>
      </c>
      <c r="K449" s="3" t="s">
        <v>57</v>
      </c>
    </row>
    <row r="450" spans="1:11" ht="42" customHeight="1">
      <c r="A450" s="2" t="s">
        <v>1537</v>
      </c>
      <c r="B450" s="2" t="s">
        <v>1538</v>
      </c>
      <c r="C450" s="2" t="s">
        <v>25</v>
      </c>
      <c r="D450" s="2" t="s">
        <v>72</v>
      </c>
      <c r="E450" s="3" t="s">
        <v>473</v>
      </c>
      <c r="F450" s="3" t="s">
        <v>1199</v>
      </c>
      <c r="G450" s="3" t="s">
        <v>75</v>
      </c>
      <c r="H450" s="2" t="s">
        <v>55</v>
      </c>
      <c r="I450" s="2" t="s">
        <v>1539</v>
      </c>
      <c r="J450" s="3" t="str">
        <f>HYPERLINK("https://www.boe.es/gazeta/dias/1809/12/28/pdfs/GGB-H-1809-642.pdf#page=4","Abrir facsímil")</f>
        <v>Abrir facsímil</v>
      </c>
      <c r="K450" s="3" t="s">
        <v>57</v>
      </c>
    </row>
    <row r="451" spans="1:11" ht="42" customHeight="1">
      <c r="A451" s="2" t="s">
        <v>1540</v>
      </c>
      <c r="B451" s="2" t="s">
        <v>1540</v>
      </c>
      <c r="C451" s="2" t="s">
        <v>25</v>
      </c>
      <c r="D451" s="2" t="s">
        <v>26</v>
      </c>
      <c r="E451" s="3" t="s">
        <v>429</v>
      </c>
      <c r="F451" s="3" t="s">
        <v>430</v>
      </c>
      <c r="G451" s="3" t="s">
        <v>1541</v>
      </c>
      <c r="H451" s="2" t="s">
        <v>55</v>
      </c>
      <c r="I451" s="2" t="s">
        <v>1542</v>
      </c>
      <c r="J451" s="3" t="str">
        <f>HYPERLINK("https://www.boe.es/gazeta/dias/1809/06/09/pdfs/GGB-1809-35.pdf#page=2","Abrir facsímil")</f>
        <v>Abrir facsímil</v>
      </c>
      <c r="K451" s="3" t="s">
        <v>57</v>
      </c>
    </row>
    <row r="452" spans="1:11" ht="42" customHeight="1">
      <c r="A452" s="2" t="s">
        <v>1543</v>
      </c>
      <c r="B452" s="2" t="s">
        <v>1543</v>
      </c>
      <c r="C452" s="2" t="s">
        <v>25</v>
      </c>
      <c r="D452" s="2" t="s">
        <v>26</v>
      </c>
      <c r="E452" s="3" t="s">
        <v>429</v>
      </c>
      <c r="F452" s="3" t="s">
        <v>1544</v>
      </c>
      <c r="G452" s="3" t="s">
        <v>1545</v>
      </c>
      <c r="H452" s="2" t="s">
        <v>55</v>
      </c>
      <c r="I452" s="2" t="s">
        <v>1546</v>
      </c>
      <c r="J452" s="3" t="str">
        <f>HYPERLINK("https://www.boe.es/gazeta/dias/1809/06/09/pdfs/GMD-1809-160.pdf#page=2","Abrir facsímil")</f>
        <v>Abrir facsímil</v>
      </c>
      <c r="K452" s="3" t="s">
        <v>57</v>
      </c>
    </row>
    <row r="453" spans="1:11" ht="42" customHeight="1">
      <c r="A453" s="2" t="s">
        <v>1547</v>
      </c>
      <c r="B453" s="2" t="s">
        <v>1547</v>
      </c>
      <c r="C453" s="2" t="s">
        <v>25</v>
      </c>
      <c r="D453" s="2" t="s">
        <v>26</v>
      </c>
      <c r="E453" s="3" t="s">
        <v>1053</v>
      </c>
      <c r="F453" s="3" t="s">
        <v>1054</v>
      </c>
      <c r="G453" s="3" t="s">
        <v>110</v>
      </c>
      <c r="H453" s="2" t="s">
        <v>55</v>
      </c>
      <c r="I453" s="2" t="s">
        <v>1548</v>
      </c>
      <c r="J453" s="3" t="str">
        <f>HYPERLINK("https://www.boe.es/gazeta/dias/1809/05/13/pdfs/GMD-1809-133.pdf#page=6","Abrir facsímil")</f>
        <v>Abrir facsímil</v>
      </c>
      <c r="K453" s="3" t="s">
        <v>57</v>
      </c>
    </row>
    <row r="454" spans="1:11" ht="42" customHeight="1">
      <c r="A454" s="2" t="s">
        <v>1547</v>
      </c>
      <c r="B454" s="2" t="s">
        <v>1547</v>
      </c>
      <c r="C454" s="2" t="s">
        <v>25</v>
      </c>
      <c r="D454" s="2" t="s">
        <v>26</v>
      </c>
      <c r="E454" s="3" t="s">
        <v>1053</v>
      </c>
      <c r="F454" s="3" t="s">
        <v>1054</v>
      </c>
      <c r="G454" s="3" t="s">
        <v>595</v>
      </c>
      <c r="H454" s="2" t="s">
        <v>55</v>
      </c>
      <c r="I454" s="2" t="s">
        <v>1549</v>
      </c>
      <c r="J454" s="3" t="str">
        <f>HYPERLINK("https://www.boe.es/gazeta/dias/1809/05/13/pdfs/GMD-1809-133.pdf#page=7","Abrir facsímil")</f>
        <v>Abrir facsímil</v>
      </c>
      <c r="K454" s="3" t="s">
        <v>57</v>
      </c>
    </row>
    <row r="455" spans="1:11" ht="42" customHeight="1">
      <c r="A455" s="2" t="s">
        <v>1547</v>
      </c>
      <c r="B455" s="2" t="s">
        <v>1547</v>
      </c>
      <c r="C455" s="2" t="s">
        <v>25</v>
      </c>
      <c r="D455" s="2" t="s">
        <v>107</v>
      </c>
      <c r="E455" s="3" t="s">
        <v>134</v>
      </c>
      <c r="F455" s="3" t="s">
        <v>135</v>
      </c>
      <c r="G455" s="3" t="s">
        <v>29</v>
      </c>
      <c r="H455" s="2" t="s">
        <v>55</v>
      </c>
      <c r="I455" s="2" t="s">
        <v>1550</v>
      </c>
      <c r="J455" s="3" t="str">
        <f>HYPERLINK("https://www.boe.es/gazeta/dias/1809/06/07/pdfs/GMD-1809-158.pdf#page=3","Abrir facsímil")</f>
        <v>Abrir facsímil</v>
      </c>
      <c r="K455" s="3" t="s">
        <v>57</v>
      </c>
    </row>
    <row r="456" spans="1:11" ht="42" customHeight="1">
      <c r="A456" s="2" t="s">
        <v>1547</v>
      </c>
      <c r="B456" s="2" t="s">
        <v>1547</v>
      </c>
      <c r="C456" s="2" t="s">
        <v>25</v>
      </c>
      <c r="D456" s="2" t="s">
        <v>26</v>
      </c>
      <c r="E456" s="3" t="s">
        <v>1551</v>
      </c>
      <c r="F456" s="3" t="s">
        <v>1552</v>
      </c>
      <c r="G456" s="3" t="s">
        <v>1553</v>
      </c>
      <c r="H456" s="2" t="s">
        <v>55</v>
      </c>
      <c r="I456" s="2" t="s">
        <v>1554</v>
      </c>
      <c r="J456" s="3" t="str">
        <f>HYPERLINK("https://www.boe.es/gazeta/dias/1809/06/12/pdfs/GGB-1809-36.pdf#page=4","Abrir facsímil")</f>
        <v>Abrir facsímil</v>
      </c>
      <c r="K456" s="3" t="s">
        <v>57</v>
      </c>
    </row>
    <row r="457" spans="1:11" ht="42" customHeight="1">
      <c r="A457" s="2" t="s">
        <v>1547</v>
      </c>
      <c r="B457" s="2" t="s">
        <v>1547</v>
      </c>
      <c r="C457" s="2" t="s">
        <v>25</v>
      </c>
      <c r="D457" s="2" t="s">
        <v>26</v>
      </c>
      <c r="E457" s="3" t="s">
        <v>1555</v>
      </c>
      <c r="F457" s="3" t="s">
        <v>1556</v>
      </c>
      <c r="G457" s="3" t="s">
        <v>1557</v>
      </c>
      <c r="H457" s="2" t="s">
        <v>55</v>
      </c>
      <c r="I457" s="2" t="s">
        <v>1558</v>
      </c>
      <c r="J457" s="3" t="str">
        <f>HYPERLINK("https://www.boe.es/gazeta/dias/1809/06/29/pdfs/GMD-1809-180.pdf#page=2","Abrir facsímil")</f>
        <v>Abrir facsímil</v>
      </c>
      <c r="K457" s="3" t="s">
        <v>57</v>
      </c>
    </row>
    <row r="458" spans="1:11" ht="42" customHeight="1">
      <c r="A458" s="2" t="s">
        <v>1547</v>
      </c>
      <c r="B458" s="2" t="s">
        <v>1547</v>
      </c>
      <c r="C458" s="2" t="s">
        <v>25</v>
      </c>
      <c r="D458" s="2" t="s">
        <v>26</v>
      </c>
      <c r="E458" s="3" t="s">
        <v>1126</v>
      </c>
      <c r="F458" s="3" t="s">
        <v>1444</v>
      </c>
      <c r="G458" s="3" t="s">
        <v>75</v>
      </c>
      <c r="H458" s="2" t="s">
        <v>55</v>
      </c>
      <c r="I458" s="2" t="s">
        <v>1559</v>
      </c>
      <c r="J458" s="3" t="str">
        <f>HYPERLINK("https://www.boe.es/gazeta/dias/1809/06/30/pdfs/GGB-1809-41.pdf#page=10","Abrir facsímil")</f>
        <v>Abrir facsímil</v>
      </c>
      <c r="K458" s="3" t="s">
        <v>57</v>
      </c>
    </row>
    <row r="459" spans="1:11" ht="42" customHeight="1">
      <c r="A459" s="2" t="s">
        <v>1547</v>
      </c>
      <c r="B459" s="2" t="s">
        <v>1547</v>
      </c>
      <c r="C459" s="2" t="s">
        <v>25</v>
      </c>
      <c r="D459" s="2" t="s">
        <v>18</v>
      </c>
      <c r="E459" s="3" t="s">
        <v>1560</v>
      </c>
      <c r="F459" s="3" t="s">
        <v>1561</v>
      </c>
      <c r="G459" s="3" t="s">
        <v>154</v>
      </c>
      <c r="H459" s="2" t="s">
        <v>55</v>
      </c>
      <c r="I459" s="2" t="s">
        <v>1562</v>
      </c>
      <c r="J459" s="3" t="str">
        <f>HYPERLINK("https://www.boe.es/gazeta/dias/1809/07/03/pdfs/GMD-1809-184.pdf#page=3","Abrir facsímil")</f>
        <v>Abrir facsímil</v>
      </c>
      <c r="K459" s="3" t="s">
        <v>57</v>
      </c>
    </row>
    <row r="460" spans="1:11" ht="42" customHeight="1">
      <c r="A460" s="2" t="s">
        <v>1547</v>
      </c>
      <c r="B460" s="2" t="s">
        <v>1547</v>
      </c>
      <c r="C460" s="2" t="s">
        <v>25</v>
      </c>
      <c r="D460" s="2" t="s">
        <v>18</v>
      </c>
      <c r="E460" s="3" t="s">
        <v>1563</v>
      </c>
      <c r="F460" s="3" t="s">
        <v>1564</v>
      </c>
      <c r="G460" s="3" t="s">
        <v>120</v>
      </c>
      <c r="H460" s="2" t="s">
        <v>55</v>
      </c>
      <c r="I460" s="2" t="s">
        <v>1565</v>
      </c>
      <c r="J460" s="3" t="str">
        <f>HYPERLINK("https://www.boe.es/gazeta/dias/1809/07/29/pdfs/GMD-1809-211.pdf#page=2","Abrir facsímil")</f>
        <v>Abrir facsímil</v>
      </c>
      <c r="K460" s="3" t="s">
        <v>57</v>
      </c>
    </row>
    <row r="461" spans="1:11" ht="42" customHeight="1">
      <c r="A461" s="2" t="s">
        <v>1547</v>
      </c>
      <c r="B461" s="2" t="s">
        <v>1547</v>
      </c>
      <c r="C461" s="2" t="s">
        <v>131</v>
      </c>
      <c r="D461" s="2" t="s">
        <v>18</v>
      </c>
      <c r="E461" s="3" t="s">
        <v>1226</v>
      </c>
      <c r="F461" s="3" t="s">
        <v>1566</v>
      </c>
      <c r="G461" s="3" t="s">
        <v>1567</v>
      </c>
      <c r="H461" s="2" t="s">
        <v>55</v>
      </c>
      <c r="I461" s="2" t="s">
        <v>1568</v>
      </c>
      <c r="J461" s="3" t="str">
        <f>HYPERLINK("https://www.boe.es/gazeta/dias/1809/11/09/pdfs/GGB-1809-432.pdf#page=5","Abrir facsímil")</f>
        <v>Abrir facsímil</v>
      </c>
      <c r="K461" s="3" t="s">
        <v>57</v>
      </c>
    </row>
    <row r="462" spans="1:11" ht="42" customHeight="1">
      <c r="A462" s="2" t="s">
        <v>1569</v>
      </c>
      <c r="B462" s="2" t="s">
        <v>1569</v>
      </c>
      <c r="C462" s="2" t="s">
        <v>25</v>
      </c>
      <c r="D462" s="2" t="s">
        <v>40</v>
      </c>
      <c r="E462" s="3" t="s">
        <v>1570</v>
      </c>
      <c r="F462" s="3" t="s">
        <v>1571</v>
      </c>
      <c r="G462" s="3" t="s">
        <v>1572</v>
      </c>
      <c r="H462" s="2" t="s">
        <v>55</v>
      </c>
      <c r="I462" s="2" t="s">
        <v>1573</v>
      </c>
      <c r="J462" s="3" t="str">
        <f>HYPERLINK("https://www.boe.es/gazeta/dias/1809/11/24/pdfs/GMD-1809-329.pdf#page=3","Abrir facsímil")</f>
        <v>Abrir facsímil</v>
      </c>
      <c r="K462" s="3" t="s">
        <v>57</v>
      </c>
    </row>
    <row r="463" spans="1:11" ht="42" customHeight="1">
      <c r="A463" s="2" t="s">
        <v>1569</v>
      </c>
      <c r="B463" s="2" t="s">
        <v>1569</v>
      </c>
      <c r="C463" s="2" t="s">
        <v>25</v>
      </c>
      <c r="D463" s="2" t="s">
        <v>26</v>
      </c>
      <c r="E463" s="3" t="s">
        <v>1150</v>
      </c>
      <c r="F463" s="3" t="s">
        <v>1151</v>
      </c>
      <c r="G463" s="3" t="s">
        <v>154</v>
      </c>
      <c r="H463" s="2" t="s">
        <v>55</v>
      </c>
      <c r="I463" s="2" t="s">
        <v>1574</v>
      </c>
      <c r="J463" s="3" t="str">
        <f>HYPERLINK("https://www.boe.es/gazeta/dias/1809/11/26/pdfs/GMD-1809-331.pdf#page=4","Abrir facsímil")</f>
        <v>Abrir facsímil</v>
      </c>
      <c r="K463" s="3" t="s">
        <v>57</v>
      </c>
    </row>
    <row r="464" spans="1:11" ht="42" customHeight="1">
      <c r="A464" s="2" t="s">
        <v>1575</v>
      </c>
      <c r="B464" s="2" t="s">
        <v>1576</v>
      </c>
      <c r="C464" s="2" t="s">
        <v>17</v>
      </c>
      <c r="D464" s="2" t="s">
        <v>18</v>
      </c>
      <c r="E464" s="3" t="s">
        <v>893</v>
      </c>
      <c r="F464" s="3" t="s">
        <v>1348</v>
      </c>
      <c r="G464" s="3" t="s">
        <v>1349</v>
      </c>
      <c r="H464" s="2" t="s">
        <v>55</v>
      </c>
      <c r="I464" s="2" t="s">
        <v>1577</v>
      </c>
      <c r="J464" s="3" t="str">
        <f>HYPERLINK("https://www.boe.es/gazeta/dias/1809/11/02/pdfs/GGB-1809-402.pdf#page=4","Abrir facsímil")</f>
        <v>Abrir facsímil</v>
      </c>
      <c r="K464" s="3" t="s">
        <v>57</v>
      </c>
    </row>
    <row r="465" spans="1:11" ht="42" customHeight="1">
      <c r="A465" s="2" t="s">
        <v>1578</v>
      </c>
      <c r="B465" s="2" t="s">
        <v>1578</v>
      </c>
      <c r="C465" s="2" t="s">
        <v>131</v>
      </c>
      <c r="D465" s="2" t="s">
        <v>18</v>
      </c>
      <c r="E465" s="3" t="s">
        <v>1551</v>
      </c>
      <c r="F465" s="3" t="s">
        <v>1552</v>
      </c>
      <c r="G465" s="3" t="s">
        <v>141</v>
      </c>
      <c r="H465" s="2" t="s">
        <v>55</v>
      </c>
      <c r="I465" s="2" t="s">
        <v>1579</v>
      </c>
      <c r="J465" s="3" t="str">
        <f>HYPERLINK("https://www.boe.es/gazeta/dias/1809/06/12/pdfs/GGB-1809-36.pdf#page=3","Abrir facsímil")</f>
        <v>Abrir facsímil</v>
      </c>
      <c r="K465" s="3" t="s">
        <v>57</v>
      </c>
    </row>
    <row r="466" spans="1:11" ht="42" customHeight="1">
      <c r="A466" s="2" t="s">
        <v>1580</v>
      </c>
      <c r="B466" s="2" t="s">
        <v>1580</v>
      </c>
      <c r="C466" s="2" t="s">
        <v>25</v>
      </c>
      <c r="D466" s="2" t="s">
        <v>18</v>
      </c>
      <c r="E466" s="3" t="s">
        <v>1581</v>
      </c>
      <c r="F466" s="3" t="s">
        <v>1582</v>
      </c>
      <c r="G466" s="3" t="s">
        <v>75</v>
      </c>
      <c r="H466" s="2" t="s">
        <v>55</v>
      </c>
      <c r="I466" s="2" t="s">
        <v>1583</v>
      </c>
      <c r="J466" s="3" t="str">
        <f>HYPERLINK("https://www.boe.es/gazeta/dias/1809/05/30/pdfs/GMD-1809-150.pdf#page=4","Abrir facsímil")</f>
        <v>Abrir facsímil</v>
      </c>
      <c r="K466" s="3" t="s">
        <v>57</v>
      </c>
    </row>
    <row r="467" spans="1:11" ht="42" customHeight="1">
      <c r="A467" s="2" t="s">
        <v>1584</v>
      </c>
      <c r="B467" s="2" t="s">
        <v>1585</v>
      </c>
      <c r="C467" s="2" t="s">
        <v>25</v>
      </c>
      <c r="D467" s="2" t="s">
        <v>40</v>
      </c>
      <c r="E467" s="3" t="s">
        <v>1586</v>
      </c>
      <c r="F467" s="3" t="s">
        <v>1587</v>
      </c>
      <c r="G467" s="3" t="s">
        <v>270</v>
      </c>
      <c r="H467" s="2" t="s">
        <v>55</v>
      </c>
      <c r="I467" s="2" t="s">
        <v>1588</v>
      </c>
      <c r="J467" s="3" t="str">
        <f>HYPERLINK("https://www.boe.es/gazeta/dias/1809/02/20/pdfs/GMD-1809-51.pdf#page=3","Abrir facsímil")</f>
        <v>Abrir facsímil</v>
      </c>
      <c r="K467" s="3" t="s">
        <v>57</v>
      </c>
    </row>
    <row r="468" spans="1:11" ht="42" customHeight="1">
      <c r="A468" s="2" t="s">
        <v>1589</v>
      </c>
      <c r="B468" s="2" t="s">
        <v>1589</v>
      </c>
      <c r="C468" s="2" t="s">
        <v>17</v>
      </c>
      <c r="D468" s="2" t="s">
        <v>18</v>
      </c>
      <c r="E468" s="3" t="s">
        <v>410</v>
      </c>
      <c r="F468" s="3" t="s">
        <v>411</v>
      </c>
      <c r="G468" s="3" t="s">
        <v>316</v>
      </c>
      <c r="H468" s="2" t="s">
        <v>55</v>
      </c>
      <c r="I468" s="2" t="s">
        <v>1590</v>
      </c>
      <c r="J468" s="3" t="str">
        <f>HYPERLINK("https://www.boe.es/gazeta/dias/1809/03/04/pdfs/GMD-1809-63.pdf#page=2","Abrir facsímil")</f>
        <v>Abrir facsímil</v>
      </c>
      <c r="K468" s="3" t="s">
        <v>57</v>
      </c>
    </row>
    <row r="469" spans="1:11" ht="42" customHeight="1">
      <c r="A469" s="2" t="s">
        <v>1591</v>
      </c>
      <c r="B469" s="2" t="s">
        <v>1591</v>
      </c>
      <c r="C469" s="2" t="s">
        <v>17</v>
      </c>
      <c r="D469" s="2" t="s">
        <v>18</v>
      </c>
      <c r="E469" s="3" t="s">
        <v>410</v>
      </c>
      <c r="F469" s="3" t="s">
        <v>411</v>
      </c>
      <c r="G469" s="3" t="s">
        <v>316</v>
      </c>
      <c r="H469" s="2" t="s">
        <v>55</v>
      </c>
      <c r="I469" s="2" t="s">
        <v>1592</v>
      </c>
      <c r="J469" s="3" t="str">
        <f>HYPERLINK("https://www.boe.es/gazeta/dias/1809/03/04/pdfs/GMD-1809-63.pdf#page=2","Abrir facsímil")</f>
        <v>Abrir facsímil</v>
      </c>
      <c r="K469" s="3" t="s">
        <v>57</v>
      </c>
    </row>
    <row r="470" spans="1:11" ht="42" customHeight="1">
      <c r="A470" s="2" t="s">
        <v>1593</v>
      </c>
      <c r="B470" s="2" t="s">
        <v>1593</v>
      </c>
      <c r="C470" s="2" t="s">
        <v>25</v>
      </c>
      <c r="D470" s="2" t="s">
        <v>18</v>
      </c>
      <c r="E470" s="3" t="s">
        <v>1594</v>
      </c>
      <c r="F470" s="3" t="s">
        <v>1595</v>
      </c>
      <c r="G470" s="3" t="s">
        <v>120</v>
      </c>
      <c r="H470" s="2" t="s">
        <v>55</v>
      </c>
      <c r="I470" s="2" t="s">
        <v>1596</v>
      </c>
      <c r="J470" s="3" t="str">
        <f>HYPERLINK("https://www.boe.es/gazeta/dias/1809/05/31/pdfs/GMD-1809-151.pdf#page=3","Abrir facsímil")</f>
        <v>Abrir facsímil</v>
      </c>
      <c r="K470" s="3" t="s">
        <v>57</v>
      </c>
    </row>
    <row r="471" spans="1:11" ht="42" customHeight="1">
      <c r="A471" s="2" t="s">
        <v>1597</v>
      </c>
      <c r="B471" s="2" t="s">
        <v>1597</v>
      </c>
      <c r="C471" s="2" t="s">
        <v>25</v>
      </c>
      <c r="D471" s="2" t="s">
        <v>26</v>
      </c>
      <c r="E471" s="3" t="s">
        <v>1598</v>
      </c>
      <c r="F471" s="3" t="s">
        <v>1599</v>
      </c>
      <c r="G471" s="3" t="s">
        <v>1600</v>
      </c>
      <c r="H471" s="2" t="s">
        <v>55</v>
      </c>
      <c r="I471" s="2" t="s">
        <v>1601</v>
      </c>
      <c r="J471" s="3" t="str">
        <f>HYPERLINK("https://www.boe.es/gazeta/dias/1809/01/10/pdfs/GMS-1809-65.pdf#page=2","Abrir facsímil")</f>
        <v>Abrir facsímil</v>
      </c>
      <c r="K471" s="3" t="s">
        <v>57</v>
      </c>
    </row>
    <row r="472" spans="1:11" ht="42" customHeight="1">
      <c r="A472" s="2" t="s">
        <v>1602</v>
      </c>
      <c r="B472" s="2" t="s">
        <v>1602</v>
      </c>
      <c r="C472" s="2" t="s">
        <v>25</v>
      </c>
      <c r="D472" s="2" t="s">
        <v>107</v>
      </c>
      <c r="E472" s="3" t="s">
        <v>1603</v>
      </c>
      <c r="F472" s="3" t="s">
        <v>1604</v>
      </c>
      <c r="G472" s="3" t="s">
        <v>62</v>
      </c>
      <c r="H472" s="2" t="s">
        <v>55</v>
      </c>
      <c r="I472" s="2" t="s">
        <v>1605</v>
      </c>
      <c r="J472" s="3" t="str">
        <f>HYPERLINK("https://www.boe.es/gazeta/dias/1809/03/31/pdfs/GGB-1809-14.pdf#page=1","Abrir facsímil")</f>
        <v>Abrir facsímil</v>
      </c>
      <c r="K472" s="3" t="s">
        <v>57</v>
      </c>
    </row>
    <row r="473" spans="1:11" ht="42" customHeight="1">
      <c r="A473" s="2" t="s">
        <v>1606</v>
      </c>
      <c r="B473" s="2" t="s">
        <v>1607</v>
      </c>
      <c r="C473" s="2" t="s">
        <v>25</v>
      </c>
      <c r="D473" s="2" t="s">
        <v>26</v>
      </c>
      <c r="E473" s="3" t="s">
        <v>1608</v>
      </c>
      <c r="F473" s="3" t="s">
        <v>1609</v>
      </c>
      <c r="G473" s="3" t="s">
        <v>120</v>
      </c>
      <c r="H473" s="2" t="s">
        <v>55</v>
      </c>
      <c r="I473" s="2" t="s">
        <v>1610</v>
      </c>
      <c r="J473" s="3" t="str">
        <f>HYPERLINK("https://www.boe.es/gazeta/dias/1809/04/15/pdfs/GGB-1809-18E.pdf#page=5","Abrir facsímil")</f>
        <v>Abrir facsímil</v>
      </c>
      <c r="K473" s="3" t="s">
        <v>57</v>
      </c>
    </row>
    <row r="474" spans="1:11" ht="42" customHeight="1">
      <c r="A474" s="2" t="s">
        <v>1611</v>
      </c>
      <c r="B474" s="2" t="s">
        <v>1611</v>
      </c>
      <c r="C474" s="2" t="s">
        <v>39</v>
      </c>
      <c r="D474" s="2" t="s">
        <v>18</v>
      </c>
      <c r="E474" s="3" t="s">
        <v>1206</v>
      </c>
      <c r="F474" s="3" t="s">
        <v>1612</v>
      </c>
      <c r="G474" s="3" t="s">
        <v>1613</v>
      </c>
      <c r="H474" s="2" t="s">
        <v>55</v>
      </c>
      <c r="I474" s="2" t="s">
        <v>1614</v>
      </c>
      <c r="J474" s="3" t="str">
        <f>HYPERLINK("https://www.boe.es/gazeta/dias/1809/09/23/pdfs/GMD-1809-267.pdf#page=2","Abrir facsímil")</f>
        <v>Abrir facsímil</v>
      </c>
      <c r="K474" s="3" t="s">
        <v>57</v>
      </c>
    </row>
    <row r="475" spans="1:11" ht="42" customHeight="1">
      <c r="A475" s="2" t="s">
        <v>1615</v>
      </c>
      <c r="B475" s="2" t="s">
        <v>1615</v>
      </c>
      <c r="C475" s="2" t="s">
        <v>25</v>
      </c>
      <c r="D475" s="2" t="s">
        <v>26</v>
      </c>
      <c r="E475" s="3" t="s">
        <v>1616</v>
      </c>
      <c r="F475" s="3" t="s">
        <v>1617</v>
      </c>
      <c r="G475" s="3" t="s">
        <v>29</v>
      </c>
      <c r="H475" s="2" t="s">
        <v>55</v>
      </c>
      <c r="I475" s="2" t="s">
        <v>1618</v>
      </c>
      <c r="J475" s="3" t="str">
        <f>HYPERLINK("https://www.boe.es/gazeta/dias/1809/01/14/pdfs/GGB-1809-3.pdf#page=3","Abrir facsímil")</f>
        <v>Abrir facsímil</v>
      </c>
      <c r="K475" s="3" t="s">
        <v>57</v>
      </c>
    </row>
    <row r="476" spans="1:11" ht="42" customHeight="1">
      <c r="A476" s="2" t="s">
        <v>1619</v>
      </c>
      <c r="B476" s="2" t="s">
        <v>1620</v>
      </c>
      <c r="C476" s="2" t="s">
        <v>17</v>
      </c>
      <c r="D476" s="2" t="s">
        <v>18</v>
      </c>
      <c r="E476" s="3" t="s">
        <v>33</v>
      </c>
      <c r="F476" s="3" t="s">
        <v>34</v>
      </c>
      <c r="G476" s="3" t="s">
        <v>595</v>
      </c>
      <c r="H476" s="2" t="s">
        <v>55</v>
      </c>
      <c r="I476" s="2" t="s">
        <v>1621</v>
      </c>
      <c r="J476" s="3" t="str">
        <f>HYPERLINK("https://www.boe.es/gazeta/dias/1809/12/19/pdfs/GGB-1809-602.pdf#page=7","Abrir facsímil")</f>
        <v>Abrir facsímil</v>
      </c>
      <c r="K476" s="3" t="s">
        <v>57</v>
      </c>
    </row>
    <row r="477" spans="1:11" ht="42" customHeight="1">
      <c r="A477" s="2" t="s">
        <v>1622</v>
      </c>
      <c r="B477" s="2" t="s">
        <v>1623</v>
      </c>
      <c r="C477" s="2" t="s">
        <v>17</v>
      </c>
      <c r="D477" s="2" t="s">
        <v>72</v>
      </c>
      <c r="E477" s="3" t="s">
        <v>243</v>
      </c>
      <c r="F477" s="3" t="s">
        <v>244</v>
      </c>
      <c r="G477" s="3" t="s">
        <v>110</v>
      </c>
      <c r="H477" s="2" t="s">
        <v>55</v>
      </c>
      <c r="I477" s="2" t="s">
        <v>1624</v>
      </c>
      <c r="J477" s="3" t="str">
        <f>HYPERLINK("https://www.boe.es/gazeta/dias/1809/02/17/pdfs/GGB-G-1809-8.pdf#page=6","Abrir facsímil")</f>
        <v>Abrir facsímil</v>
      </c>
      <c r="K477" s="3" t="s">
        <v>57</v>
      </c>
    </row>
    <row r="478" spans="1:11" ht="42" customHeight="1">
      <c r="A478" s="2" t="s">
        <v>1625</v>
      </c>
      <c r="B478" s="2" t="s">
        <v>1625</v>
      </c>
      <c r="C478" s="2" t="s">
        <v>79</v>
      </c>
      <c r="D478" s="2" t="s">
        <v>80</v>
      </c>
      <c r="E478" s="3" t="s">
        <v>81</v>
      </c>
      <c r="F478" s="3" t="s">
        <v>82</v>
      </c>
      <c r="G478" s="3" t="s">
        <v>83</v>
      </c>
      <c r="H478" s="2" t="s">
        <v>55</v>
      </c>
      <c r="I478" s="2" t="s">
        <v>1626</v>
      </c>
      <c r="J478" s="3" t="str">
        <f>HYPERLINK("https://www.boe.es/gazeta/dias/1809/04/11/pdfs/GGB-1809-16E.pdf#page=4","Abrir facsímil")</f>
        <v>Abrir facsímil</v>
      </c>
      <c r="K478" s="3" t="s">
        <v>57</v>
      </c>
    </row>
    <row r="479" spans="1:11" ht="42" customHeight="1">
      <c r="A479" s="2" t="s">
        <v>1625</v>
      </c>
      <c r="B479" s="2" t="s">
        <v>1625</v>
      </c>
      <c r="C479" s="2" t="s">
        <v>39</v>
      </c>
      <c r="D479" s="2" t="s">
        <v>18</v>
      </c>
      <c r="E479" s="3" t="s">
        <v>712</v>
      </c>
      <c r="F479" s="3" t="s">
        <v>713</v>
      </c>
      <c r="G479" s="3" t="s">
        <v>154</v>
      </c>
      <c r="H479" s="2" t="s">
        <v>55</v>
      </c>
      <c r="I479" s="2" t="s">
        <v>1627</v>
      </c>
      <c r="J479" s="3" t="str">
        <f>HYPERLINK("https://www.boe.es/gazeta/dias/1809/09/10/pdfs/GMD-1809-254.pdf#page=3","Abrir facsímil")</f>
        <v>Abrir facsímil</v>
      </c>
      <c r="K479" s="3" t="s">
        <v>57</v>
      </c>
    </row>
    <row r="480" spans="1:11" ht="42" customHeight="1">
      <c r="A480" s="2" t="s">
        <v>1625</v>
      </c>
      <c r="B480" s="2" t="s">
        <v>1625</v>
      </c>
      <c r="C480" s="2" t="s">
        <v>25</v>
      </c>
      <c r="D480" s="2" t="s">
        <v>18</v>
      </c>
      <c r="E480" s="3" t="s">
        <v>211</v>
      </c>
      <c r="F480" s="3" t="s">
        <v>212</v>
      </c>
      <c r="G480" s="3" t="s">
        <v>213</v>
      </c>
      <c r="H480" s="2" t="s">
        <v>55</v>
      </c>
      <c r="I480" s="2" t="s">
        <v>1628</v>
      </c>
      <c r="J480" s="3" t="str">
        <f>HYPERLINK("https://www.boe.es/gazeta/dias/1809/10/27/pdfs/GMD-1809-301.pdf#page=4","Abrir facsímil")</f>
        <v>Abrir facsímil</v>
      </c>
      <c r="K480" s="3" t="s">
        <v>57</v>
      </c>
    </row>
    <row r="481" spans="1:11" ht="42" customHeight="1">
      <c r="A481" s="2" t="s">
        <v>1625</v>
      </c>
      <c r="B481" s="2" t="s">
        <v>1625</v>
      </c>
      <c r="C481" s="2" t="s">
        <v>17</v>
      </c>
      <c r="D481" s="2" t="s">
        <v>18</v>
      </c>
      <c r="E481" s="3" t="s">
        <v>893</v>
      </c>
      <c r="F481" s="3" t="s">
        <v>1348</v>
      </c>
      <c r="G481" s="3" t="s">
        <v>1629</v>
      </c>
      <c r="H481" s="2" t="s">
        <v>55</v>
      </c>
      <c r="I481" s="2" t="s">
        <v>1630</v>
      </c>
      <c r="J481" s="3" t="str">
        <f>HYPERLINK("https://www.boe.es/gazeta/dias/1809/11/02/pdfs/GGB-1809-402.pdf#page=5","Abrir facsímil")</f>
        <v>Abrir facsímil</v>
      </c>
      <c r="K481" s="3" t="s">
        <v>57</v>
      </c>
    </row>
    <row r="482" spans="1:11" ht="42" customHeight="1">
      <c r="A482" s="2" t="s">
        <v>1625</v>
      </c>
      <c r="B482" s="2" t="s">
        <v>1625</v>
      </c>
      <c r="C482" s="2" t="s">
        <v>25</v>
      </c>
      <c r="D482" s="2" t="s">
        <v>18</v>
      </c>
      <c r="E482" s="3" t="s">
        <v>220</v>
      </c>
      <c r="F482" s="3" t="s">
        <v>221</v>
      </c>
      <c r="G482" s="3" t="s">
        <v>154</v>
      </c>
      <c r="H482" s="2" t="s">
        <v>55</v>
      </c>
      <c r="I482" s="2" t="s">
        <v>1631</v>
      </c>
      <c r="J482" s="3" t="str">
        <f>HYPERLINK("https://www.boe.es/gazeta/dias/1809/12/13/pdfs/GMD-1809-348.pdf#page=4","Abrir facsímil")</f>
        <v>Abrir facsímil</v>
      </c>
      <c r="K482" s="3" t="s">
        <v>57</v>
      </c>
    </row>
    <row r="483" spans="1:11" ht="42" customHeight="1">
      <c r="A483" s="2" t="s">
        <v>1625</v>
      </c>
      <c r="B483" s="2" t="s">
        <v>1625</v>
      </c>
      <c r="C483" s="2" t="s">
        <v>25</v>
      </c>
      <c r="D483" s="2" t="s">
        <v>40</v>
      </c>
      <c r="E483" s="3" t="s">
        <v>473</v>
      </c>
      <c r="F483" s="3" t="s">
        <v>474</v>
      </c>
      <c r="G483" s="3" t="s">
        <v>234</v>
      </c>
      <c r="H483" s="2" t="s">
        <v>55</v>
      </c>
      <c r="I483" s="2" t="s">
        <v>1632</v>
      </c>
      <c r="J483" s="3" t="str">
        <f>HYPERLINK("https://www.boe.es/gazeta/dias/1809/12/28/pdfs/GMD-1809-363.pdf#page=3","Abrir facsímil")</f>
        <v>Abrir facsímil</v>
      </c>
      <c r="K483" s="3" t="s">
        <v>57</v>
      </c>
    </row>
    <row r="484" spans="1:11" ht="42" customHeight="1">
      <c r="A484" s="2" t="s">
        <v>1633</v>
      </c>
      <c r="B484" s="2" t="s">
        <v>1634</v>
      </c>
      <c r="C484" s="2" t="s">
        <v>39</v>
      </c>
      <c r="D484" s="2" t="s">
        <v>40</v>
      </c>
      <c r="E484" s="3" t="s">
        <v>1635</v>
      </c>
      <c r="F484" s="3" t="s">
        <v>1636</v>
      </c>
      <c r="G484" s="3" t="s">
        <v>29</v>
      </c>
      <c r="H484" s="2" t="s">
        <v>55</v>
      </c>
      <c r="I484" s="2" t="s">
        <v>1637</v>
      </c>
      <c r="J484" s="3" t="str">
        <f>HYPERLINK("https://www.boe.es/gazeta/dias/1809/09/15/pdfs/GMD-1809-259.pdf#page=3","Abrir facsímil")</f>
        <v>Abrir facsímil</v>
      </c>
      <c r="K484" s="3" t="s">
        <v>57</v>
      </c>
    </row>
    <row r="485" spans="1:11" ht="42" customHeight="1">
      <c r="A485" s="2" t="s">
        <v>1638</v>
      </c>
      <c r="B485" s="2" t="s">
        <v>1639</v>
      </c>
      <c r="C485" s="2" t="s">
        <v>17</v>
      </c>
      <c r="D485" s="2" t="s">
        <v>107</v>
      </c>
      <c r="E485" s="3" t="s">
        <v>1640</v>
      </c>
      <c r="F485" s="3" t="s">
        <v>1641</v>
      </c>
      <c r="G485" s="3" t="s">
        <v>225</v>
      </c>
      <c r="H485" s="2" t="s">
        <v>55</v>
      </c>
      <c r="I485" s="2" t="s">
        <v>1642</v>
      </c>
      <c r="J485" s="3" t="str">
        <f>HYPERLINK("https://www.boe.es/gazeta/dias/1809/01/06/pdfs/GGB-G-1809-1.pdf#page=4","Abrir facsímil")</f>
        <v>Abrir facsímil</v>
      </c>
      <c r="K485" s="3" t="s">
        <v>57</v>
      </c>
    </row>
    <row r="486" spans="1:11" ht="42" customHeight="1">
      <c r="A486" s="2" t="s">
        <v>1638</v>
      </c>
      <c r="B486" s="2" t="s">
        <v>1639</v>
      </c>
      <c r="C486" s="2" t="s">
        <v>17</v>
      </c>
      <c r="D486" s="2" t="s">
        <v>107</v>
      </c>
      <c r="E486" s="3" t="s">
        <v>1123</v>
      </c>
      <c r="F486" s="3" t="s">
        <v>1641</v>
      </c>
      <c r="G486" s="3" t="s">
        <v>225</v>
      </c>
      <c r="H486" s="2" t="s">
        <v>55</v>
      </c>
      <c r="I486" s="2" t="s">
        <v>1642</v>
      </c>
      <c r="J486" s="3" t="str">
        <f>HYPERLINK("https://www.boe.es/gazeta/dias/1809/01/08/pdfs/GGB-G-1809-1.pdf#page=4","Abrir facsímil")</f>
        <v>Abrir facsímil</v>
      </c>
      <c r="K486" s="3" t="s">
        <v>57</v>
      </c>
    </row>
    <row r="487" spans="1:11" ht="42" customHeight="1">
      <c r="A487" s="2" t="s">
        <v>1643</v>
      </c>
      <c r="B487" s="2" t="s">
        <v>1643</v>
      </c>
      <c r="C487" s="2" t="s">
        <v>25</v>
      </c>
      <c r="D487" s="2" t="s">
        <v>18</v>
      </c>
      <c r="E487" s="3" t="s">
        <v>548</v>
      </c>
      <c r="F487" s="3" t="s">
        <v>549</v>
      </c>
      <c r="G487" s="3" t="s">
        <v>687</v>
      </c>
      <c r="H487" s="2" t="s">
        <v>55</v>
      </c>
      <c r="I487" s="2" t="s">
        <v>1644</v>
      </c>
      <c r="J487" s="3" t="str">
        <f>HYPERLINK("https://www.boe.es/gazeta/dias/1809/03/12/pdfs/GMD-1809-71.pdf#page=2","Abrir facsímil")</f>
        <v>Abrir facsímil</v>
      </c>
      <c r="K487" s="3" t="s">
        <v>57</v>
      </c>
    </row>
    <row r="488" spans="1:11" ht="42" customHeight="1">
      <c r="A488" s="2" t="s">
        <v>1643</v>
      </c>
      <c r="B488" s="2" t="s">
        <v>1643</v>
      </c>
      <c r="C488" s="2" t="s">
        <v>39</v>
      </c>
      <c r="D488" s="2" t="s">
        <v>18</v>
      </c>
      <c r="E488" s="3" t="s">
        <v>1076</v>
      </c>
      <c r="F488" s="3" t="s">
        <v>1645</v>
      </c>
      <c r="G488" s="3" t="s">
        <v>1646</v>
      </c>
      <c r="H488" s="2" t="s">
        <v>55</v>
      </c>
      <c r="I488" s="2" t="s">
        <v>1647</v>
      </c>
      <c r="J488" s="3" t="str">
        <f>HYPERLINK("https://www.boe.es/gazeta/dias/1809/04/13/pdfs/GMD-1809-103.pdf#page=3","Abrir facsímil")</f>
        <v>Abrir facsímil</v>
      </c>
      <c r="K488" s="3" t="s">
        <v>57</v>
      </c>
    </row>
    <row r="489" spans="1:11" ht="42" customHeight="1">
      <c r="A489" s="2" t="s">
        <v>1643</v>
      </c>
      <c r="B489" s="2" t="s">
        <v>1643</v>
      </c>
      <c r="C489" s="2" t="s">
        <v>369</v>
      </c>
      <c r="D489" s="2" t="s">
        <v>40</v>
      </c>
      <c r="E489" s="3" t="s">
        <v>1648</v>
      </c>
      <c r="F489" s="3" t="s">
        <v>1649</v>
      </c>
      <c r="G489" s="3" t="s">
        <v>1650</v>
      </c>
      <c r="H489" s="2" t="s">
        <v>55</v>
      </c>
      <c r="I489" s="2" t="s">
        <v>1651</v>
      </c>
      <c r="J489" s="3" t="str">
        <f>HYPERLINK("https://www.boe.es/gazeta/dias/1809/05/16/pdfs/GMD-1809-136.pdf#page=4","Abrir facsímil")</f>
        <v>Abrir facsímil</v>
      </c>
      <c r="K489" s="3" t="s">
        <v>57</v>
      </c>
    </row>
    <row r="490" spans="1:11" ht="42" customHeight="1">
      <c r="A490" s="2" t="s">
        <v>1643</v>
      </c>
      <c r="B490" s="2" t="s">
        <v>1643</v>
      </c>
      <c r="C490" s="2" t="s">
        <v>131</v>
      </c>
      <c r="D490" s="2" t="s">
        <v>26</v>
      </c>
      <c r="E490" s="3" t="s">
        <v>1652</v>
      </c>
      <c r="F490" s="3" t="s">
        <v>1653</v>
      </c>
      <c r="G490" s="3" t="s">
        <v>1545</v>
      </c>
      <c r="H490" s="2" t="s">
        <v>55</v>
      </c>
      <c r="I490" s="2" t="s">
        <v>1654</v>
      </c>
      <c r="J490" s="3" t="str">
        <f>HYPERLINK("https://www.boe.es/gazeta/dias/1809/07/25/pdfs/GGB-1809-48.pdf#page=8","Abrir facsímil")</f>
        <v>Abrir facsímil</v>
      </c>
      <c r="K490" s="3" t="s">
        <v>57</v>
      </c>
    </row>
    <row r="491" spans="1:11" ht="42" customHeight="1">
      <c r="A491" s="2" t="s">
        <v>1643</v>
      </c>
      <c r="B491" s="2" t="s">
        <v>1643</v>
      </c>
      <c r="C491" s="2" t="s">
        <v>25</v>
      </c>
      <c r="D491" s="2" t="s">
        <v>18</v>
      </c>
      <c r="E491" s="3" t="s">
        <v>893</v>
      </c>
      <c r="F491" s="3" t="s">
        <v>894</v>
      </c>
      <c r="G491" s="3" t="s">
        <v>225</v>
      </c>
      <c r="H491" s="2" t="s">
        <v>55</v>
      </c>
      <c r="I491" s="2" t="s">
        <v>1655</v>
      </c>
      <c r="J491" s="3" t="str">
        <f>HYPERLINK("https://www.boe.es/gazeta/dias/1809/11/02/pdfs/GMD-1809-307.pdf#page=4","Abrir facsímil")</f>
        <v>Abrir facsímil</v>
      </c>
      <c r="K491" s="3" t="s">
        <v>57</v>
      </c>
    </row>
    <row r="492" spans="1:11" ht="42" customHeight="1">
      <c r="A492" s="2" t="s">
        <v>1656</v>
      </c>
      <c r="B492" s="2" t="s">
        <v>1657</v>
      </c>
      <c r="C492" s="2" t="s">
        <v>25</v>
      </c>
      <c r="D492" s="2" t="s">
        <v>72</v>
      </c>
      <c r="E492" s="3" t="s">
        <v>695</v>
      </c>
      <c r="F492" s="3" t="s">
        <v>1658</v>
      </c>
      <c r="G492" s="3" t="s">
        <v>1659</v>
      </c>
      <c r="H492" s="2" t="s">
        <v>55</v>
      </c>
      <c r="I492" s="2" t="s">
        <v>1660</v>
      </c>
      <c r="J492" s="3" t="str">
        <f>HYPERLINK("https://www.boe.es/gazeta/dias/1809/10/24/pdfs/GGB-H-1809-362.pdf#page=4","Abrir facsímil")</f>
        <v>Abrir facsímil</v>
      </c>
      <c r="K492" s="3" t="s">
        <v>57</v>
      </c>
    </row>
    <row r="493" spans="1:11" ht="42" customHeight="1">
      <c r="A493" s="2" t="s">
        <v>1661</v>
      </c>
      <c r="B493" s="2" t="s">
        <v>1662</v>
      </c>
      <c r="C493" s="2" t="s">
        <v>17</v>
      </c>
      <c r="D493" s="2" t="s">
        <v>18</v>
      </c>
      <c r="E493" s="3" t="s">
        <v>1396</v>
      </c>
      <c r="F493" s="3" t="s">
        <v>1397</v>
      </c>
      <c r="G493" s="3" t="s">
        <v>1398</v>
      </c>
      <c r="H493" s="2" t="s">
        <v>55</v>
      </c>
      <c r="I493" s="2" t="s">
        <v>1663</v>
      </c>
      <c r="J493" s="3" t="str">
        <f>HYPERLINK("https://www.boe.es/gazeta/dias/1809/11/28/pdfs/GGB-1809-512.pdf#page=7","Abrir facsímil")</f>
        <v>Abrir facsímil</v>
      </c>
      <c r="K493" s="3" t="s">
        <v>57</v>
      </c>
    </row>
    <row r="494" spans="1:11" ht="42" customHeight="1">
      <c r="A494" s="2" t="s">
        <v>1664</v>
      </c>
      <c r="B494" s="2" t="s">
        <v>1664</v>
      </c>
      <c r="C494" s="2" t="s">
        <v>25</v>
      </c>
      <c r="D494" s="2" t="s">
        <v>26</v>
      </c>
      <c r="E494" s="3" t="s">
        <v>92</v>
      </c>
      <c r="F494" s="3" t="s">
        <v>1383</v>
      </c>
      <c r="G494" s="3" t="s">
        <v>154</v>
      </c>
      <c r="H494" s="2" t="s">
        <v>55</v>
      </c>
      <c r="I494" s="2" t="s">
        <v>1665</v>
      </c>
      <c r="J494" s="3" t="str">
        <f>HYPERLINK("https://www.boe.es/gazeta/dias/1809/05/22/pdfs/GGB-1809-30.pdf#page=7","Abrir facsímil")</f>
        <v>Abrir facsímil</v>
      </c>
      <c r="K494" s="3" t="s">
        <v>57</v>
      </c>
    </row>
    <row r="495" spans="1:11" ht="42" customHeight="1">
      <c r="A495" s="2" t="s">
        <v>1666</v>
      </c>
      <c r="B495" s="2" t="s">
        <v>1666</v>
      </c>
      <c r="C495" s="2" t="s">
        <v>25</v>
      </c>
      <c r="D495" s="2" t="s">
        <v>18</v>
      </c>
      <c r="E495" s="3" t="s">
        <v>1667</v>
      </c>
      <c r="F495" s="3" t="s">
        <v>1668</v>
      </c>
      <c r="G495" s="3" t="s">
        <v>21</v>
      </c>
      <c r="H495" s="2" t="s">
        <v>55</v>
      </c>
      <c r="I495" s="2" t="s">
        <v>1669</v>
      </c>
      <c r="J495" s="3" t="str">
        <f>HYPERLINK("https://www.boe.es/gazeta/dias/1809/02/21/pdfs/GMD-1809-52.pdf#page=4","Abrir facsímil")</f>
        <v>Abrir facsímil</v>
      </c>
      <c r="K495" s="3" t="s">
        <v>57</v>
      </c>
    </row>
    <row r="496" spans="1:11" ht="42" customHeight="1">
      <c r="A496" s="2" t="s">
        <v>1666</v>
      </c>
      <c r="B496" s="2" t="s">
        <v>1666</v>
      </c>
      <c r="C496" s="2" t="s">
        <v>25</v>
      </c>
      <c r="D496" s="2" t="s">
        <v>26</v>
      </c>
      <c r="E496" s="3" t="s">
        <v>1670</v>
      </c>
      <c r="F496" s="3" t="s">
        <v>1671</v>
      </c>
      <c r="G496" s="3" t="s">
        <v>239</v>
      </c>
      <c r="H496" s="2" t="s">
        <v>55</v>
      </c>
      <c r="I496" s="2" t="s">
        <v>1672</v>
      </c>
      <c r="J496" s="3" t="str">
        <f>HYPERLINK("https://www.boe.es/gazeta/dias/1809/02/22/pdfs/GMD-1809-53.pdf#page=2","Abrir facsímil")</f>
        <v>Abrir facsímil</v>
      </c>
      <c r="K496" s="3" t="s">
        <v>57</v>
      </c>
    </row>
    <row r="497" spans="1:11" ht="42" customHeight="1">
      <c r="A497" s="2" t="s">
        <v>1666</v>
      </c>
      <c r="B497" s="2" t="s">
        <v>1666</v>
      </c>
      <c r="C497" s="2" t="s">
        <v>25</v>
      </c>
      <c r="D497" s="2" t="s">
        <v>26</v>
      </c>
      <c r="E497" s="3" t="s">
        <v>258</v>
      </c>
      <c r="F497" s="3" t="s">
        <v>1673</v>
      </c>
      <c r="G497" s="3" t="s">
        <v>21</v>
      </c>
      <c r="H497" s="2" t="s">
        <v>55</v>
      </c>
      <c r="I497" s="2" t="s">
        <v>1674</v>
      </c>
      <c r="J497" s="3" t="str">
        <f>HYPERLINK("https://www.boe.es/gazeta/dias/1809/03/17/pdfs/GGB-G-1809-12.pdf#page=3","Abrir facsímil")</f>
        <v>Abrir facsímil</v>
      </c>
      <c r="K497" s="3" t="s">
        <v>57</v>
      </c>
    </row>
    <row r="498" spans="1:11" ht="42" customHeight="1">
      <c r="A498" s="2" t="s">
        <v>1666</v>
      </c>
      <c r="B498" s="2" t="s">
        <v>1666</v>
      </c>
      <c r="C498" s="2" t="s">
        <v>47</v>
      </c>
      <c r="D498" s="2" t="s">
        <v>18</v>
      </c>
      <c r="E498" s="3" t="s">
        <v>92</v>
      </c>
      <c r="F498" s="3" t="s">
        <v>1383</v>
      </c>
      <c r="G498" s="3" t="s">
        <v>29</v>
      </c>
      <c r="H498" s="2" t="s">
        <v>55</v>
      </c>
      <c r="I498" s="2" t="s">
        <v>1675</v>
      </c>
      <c r="J498" s="3" t="str">
        <f>HYPERLINK("https://www.boe.es/gazeta/dias/1809/05/22/pdfs/GGB-1809-30.pdf#page=3","Abrir facsímil")</f>
        <v>Abrir facsímil</v>
      </c>
      <c r="K498" s="3" t="s">
        <v>57</v>
      </c>
    </row>
    <row r="499" spans="1:11" ht="42" customHeight="1">
      <c r="A499" s="2" t="s">
        <v>1666</v>
      </c>
      <c r="B499" s="2" t="s">
        <v>1666</v>
      </c>
      <c r="C499" s="2" t="s">
        <v>25</v>
      </c>
      <c r="D499" s="2" t="s">
        <v>26</v>
      </c>
      <c r="E499" s="3" t="s">
        <v>92</v>
      </c>
      <c r="F499" s="3" t="s">
        <v>1383</v>
      </c>
      <c r="G499" s="3" t="s">
        <v>120</v>
      </c>
      <c r="H499" s="2" t="s">
        <v>55</v>
      </c>
      <c r="I499" s="2" t="s">
        <v>1676</v>
      </c>
      <c r="J499" s="3" t="str">
        <f>HYPERLINK("https://www.boe.es/gazeta/dias/1809/05/22/pdfs/GGB-1809-30.pdf#page=6","Abrir facsímil")</f>
        <v>Abrir facsímil</v>
      </c>
      <c r="K499" s="3" t="s">
        <v>57</v>
      </c>
    </row>
    <row r="500" spans="1:11" ht="42" customHeight="1">
      <c r="A500" s="2" t="s">
        <v>1666</v>
      </c>
      <c r="B500" s="2" t="s">
        <v>1666</v>
      </c>
      <c r="C500" s="2" t="s">
        <v>25</v>
      </c>
      <c r="D500" s="2" t="s">
        <v>26</v>
      </c>
      <c r="E500" s="3" t="s">
        <v>92</v>
      </c>
      <c r="F500" s="3" t="s">
        <v>1383</v>
      </c>
      <c r="G500" s="3" t="s">
        <v>154</v>
      </c>
      <c r="H500" s="2" t="s">
        <v>55</v>
      </c>
      <c r="I500" s="2" t="s">
        <v>1677</v>
      </c>
      <c r="J500" s="3" t="str">
        <f>HYPERLINK("https://www.boe.es/gazeta/dias/1809/05/22/pdfs/GGB-1809-30.pdf#page=7","Abrir facsímil")</f>
        <v>Abrir facsímil</v>
      </c>
      <c r="K500" s="3" t="s">
        <v>57</v>
      </c>
    </row>
    <row r="501" spans="1:11" ht="42" customHeight="1">
      <c r="A501" s="2" t="s">
        <v>1666</v>
      </c>
      <c r="B501" s="2" t="s">
        <v>1666</v>
      </c>
      <c r="C501" s="2" t="s">
        <v>25</v>
      </c>
      <c r="D501" s="2" t="s">
        <v>26</v>
      </c>
      <c r="E501" s="3" t="s">
        <v>1678</v>
      </c>
      <c r="F501" s="3" t="s">
        <v>1679</v>
      </c>
      <c r="G501" s="3" t="s">
        <v>1680</v>
      </c>
      <c r="H501" s="2" t="s">
        <v>55</v>
      </c>
      <c r="I501" s="2" t="s">
        <v>1681</v>
      </c>
      <c r="J501" s="3" t="str">
        <f>HYPERLINK("https://www.boe.es/gazeta/dias/1809/05/29/pdfs/GGB-1809-32.pdf#page=6","Abrir facsímil")</f>
        <v>Abrir facsímil</v>
      </c>
      <c r="K501" s="3" t="s">
        <v>57</v>
      </c>
    </row>
    <row r="502" spans="1:11" ht="42" customHeight="1">
      <c r="A502" s="2" t="s">
        <v>1666</v>
      </c>
      <c r="B502" s="2" t="s">
        <v>1666</v>
      </c>
      <c r="C502" s="2" t="s">
        <v>25</v>
      </c>
      <c r="D502" s="2" t="s">
        <v>26</v>
      </c>
      <c r="E502" s="3" t="s">
        <v>322</v>
      </c>
      <c r="F502" s="3" t="s">
        <v>435</v>
      </c>
      <c r="G502" s="3" t="s">
        <v>1682</v>
      </c>
      <c r="H502" s="2" t="s">
        <v>55</v>
      </c>
      <c r="I502" s="2" t="s">
        <v>1683</v>
      </c>
      <c r="J502" s="3" t="str">
        <f>HYPERLINK("https://www.boe.es/gazeta/dias/1809/07/21/pdfs/GGB-1809-47.pdf#page=9","Abrir facsímil")</f>
        <v>Abrir facsímil</v>
      </c>
      <c r="K502" s="3" t="s">
        <v>57</v>
      </c>
    </row>
    <row r="503" spans="1:11" ht="42" customHeight="1">
      <c r="A503" s="2" t="s">
        <v>1684</v>
      </c>
      <c r="B503" s="2" t="s">
        <v>1684</v>
      </c>
      <c r="C503" s="2" t="s">
        <v>25</v>
      </c>
      <c r="D503" s="2" t="s">
        <v>26</v>
      </c>
      <c r="E503" s="3" t="s">
        <v>152</v>
      </c>
      <c r="F503" s="3" t="s">
        <v>153</v>
      </c>
      <c r="G503" s="3" t="s">
        <v>154</v>
      </c>
      <c r="H503" s="2" t="s">
        <v>55</v>
      </c>
      <c r="I503" s="2" t="s">
        <v>1685</v>
      </c>
      <c r="J503" s="3" t="str">
        <f>HYPERLINK("https://www.boe.es/gazeta/dias/1809/08/26/pdfs/GGB-1809-112.pdf#page=6","Abrir facsímil")</f>
        <v>Abrir facsímil</v>
      </c>
      <c r="K503" s="3" t="s">
        <v>57</v>
      </c>
    </row>
    <row r="504" spans="1:11" ht="42" customHeight="1">
      <c r="A504" s="2" t="s">
        <v>1686</v>
      </c>
      <c r="B504" s="2" t="s">
        <v>1686</v>
      </c>
      <c r="C504" s="2" t="s">
        <v>47</v>
      </c>
      <c r="D504" s="2" t="s">
        <v>107</v>
      </c>
      <c r="E504" s="3" t="s">
        <v>1687</v>
      </c>
      <c r="F504" s="3" t="s">
        <v>1688</v>
      </c>
      <c r="G504" s="3" t="s">
        <v>1689</v>
      </c>
      <c r="H504" s="2" t="s">
        <v>55</v>
      </c>
      <c r="I504" s="2" t="s">
        <v>1690</v>
      </c>
      <c r="J504" s="3" t="str">
        <f>HYPERLINK("https://www.boe.es/gazeta/dias/1809/02/25/pdfs/GMD-1809-56.pdf#page=1","Abrir facsímil")</f>
        <v>Abrir facsímil</v>
      </c>
      <c r="K504" s="3" t="s">
        <v>57</v>
      </c>
    </row>
    <row r="505" spans="1:11" ht="42" customHeight="1">
      <c r="A505" s="2" t="s">
        <v>1691</v>
      </c>
      <c r="B505" s="2" t="s">
        <v>1691</v>
      </c>
      <c r="C505" s="2" t="s">
        <v>131</v>
      </c>
      <c r="D505" s="2" t="s">
        <v>26</v>
      </c>
      <c r="E505" s="3" t="s">
        <v>1692</v>
      </c>
      <c r="F505" s="3" t="s">
        <v>1693</v>
      </c>
      <c r="G505" s="3" t="s">
        <v>129</v>
      </c>
      <c r="H505" s="2" t="s">
        <v>55</v>
      </c>
      <c r="I505" s="2" t="s">
        <v>1694</v>
      </c>
      <c r="J505" s="3" t="str">
        <f>HYPERLINK("https://www.boe.es/gazeta/dias/1809/08/06/pdfs/GMD-1809-219.pdf#page=2","Abrir facsímil")</f>
        <v>Abrir facsímil</v>
      </c>
      <c r="K505" s="3" t="s">
        <v>57</v>
      </c>
    </row>
    <row r="506" spans="1:11" ht="42" customHeight="1">
      <c r="A506" s="2" t="s">
        <v>1695</v>
      </c>
      <c r="B506" s="2" t="s">
        <v>1696</v>
      </c>
      <c r="C506" s="2" t="s">
        <v>25</v>
      </c>
      <c r="D506" s="2" t="s">
        <v>72</v>
      </c>
      <c r="E506" s="3" t="s">
        <v>118</v>
      </c>
      <c r="F506" s="3" t="s">
        <v>819</v>
      </c>
      <c r="G506" s="3" t="s">
        <v>541</v>
      </c>
      <c r="H506" s="2" t="s">
        <v>55</v>
      </c>
      <c r="I506" s="2" t="s">
        <v>1697</v>
      </c>
      <c r="J506" s="3" t="str">
        <f>HYPERLINK("https://www.boe.es/gazeta/dias/1809/09/07/pdfs/GGB-H-1809-162.pdf#page=6","Abrir facsímil")</f>
        <v>Abrir facsímil</v>
      </c>
      <c r="K506" s="3" t="s">
        <v>57</v>
      </c>
    </row>
    <row r="507" spans="1:11" ht="42" customHeight="1">
      <c r="A507" s="2" t="s">
        <v>1698</v>
      </c>
      <c r="B507" s="2" t="s">
        <v>1699</v>
      </c>
      <c r="C507" s="2" t="s">
        <v>25</v>
      </c>
      <c r="D507" s="2" t="s">
        <v>80</v>
      </c>
      <c r="E507" s="3" t="s">
        <v>1700</v>
      </c>
      <c r="F507" s="3" t="s">
        <v>1701</v>
      </c>
      <c r="G507" s="3" t="s">
        <v>1702</v>
      </c>
      <c r="H507" s="2" t="s">
        <v>55</v>
      </c>
      <c r="I507" s="2" t="s">
        <v>1703</v>
      </c>
      <c r="J507" s="3" t="str">
        <f>HYPERLINK("https://www.boe.es/gazeta/dias/1809/01/16/pdfs/GGB-1809-3E.pdf#page=6","Abrir facsímil")</f>
        <v>Abrir facsímil</v>
      </c>
      <c r="K507" s="3" t="s">
        <v>57</v>
      </c>
    </row>
    <row r="508" spans="1:11" ht="42" customHeight="1">
      <c r="A508" s="2" t="s">
        <v>1704</v>
      </c>
      <c r="B508" s="2" t="s">
        <v>1705</v>
      </c>
      <c r="C508" s="2" t="s">
        <v>131</v>
      </c>
      <c r="D508" s="2" t="s">
        <v>18</v>
      </c>
      <c r="E508" s="3" t="s">
        <v>102</v>
      </c>
      <c r="F508" s="3" t="s">
        <v>103</v>
      </c>
      <c r="G508" s="3" t="s">
        <v>1706</v>
      </c>
      <c r="H508" s="2" t="s">
        <v>55</v>
      </c>
      <c r="I508" s="2" t="s">
        <v>1707</v>
      </c>
      <c r="J508" s="3" t="str">
        <f>HYPERLINK("https://www.boe.es/gazeta/dias/1809/09/28/pdfs/GGB-1809-252.pdf#page=5","Abrir facsímil")</f>
        <v>Abrir facsímil</v>
      </c>
      <c r="K508" s="3" t="s">
        <v>57</v>
      </c>
    </row>
    <row r="509" spans="1:11" ht="42" customHeight="1">
      <c r="A509" s="2" t="s">
        <v>1708</v>
      </c>
      <c r="B509" s="2" t="s">
        <v>1708</v>
      </c>
      <c r="C509" s="2" t="s">
        <v>25</v>
      </c>
      <c r="D509" s="2" t="s">
        <v>18</v>
      </c>
      <c r="E509" s="3" t="s">
        <v>289</v>
      </c>
      <c r="F509" s="3" t="s">
        <v>290</v>
      </c>
      <c r="G509" s="3" t="s">
        <v>239</v>
      </c>
      <c r="H509" s="2" t="s">
        <v>55</v>
      </c>
      <c r="I509" s="2" t="s">
        <v>1709</v>
      </c>
      <c r="J509" s="3" t="str">
        <f>HYPERLINK("https://www.boe.es/gazeta/dias/1809/05/15/pdfs/GMD-1809-135.pdf#page=2","Abrir facsímil")</f>
        <v>Abrir facsímil</v>
      </c>
      <c r="K509" s="3" t="s">
        <v>57</v>
      </c>
    </row>
    <row r="510" spans="1:11" ht="42" customHeight="1">
      <c r="A510" s="2" t="s">
        <v>1710</v>
      </c>
      <c r="B510" s="2" t="s">
        <v>1710</v>
      </c>
      <c r="C510" s="2" t="s">
        <v>25</v>
      </c>
      <c r="D510" s="2" t="s">
        <v>26</v>
      </c>
      <c r="E510" s="3" t="s">
        <v>223</v>
      </c>
      <c r="F510" s="3" t="s">
        <v>224</v>
      </c>
      <c r="G510" s="3" t="s">
        <v>225</v>
      </c>
      <c r="H510" s="2" t="s">
        <v>55</v>
      </c>
      <c r="I510" s="2" t="s">
        <v>1711</v>
      </c>
      <c r="J510" s="3" t="str">
        <f>HYPERLINK("https://www.boe.es/gazeta/dias/1809/12/17/pdfs/GMD-1809-352.pdf#page=4","Abrir facsímil")</f>
        <v>Abrir facsímil</v>
      </c>
      <c r="K510" s="3" t="s">
        <v>57</v>
      </c>
    </row>
    <row r="511" spans="1:11" ht="42" customHeight="1">
      <c r="A511" s="2" t="s">
        <v>1712</v>
      </c>
      <c r="B511" s="2" t="s">
        <v>1713</v>
      </c>
      <c r="C511" s="2" t="s">
        <v>25</v>
      </c>
      <c r="D511" s="2" t="s">
        <v>80</v>
      </c>
      <c r="E511" s="3" t="s">
        <v>179</v>
      </c>
      <c r="F511" s="3" t="s">
        <v>180</v>
      </c>
      <c r="G511" s="3" t="s">
        <v>966</v>
      </c>
      <c r="H511" s="2" t="s">
        <v>55</v>
      </c>
      <c r="I511" s="2" t="s">
        <v>1714</v>
      </c>
      <c r="J511" s="3" t="str">
        <f>HYPERLINK("https://www.boe.es/gazeta/dias/1809/12/08/pdfs/GGB-1809-552E.pdf#page=3","Abrir facsímil")</f>
        <v>Abrir facsímil</v>
      </c>
      <c r="K511" s="3" t="s">
        <v>57</v>
      </c>
    </row>
    <row r="512" spans="1:11" ht="42" customHeight="1">
      <c r="A512" s="2" t="s">
        <v>1715</v>
      </c>
      <c r="B512" s="2" t="s">
        <v>1715</v>
      </c>
      <c r="C512" s="2" t="s">
        <v>25</v>
      </c>
      <c r="D512" s="2" t="s">
        <v>26</v>
      </c>
      <c r="E512" s="3" t="s">
        <v>767</v>
      </c>
      <c r="F512" s="3" t="s">
        <v>768</v>
      </c>
      <c r="G512" s="3" t="s">
        <v>129</v>
      </c>
      <c r="H512" s="2" t="s">
        <v>55</v>
      </c>
      <c r="I512" s="2" t="s">
        <v>1716</v>
      </c>
      <c r="J512" s="3" t="str">
        <f>HYPERLINK("https://www.boe.es/gazeta/dias/1809/05/18/pdfs/GMD-1809-138.pdf#page=2","Abrir facsímil")</f>
        <v>Abrir facsímil</v>
      </c>
      <c r="K512" s="3" t="s">
        <v>57</v>
      </c>
    </row>
    <row r="513" spans="1:11" ht="42" customHeight="1">
      <c r="A513" s="2" t="s">
        <v>1715</v>
      </c>
      <c r="B513" s="2" t="s">
        <v>1715</v>
      </c>
      <c r="C513" s="2" t="s">
        <v>25</v>
      </c>
      <c r="D513" s="2" t="s">
        <v>26</v>
      </c>
      <c r="E513" s="3" t="s">
        <v>776</v>
      </c>
      <c r="F513" s="3" t="s">
        <v>1485</v>
      </c>
      <c r="G513" s="3" t="s">
        <v>225</v>
      </c>
      <c r="H513" s="2" t="s">
        <v>55</v>
      </c>
      <c r="I513" s="2" t="s">
        <v>1717</v>
      </c>
      <c r="J513" s="3" t="str">
        <f>HYPERLINK("https://www.boe.es/gazeta/dias/1809/05/28/pdfs/GGB-1809-31E2.pdf#page=4","Abrir facsímil")</f>
        <v>Abrir facsímil</v>
      </c>
      <c r="K513" s="3" t="s">
        <v>57</v>
      </c>
    </row>
    <row r="514" spans="1:11" ht="42" customHeight="1">
      <c r="A514" s="2" t="s">
        <v>1715</v>
      </c>
      <c r="B514" s="2" t="s">
        <v>1715</v>
      </c>
      <c r="C514" s="2" t="s">
        <v>25</v>
      </c>
      <c r="D514" s="2" t="s">
        <v>26</v>
      </c>
      <c r="E514" s="3" t="s">
        <v>48</v>
      </c>
      <c r="F514" s="3" t="s">
        <v>1718</v>
      </c>
      <c r="G514" s="3" t="s">
        <v>1719</v>
      </c>
      <c r="H514" s="2" t="s">
        <v>55</v>
      </c>
      <c r="I514" s="2" t="s">
        <v>1720</v>
      </c>
      <c r="J514" s="3" t="str">
        <f>HYPERLINK("https://www.boe.es/gazeta/dias/1809/10/03/pdfs/GGB-1809-272.pdf#page=8","Abrir facsímil")</f>
        <v>Abrir facsímil</v>
      </c>
      <c r="K514" s="3" t="s">
        <v>57</v>
      </c>
    </row>
    <row r="515" spans="1:11" ht="42" customHeight="1">
      <c r="A515" s="2" t="s">
        <v>1721</v>
      </c>
      <c r="B515" s="2" t="s">
        <v>1721</v>
      </c>
      <c r="C515" s="2" t="s">
        <v>25</v>
      </c>
      <c r="D515" s="2" t="s">
        <v>40</v>
      </c>
      <c r="E515" s="3" t="s">
        <v>1080</v>
      </c>
      <c r="F515" s="3" t="s">
        <v>1722</v>
      </c>
      <c r="G515" s="3" t="s">
        <v>239</v>
      </c>
      <c r="H515" s="2" t="s">
        <v>55</v>
      </c>
      <c r="I515" s="2" t="s">
        <v>1723</v>
      </c>
      <c r="J515" s="3" t="str">
        <f>HYPERLINK("https://www.boe.es/gazeta/dias/1809/10/23/pdfs/GMD-E-1809-297.pdf#page=3","Abrir facsímil")</f>
        <v>Abrir facsímil</v>
      </c>
      <c r="K515" s="3" t="s">
        <v>57</v>
      </c>
    </row>
    <row r="516" spans="1:11" ht="42" customHeight="1">
      <c r="A516" s="2" t="s">
        <v>1721</v>
      </c>
      <c r="B516" s="2" t="s">
        <v>1721</v>
      </c>
      <c r="C516" s="2" t="s">
        <v>25</v>
      </c>
      <c r="D516" s="2" t="s">
        <v>26</v>
      </c>
      <c r="E516" s="3" t="s">
        <v>211</v>
      </c>
      <c r="F516" s="3" t="s">
        <v>212</v>
      </c>
      <c r="G516" s="3" t="s">
        <v>213</v>
      </c>
      <c r="H516" s="2" t="s">
        <v>55</v>
      </c>
      <c r="I516" s="2" t="s">
        <v>1724</v>
      </c>
      <c r="J516" s="3" t="str">
        <f>HYPERLINK("https://www.boe.es/gazeta/dias/1809/10/27/pdfs/GMD-1809-301.pdf#page=4","Abrir facsímil")</f>
        <v>Abrir facsímil</v>
      </c>
      <c r="K516" s="3" t="s">
        <v>57</v>
      </c>
    </row>
    <row r="517" spans="1:11" ht="42" customHeight="1">
      <c r="A517" s="2" t="s">
        <v>1721</v>
      </c>
      <c r="B517" s="2" t="s">
        <v>1721</v>
      </c>
      <c r="C517" s="2" t="s">
        <v>25</v>
      </c>
      <c r="D517" s="2" t="s">
        <v>40</v>
      </c>
      <c r="E517" s="3" t="s">
        <v>216</v>
      </c>
      <c r="F517" s="3" t="s">
        <v>217</v>
      </c>
      <c r="G517" s="3" t="s">
        <v>587</v>
      </c>
      <c r="H517" s="2" t="s">
        <v>55</v>
      </c>
      <c r="I517" s="2" t="s">
        <v>1725</v>
      </c>
      <c r="J517" s="3" t="str">
        <f>HYPERLINK("https://www.boe.es/gazeta/dias/1809/12/05/pdfs/GGB-H-1809-542.pdf#page=4","Abrir facsímil")</f>
        <v>Abrir facsímil</v>
      </c>
      <c r="K517" s="3" t="s">
        <v>57</v>
      </c>
    </row>
    <row r="518" spans="1:11" ht="42" customHeight="1">
      <c r="A518" s="2" t="s">
        <v>1721</v>
      </c>
      <c r="B518" s="2" t="s">
        <v>1721</v>
      </c>
      <c r="C518" s="2" t="s">
        <v>25</v>
      </c>
      <c r="D518" s="2" t="s">
        <v>26</v>
      </c>
      <c r="E518" s="3" t="s">
        <v>216</v>
      </c>
      <c r="F518" s="3" t="s">
        <v>217</v>
      </c>
      <c r="G518" s="3" t="s">
        <v>218</v>
      </c>
      <c r="H518" s="2" t="s">
        <v>55</v>
      </c>
      <c r="I518" s="2" t="s">
        <v>1726</v>
      </c>
      <c r="J518" s="3" t="str">
        <f>HYPERLINK("https://www.boe.es/gazeta/dias/1809/12/05/pdfs/GGB-H-1809-542.pdf#page=6","Abrir facsímil")</f>
        <v>Abrir facsímil</v>
      </c>
      <c r="K518" s="3" t="s">
        <v>57</v>
      </c>
    </row>
    <row r="519" spans="1:11" ht="42" customHeight="1">
      <c r="A519" s="2" t="s">
        <v>1727</v>
      </c>
      <c r="B519" s="2" t="s">
        <v>1728</v>
      </c>
      <c r="C519" s="2" t="s">
        <v>25</v>
      </c>
      <c r="D519" s="2" t="s">
        <v>18</v>
      </c>
      <c r="E519" s="3" t="s">
        <v>163</v>
      </c>
      <c r="F519" s="3" t="s">
        <v>478</v>
      </c>
      <c r="G519" s="3" t="s">
        <v>1729</v>
      </c>
      <c r="H519" s="2" t="s">
        <v>55</v>
      </c>
      <c r="I519" s="2" t="s">
        <v>1730</v>
      </c>
      <c r="J519" s="3" t="str">
        <f>HYPERLINK("https://www.boe.es/gazeta/dias/1809/03/10/pdfs/GGB-1809-11.pdf#page=13","Abrir facsímil")</f>
        <v>Abrir facsímil</v>
      </c>
      <c r="K519" s="3" t="s">
        <v>57</v>
      </c>
    </row>
    <row r="520" spans="1:11" ht="42" customHeight="1">
      <c r="A520" s="2" t="s">
        <v>1731</v>
      </c>
      <c r="B520" s="2" t="s">
        <v>1732</v>
      </c>
      <c r="C520" s="2" t="s">
        <v>79</v>
      </c>
      <c r="D520" s="2" t="s">
        <v>18</v>
      </c>
      <c r="E520" s="3" t="s">
        <v>102</v>
      </c>
      <c r="F520" s="3" t="s">
        <v>103</v>
      </c>
      <c r="G520" s="3" t="s">
        <v>104</v>
      </c>
      <c r="H520" s="2" t="s">
        <v>55</v>
      </c>
      <c r="I520" s="2" t="s">
        <v>1733</v>
      </c>
      <c r="J520" s="3" t="str">
        <f>HYPERLINK("https://www.boe.es/gazeta/dias/1809/09/28/pdfs/GGB-1809-252.pdf#page=8","Abrir facsímil")</f>
        <v>Abrir facsímil</v>
      </c>
      <c r="K520" s="3" t="s">
        <v>57</v>
      </c>
    </row>
    <row r="521" spans="1:11" ht="42" customHeight="1">
      <c r="A521" s="2" t="s">
        <v>1734</v>
      </c>
      <c r="B521" s="2" t="s">
        <v>1735</v>
      </c>
      <c r="C521" s="2" t="s">
        <v>25</v>
      </c>
      <c r="D521" s="2" t="s">
        <v>26</v>
      </c>
      <c r="E521" s="3" t="s">
        <v>1736</v>
      </c>
      <c r="F521" s="3" t="s">
        <v>1737</v>
      </c>
      <c r="G521" s="3" t="s">
        <v>1152</v>
      </c>
      <c r="H521" s="2" t="s">
        <v>55</v>
      </c>
      <c r="I521" s="2" t="s">
        <v>1738</v>
      </c>
      <c r="J521" s="3" t="str">
        <f>HYPERLINK("https://www.boe.es/gazeta/dias/1809/02/28/pdfs/GMD-1809-59.pdf#page=3","Abrir facsímil")</f>
        <v>Abrir facsímil</v>
      </c>
      <c r="K521" s="3" t="s">
        <v>57</v>
      </c>
    </row>
    <row r="522" spans="1:11" ht="42" customHeight="1">
      <c r="A522" s="2" t="s">
        <v>1739</v>
      </c>
      <c r="B522" s="2" t="s">
        <v>1739</v>
      </c>
      <c r="C522" s="2" t="s">
        <v>25</v>
      </c>
      <c r="D522" s="2" t="s">
        <v>26</v>
      </c>
      <c r="E522" s="3" t="s">
        <v>749</v>
      </c>
      <c r="F522" s="3" t="s">
        <v>1740</v>
      </c>
      <c r="G522" s="3" t="s">
        <v>1741</v>
      </c>
      <c r="H522" s="2" t="s">
        <v>55</v>
      </c>
      <c r="I522" s="2" t="s">
        <v>1742</v>
      </c>
      <c r="J522" s="3" t="str">
        <f>HYPERLINK("https://www.boe.es/gazeta/dias/1809/05/19/pdfs/GMD-1809-139.pdf#page=2","Abrir facsímil")</f>
        <v>Abrir facsímil</v>
      </c>
      <c r="K522" s="3" t="s">
        <v>57</v>
      </c>
    </row>
    <row r="523" spans="1:11" ht="42" customHeight="1">
      <c r="A523" s="2" t="s">
        <v>1739</v>
      </c>
      <c r="B523" s="2" t="s">
        <v>1739</v>
      </c>
      <c r="C523" s="2" t="s">
        <v>25</v>
      </c>
      <c r="D523" s="2" t="s">
        <v>26</v>
      </c>
      <c r="E523" s="3" t="s">
        <v>1282</v>
      </c>
      <c r="F523" s="3" t="s">
        <v>1743</v>
      </c>
      <c r="G523" s="3" t="s">
        <v>1516</v>
      </c>
      <c r="H523" s="2" t="s">
        <v>55</v>
      </c>
      <c r="I523" s="2" t="s">
        <v>1744</v>
      </c>
      <c r="J523" s="3" t="str">
        <f>HYPERLINK("https://www.boe.es/gazeta/dias/1809/06/26/pdfs/GMD-1809-177.pdf#page=3","Abrir facsímil")</f>
        <v>Abrir facsímil</v>
      </c>
      <c r="K523" s="3" t="s">
        <v>57</v>
      </c>
    </row>
    <row r="524" spans="1:11" ht="42" customHeight="1">
      <c r="A524" s="2" t="s">
        <v>1739</v>
      </c>
      <c r="B524" s="2" t="s">
        <v>1739</v>
      </c>
      <c r="C524" s="2" t="s">
        <v>25</v>
      </c>
      <c r="D524" s="2" t="s">
        <v>18</v>
      </c>
      <c r="E524" s="3" t="s">
        <v>1285</v>
      </c>
      <c r="F524" s="3" t="s">
        <v>1286</v>
      </c>
      <c r="G524" s="3" t="s">
        <v>234</v>
      </c>
      <c r="H524" s="2" t="s">
        <v>55</v>
      </c>
      <c r="I524" s="2" t="s">
        <v>1745</v>
      </c>
      <c r="J524" s="3" t="str">
        <f>HYPERLINK("https://www.boe.es/gazeta/dias/1809/07/01/pdfs/GMD-1809-182.pdf#page=2","Abrir facsímil")</f>
        <v>Abrir facsímil</v>
      </c>
      <c r="K524" s="3" t="s">
        <v>57</v>
      </c>
    </row>
    <row r="525" spans="1:11" ht="42" customHeight="1">
      <c r="A525" s="2" t="s">
        <v>1739</v>
      </c>
      <c r="B525" s="2" t="s">
        <v>1739</v>
      </c>
      <c r="C525" s="2" t="s">
        <v>25</v>
      </c>
      <c r="D525" s="2" t="s">
        <v>26</v>
      </c>
      <c r="E525" s="3" t="s">
        <v>237</v>
      </c>
      <c r="F525" s="3" t="s">
        <v>238</v>
      </c>
      <c r="G525" s="3" t="s">
        <v>29</v>
      </c>
      <c r="H525" s="2" t="s">
        <v>55</v>
      </c>
      <c r="I525" s="2" t="s">
        <v>1746</v>
      </c>
      <c r="J525" s="3" t="str">
        <f>HYPERLINK("https://www.boe.es/gazeta/dias/1809/07/30/pdfs/GMD-1809-212.pdf#page=3","Abrir facsímil")</f>
        <v>Abrir facsímil</v>
      </c>
      <c r="K525" s="3" t="s">
        <v>57</v>
      </c>
    </row>
    <row r="526" spans="1:11" ht="42" customHeight="1">
      <c r="A526" s="2" t="s">
        <v>1747</v>
      </c>
      <c r="B526" s="2" t="s">
        <v>1748</v>
      </c>
      <c r="C526" s="2" t="s">
        <v>17</v>
      </c>
      <c r="D526" s="2" t="s">
        <v>18</v>
      </c>
      <c r="E526" s="3" t="s">
        <v>33</v>
      </c>
      <c r="F526" s="3" t="s">
        <v>34</v>
      </c>
      <c r="G526" s="3" t="s">
        <v>595</v>
      </c>
      <c r="H526" s="2" t="s">
        <v>55</v>
      </c>
      <c r="I526" s="2" t="s">
        <v>1749</v>
      </c>
      <c r="J526" s="3" t="str">
        <f>HYPERLINK("https://www.boe.es/gazeta/dias/1809/12/19/pdfs/GGB-1809-602.pdf#page=7","Abrir facsímil")</f>
        <v>Abrir facsímil</v>
      </c>
      <c r="K526" s="3" t="s">
        <v>57</v>
      </c>
    </row>
    <row r="527" spans="1:11" ht="42" customHeight="1">
      <c r="A527" s="2" t="s">
        <v>1750</v>
      </c>
      <c r="B527" s="2" t="s">
        <v>1750</v>
      </c>
      <c r="C527" s="2" t="s">
        <v>17</v>
      </c>
      <c r="D527" s="2" t="s">
        <v>18</v>
      </c>
      <c r="E527" s="3" t="s">
        <v>81</v>
      </c>
      <c r="F527" s="3" t="s">
        <v>1251</v>
      </c>
      <c r="G527" s="3" t="s">
        <v>21</v>
      </c>
      <c r="H527" s="2" t="s">
        <v>55</v>
      </c>
      <c r="I527" s="2" t="s">
        <v>1751</v>
      </c>
      <c r="J527" s="3" t="str">
        <f>HYPERLINK("https://www.boe.es/gazeta/dias/1809/04/11/pdfs/GMD-1809-101.pdf#page=3","Abrir facsímil")</f>
        <v>Abrir facsímil</v>
      </c>
      <c r="K527" s="3" t="s">
        <v>57</v>
      </c>
    </row>
    <row r="528" spans="1:11" ht="42" customHeight="1">
      <c r="A528" s="2" t="s">
        <v>1750</v>
      </c>
      <c r="B528" s="2" t="s">
        <v>1750</v>
      </c>
      <c r="C528" s="2" t="s">
        <v>17</v>
      </c>
      <c r="D528" s="2" t="s">
        <v>18</v>
      </c>
      <c r="E528" s="3" t="s">
        <v>123</v>
      </c>
      <c r="F528" s="3" t="s">
        <v>310</v>
      </c>
      <c r="G528" s="3" t="s">
        <v>120</v>
      </c>
      <c r="H528" s="2" t="s">
        <v>55</v>
      </c>
      <c r="I528" s="2" t="s">
        <v>1752</v>
      </c>
      <c r="J528" s="3" t="str">
        <f>HYPERLINK("https://www.boe.es/gazeta/dias/1809/04/21/pdfs/GGB-1809-20.pdf#page=4","Abrir facsímil")</f>
        <v>Abrir facsímil</v>
      </c>
      <c r="K528" s="3" t="s">
        <v>57</v>
      </c>
    </row>
    <row r="529" spans="1:11" ht="42" customHeight="1">
      <c r="A529" s="2" t="s">
        <v>1750</v>
      </c>
      <c r="B529" s="2" t="s">
        <v>1750</v>
      </c>
      <c r="C529" s="2" t="s">
        <v>17</v>
      </c>
      <c r="D529" s="2" t="s">
        <v>18</v>
      </c>
      <c r="E529" s="3" t="s">
        <v>1753</v>
      </c>
      <c r="F529" s="3" t="s">
        <v>1754</v>
      </c>
      <c r="G529" s="3" t="s">
        <v>154</v>
      </c>
      <c r="H529" s="2" t="s">
        <v>55</v>
      </c>
      <c r="I529" s="2" t="s">
        <v>1755</v>
      </c>
      <c r="J529" s="3" t="str">
        <f>HYPERLINK("https://www.boe.es/gazeta/dias/1809/04/25/pdfs/GMD-1809-115.pdf#page=4","Abrir facsímil")</f>
        <v>Abrir facsímil</v>
      </c>
      <c r="K529" s="3" t="s">
        <v>57</v>
      </c>
    </row>
    <row r="530" spans="1:11" ht="42" customHeight="1">
      <c r="A530" s="2" t="s">
        <v>1750</v>
      </c>
      <c r="B530" s="2" t="s">
        <v>1750</v>
      </c>
      <c r="C530" s="2" t="s">
        <v>25</v>
      </c>
      <c r="D530" s="2" t="s">
        <v>18</v>
      </c>
      <c r="E530" s="3" t="s">
        <v>1053</v>
      </c>
      <c r="F530" s="3" t="s">
        <v>1054</v>
      </c>
      <c r="G530" s="3" t="s">
        <v>120</v>
      </c>
      <c r="H530" s="2" t="s">
        <v>55</v>
      </c>
      <c r="I530" s="2" t="s">
        <v>1756</v>
      </c>
      <c r="J530" s="3" t="str">
        <f>HYPERLINK("https://www.boe.es/gazeta/dias/1809/05/13/pdfs/GMD-1809-133.pdf#page=1","Abrir facsímil")</f>
        <v>Abrir facsímil</v>
      </c>
      <c r="K530" s="3" t="s">
        <v>57</v>
      </c>
    </row>
    <row r="531" spans="1:11" ht="42" customHeight="1">
      <c r="A531" s="2" t="s">
        <v>1750</v>
      </c>
      <c r="B531" s="2" t="s">
        <v>1750</v>
      </c>
      <c r="C531" s="2" t="s">
        <v>131</v>
      </c>
      <c r="D531" s="2" t="s">
        <v>26</v>
      </c>
      <c r="E531" s="3" t="s">
        <v>515</v>
      </c>
      <c r="F531" s="3" t="s">
        <v>516</v>
      </c>
      <c r="G531" s="3" t="s">
        <v>120</v>
      </c>
      <c r="H531" s="2" t="s">
        <v>55</v>
      </c>
      <c r="I531" s="2" t="s">
        <v>1757</v>
      </c>
      <c r="J531" s="3" t="str">
        <f>HYPERLINK("https://www.boe.es/gazeta/dias/1809/09/02/pdfs/GMD-1809-246.pdf#page=2","Abrir facsímil")</f>
        <v>Abrir facsímil</v>
      </c>
      <c r="K531" s="3" t="s">
        <v>57</v>
      </c>
    </row>
    <row r="532" spans="1:11" ht="42" customHeight="1">
      <c r="A532" s="2" t="s">
        <v>1750</v>
      </c>
      <c r="B532" s="2" t="s">
        <v>1750</v>
      </c>
      <c r="C532" s="2" t="s">
        <v>25</v>
      </c>
      <c r="D532" s="2" t="s">
        <v>26</v>
      </c>
      <c r="E532" s="3" t="s">
        <v>1758</v>
      </c>
      <c r="F532" s="3" t="s">
        <v>1759</v>
      </c>
      <c r="G532" s="3" t="s">
        <v>75</v>
      </c>
      <c r="H532" s="2" t="s">
        <v>55</v>
      </c>
      <c r="I532" s="2" t="s">
        <v>1760</v>
      </c>
      <c r="J532" s="3" t="str">
        <f>HYPERLINK("https://www.boe.es/gazeta/dias/1809/09/13/pdfs/GMD-1809-257.pdf#page=3","Abrir facsímil")</f>
        <v>Abrir facsímil</v>
      </c>
      <c r="K532" s="3" t="s">
        <v>57</v>
      </c>
    </row>
    <row r="533" spans="1:11" ht="42" customHeight="1">
      <c r="A533" s="2" t="s">
        <v>1750</v>
      </c>
      <c r="B533" s="2" t="s">
        <v>1750</v>
      </c>
      <c r="C533" s="2" t="s">
        <v>25</v>
      </c>
      <c r="D533" s="2" t="s">
        <v>26</v>
      </c>
      <c r="E533" s="3" t="s">
        <v>1761</v>
      </c>
      <c r="F533" s="3" t="s">
        <v>1762</v>
      </c>
      <c r="G533" s="3" t="s">
        <v>129</v>
      </c>
      <c r="H533" s="2" t="s">
        <v>55</v>
      </c>
      <c r="I533" s="2" t="s">
        <v>1763</v>
      </c>
      <c r="J533" s="3" t="str">
        <f>HYPERLINK("https://www.boe.es/gazeta/dias/1809/10/18/pdfs/GMD-1809-292.pdf#page=2","Abrir facsímil")</f>
        <v>Abrir facsímil</v>
      </c>
      <c r="K533" s="3" t="s">
        <v>57</v>
      </c>
    </row>
    <row r="534" spans="1:11" ht="42" customHeight="1">
      <c r="A534" s="2" t="s">
        <v>1764</v>
      </c>
      <c r="B534" s="2" t="s">
        <v>1764</v>
      </c>
      <c r="C534" s="2" t="s">
        <v>25</v>
      </c>
      <c r="D534" s="2" t="s">
        <v>26</v>
      </c>
      <c r="E534" s="3" t="s">
        <v>27</v>
      </c>
      <c r="F534" s="3" t="s">
        <v>254</v>
      </c>
      <c r="G534" s="3" t="s">
        <v>1765</v>
      </c>
      <c r="H534" s="2" t="s">
        <v>55</v>
      </c>
      <c r="I534" s="2" t="s">
        <v>1766</v>
      </c>
      <c r="J534" s="3" t="str">
        <f>HYPERLINK("https://www.boe.es/gazeta/dias/1809/05/12/pdfs/GGB-1809-26.pdf#page=6","Abrir facsímil")</f>
        <v>Abrir facsímil</v>
      </c>
      <c r="K534" s="3" t="s">
        <v>57</v>
      </c>
    </row>
    <row r="535" spans="1:11" ht="42" customHeight="1">
      <c r="A535" s="2" t="s">
        <v>1767</v>
      </c>
      <c r="B535" s="2" t="s">
        <v>1767</v>
      </c>
      <c r="C535" s="2" t="s">
        <v>131</v>
      </c>
      <c r="D535" s="2" t="s">
        <v>26</v>
      </c>
      <c r="E535" s="3" t="s">
        <v>263</v>
      </c>
      <c r="F535" s="3" t="s">
        <v>264</v>
      </c>
      <c r="G535" s="3" t="s">
        <v>914</v>
      </c>
      <c r="H535" s="2" t="s">
        <v>55</v>
      </c>
      <c r="I535" s="2" t="s">
        <v>1768</v>
      </c>
      <c r="J535" s="3" t="str">
        <f>HYPERLINK("https://www.boe.es/gazeta/dias/1809/11/21/pdfs/GGB-1809-482.pdf#page=1","Abrir facsímil")</f>
        <v>Abrir facsímil</v>
      </c>
      <c r="K535" s="3" t="s">
        <v>57</v>
      </c>
    </row>
    <row r="536" spans="1:11" ht="42" customHeight="1">
      <c r="A536" s="2" t="s">
        <v>1769</v>
      </c>
      <c r="B536" s="2" t="s">
        <v>1770</v>
      </c>
      <c r="C536" s="2" t="s">
        <v>25</v>
      </c>
      <c r="D536" s="2" t="s">
        <v>26</v>
      </c>
      <c r="E536" s="3" t="s">
        <v>143</v>
      </c>
      <c r="F536" s="3" t="s">
        <v>705</v>
      </c>
      <c r="G536" s="3" t="s">
        <v>260</v>
      </c>
      <c r="H536" s="2" t="s">
        <v>55</v>
      </c>
      <c r="I536" s="2" t="s">
        <v>1771</v>
      </c>
      <c r="J536" s="3" t="str">
        <f>HYPERLINK("https://www.boe.es/gazeta/dias/1809/11/16/pdfs/GGB-H-1809-462.pdf#page=7","Abrir facsímil")</f>
        <v>Abrir facsímil</v>
      </c>
      <c r="K536" s="3" t="s">
        <v>57</v>
      </c>
    </row>
    <row r="537" spans="1:11" ht="42" customHeight="1">
      <c r="A537" s="2" t="s">
        <v>1772</v>
      </c>
      <c r="B537" s="2" t="s">
        <v>1772</v>
      </c>
      <c r="C537" s="2" t="s">
        <v>25</v>
      </c>
      <c r="D537" s="2" t="s">
        <v>26</v>
      </c>
      <c r="E537" s="3" t="s">
        <v>1773</v>
      </c>
      <c r="F537" s="3" t="s">
        <v>1774</v>
      </c>
      <c r="G537" s="3" t="s">
        <v>525</v>
      </c>
      <c r="H537" s="2" t="s">
        <v>55</v>
      </c>
      <c r="I537" s="2" t="s">
        <v>1775</v>
      </c>
      <c r="J537" s="3" t="str">
        <f>HYPERLINK("https://www.boe.es/gazeta/dias/1809/12/04/pdfs/GMD-1809-339.pdf#page=2","Abrir facsímil")</f>
        <v>Abrir facsímil</v>
      </c>
      <c r="K537" s="3" t="s">
        <v>57</v>
      </c>
    </row>
    <row r="538" spans="1:11" ht="42" customHeight="1">
      <c r="A538" s="2" t="s">
        <v>1776</v>
      </c>
      <c r="B538" s="2" t="s">
        <v>1776</v>
      </c>
      <c r="C538" s="2" t="s">
        <v>25</v>
      </c>
      <c r="D538" s="2" t="s">
        <v>26</v>
      </c>
      <c r="E538" s="3" t="s">
        <v>1206</v>
      </c>
      <c r="F538" s="3" t="s">
        <v>1612</v>
      </c>
      <c r="G538" s="3" t="s">
        <v>426</v>
      </c>
      <c r="H538" s="2" t="s">
        <v>55</v>
      </c>
      <c r="I538" s="2" t="s">
        <v>1777</v>
      </c>
      <c r="J538" s="3" t="str">
        <f>HYPERLINK("https://www.boe.es/gazeta/dias/1809/09/23/pdfs/GMD-1809-267.pdf#page=1","Abrir facsímil")</f>
        <v>Abrir facsímil</v>
      </c>
      <c r="K538" s="3" t="s">
        <v>57</v>
      </c>
    </row>
    <row r="539" spans="1:11" ht="42" customHeight="1">
      <c r="A539" s="2" t="s">
        <v>1778</v>
      </c>
      <c r="B539" s="2" t="s">
        <v>1778</v>
      </c>
      <c r="C539" s="2" t="s">
        <v>25</v>
      </c>
      <c r="D539" s="2" t="s">
        <v>18</v>
      </c>
      <c r="E539" s="3" t="s">
        <v>1779</v>
      </c>
      <c r="F539" s="3" t="s">
        <v>1780</v>
      </c>
      <c r="G539" s="3" t="s">
        <v>29</v>
      </c>
      <c r="H539" s="2" t="s">
        <v>55</v>
      </c>
      <c r="I539" s="2" t="s">
        <v>1781</v>
      </c>
      <c r="J539" s="3" t="str">
        <f>HYPERLINK("https://www.boe.es/gazeta/dias/1809/08/22/pdfs/GGB-1809-92.pdf#page=3","Abrir facsímil")</f>
        <v>Abrir facsímil</v>
      </c>
      <c r="K539" s="3" t="s">
        <v>57</v>
      </c>
    </row>
    <row r="540" spans="1:11" ht="42" customHeight="1">
      <c r="A540" s="2" t="s">
        <v>1782</v>
      </c>
      <c r="B540" s="2" t="s">
        <v>1782</v>
      </c>
      <c r="C540" s="2" t="s">
        <v>25</v>
      </c>
      <c r="D540" s="2" t="s">
        <v>18</v>
      </c>
      <c r="E540" s="3" t="s">
        <v>258</v>
      </c>
      <c r="F540" s="3" t="s">
        <v>259</v>
      </c>
      <c r="G540" s="3" t="s">
        <v>260</v>
      </c>
      <c r="H540" s="2" t="s">
        <v>55</v>
      </c>
      <c r="I540" s="2" t="s">
        <v>1783</v>
      </c>
      <c r="J540" s="3" t="str">
        <f>HYPERLINK("https://www.boe.es/gazeta/dias/1809/03/17/pdfs/GMD-1809-76.pdf#page=3","Abrir facsímil")</f>
        <v>Abrir facsímil</v>
      </c>
      <c r="K540" s="3" t="s">
        <v>57</v>
      </c>
    </row>
    <row r="541" spans="1:11" ht="42" customHeight="1">
      <c r="A541" s="2" t="s">
        <v>1784</v>
      </c>
      <c r="B541" s="2" t="s">
        <v>1785</v>
      </c>
      <c r="C541" s="2" t="s">
        <v>25</v>
      </c>
      <c r="D541" s="2" t="s">
        <v>18</v>
      </c>
      <c r="E541" s="3" t="s">
        <v>1786</v>
      </c>
      <c r="F541" s="3" t="s">
        <v>1787</v>
      </c>
      <c r="G541" s="3" t="s">
        <v>1788</v>
      </c>
      <c r="H541" s="2" t="s">
        <v>55</v>
      </c>
      <c r="I541" s="2" t="s">
        <v>1789</v>
      </c>
      <c r="J541" s="3" t="str">
        <f>HYPERLINK("https://www.boe.es/gazeta/dias/1809/08/24/pdfs/GMD-1809-237.pdf#page=1","Abrir facsímil")</f>
        <v>Abrir facsímil</v>
      </c>
      <c r="K541" s="3" t="s">
        <v>57</v>
      </c>
    </row>
    <row r="542" spans="1:11" ht="42" customHeight="1">
      <c r="A542" s="2" t="s">
        <v>1790</v>
      </c>
      <c r="B542" s="2" t="s">
        <v>1791</v>
      </c>
      <c r="C542" s="2" t="s">
        <v>17</v>
      </c>
      <c r="D542" s="2" t="s">
        <v>18</v>
      </c>
      <c r="E542" s="3" t="s">
        <v>536</v>
      </c>
      <c r="F542" s="3" t="s">
        <v>537</v>
      </c>
      <c r="G542" s="3" t="s">
        <v>29</v>
      </c>
      <c r="H542" s="2" t="s">
        <v>55</v>
      </c>
      <c r="I542" s="2" t="s">
        <v>1792</v>
      </c>
      <c r="J542" s="3" t="str">
        <f>HYPERLINK("https://www.boe.es/gazeta/dias/1809/09/03/pdfs/GMD-1809-247.pdf#page=3","Abrir facsímil")</f>
        <v>Abrir facsímil</v>
      </c>
      <c r="K542" s="3" t="s">
        <v>57</v>
      </c>
    </row>
    <row r="543" spans="1:11" ht="42" customHeight="1">
      <c r="A543" s="2" t="s">
        <v>1793</v>
      </c>
      <c r="B543" s="2" t="s">
        <v>1793</v>
      </c>
      <c r="C543" s="2" t="s">
        <v>25</v>
      </c>
      <c r="D543" s="2" t="s">
        <v>107</v>
      </c>
      <c r="E543" s="3" t="s">
        <v>158</v>
      </c>
      <c r="F543" s="3" t="s">
        <v>1794</v>
      </c>
      <c r="G543" s="3" t="s">
        <v>125</v>
      </c>
      <c r="H543" s="2" t="s">
        <v>55</v>
      </c>
      <c r="I543" s="2" t="s">
        <v>1795</v>
      </c>
      <c r="J543" s="3" t="str">
        <f>HYPERLINK("https://www.boe.es/gazeta/dias/1809/02/10/pdfs/GGB-G-1809-7.pdf#page=3","Abrir facsímil")</f>
        <v>Abrir facsímil</v>
      </c>
      <c r="K543" s="3" t="s">
        <v>57</v>
      </c>
    </row>
    <row r="544" spans="1:11" ht="42" customHeight="1">
      <c r="A544" s="2" t="s">
        <v>1796</v>
      </c>
      <c r="B544" s="2" t="s">
        <v>1797</v>
      </c>
      <c r="C544" s="2" t="s">
        <v>25</v>
      </c>
      <c r="D544" s="2" t="s">
        <v>26</v>
      </c>
      <c r="E544" s="3" t="s">
        <v>48</v>
      </c>
      <c r="F544" s="3" t="s">
        <v>1718</v>
      </c>
      <c r="G544" s="3" t="s">
        <v>1798</v>
      </c>
      <c r="H544" s="2" t="s">
        <v>55</v>
      </c>
      <c r="I544" s="2" t="s">
        <v>1799</v>
      </c>
      <c r="J544" s="3" t="str">
        <f>HYPERLINK("https://www.boe.es/gazeta/dias/1809/10/03/pdfs/GGB-1809-272.pdf#page=1","Abrir facsímil")</f>
        <v>Abrir facsímil</v>
      </c>
      <c r="K544" s="3" t="s">
        <v>57</v>
      </c>
    </row>
    <row r="545" spans="1:11" ht="42" customHeight="1">
      <c r="A545" s="2" t="s">
        <v>1800</v>
      </c>
      <c r="B545" s="2" t="s">
        <v>1800</v>
      </c>
      <c r="C545" s="2" t="s">
        <v>25</v>
      </c>
      <c r="D545" s="2" t="s">
        <v>18</v>
      </c>
      <c r="E545" s="3" t="s">
        <v>1282</v>
      </c>
      <c r="F545" s="3" t="s">
        <v>1743</v>
      </c>
      <c r="G545" s="3" t="s">
        <v>1801</v>
      </c>
      <c r="H545" s="2" t="s">
        <v>55</v>
      </c>
      <c r="I545" s="2" t="s">
        <v>1802</v>
      </c>
      <c r="J545" s="3" t="str">
        <f>HYPERLINK("https://www.boe.es/gazeta/dias/1809/06/26/pdfs/GMD-1809-177.pdf#page=4","Abrir facsímil")</f>
        <v>Abrir facsímil</v>
      </c>
      <c r="K545" s="3" t="s">
        <v>57</v>
      </c>
    </row>
    <row r="546" spans="1:11" ht="42" customHeight="1">
      <c r="A546" s="2" t="s">
        <v>1800</v>
      </c>
      <c r="B546" s="2" t="s">
        <v>1800</v>
      </c>
      <c r="C546" s="2" t="s">
        <v>25</v>
      </c>
      <c r="D546" s="2" t="s">
        <v>26</v>
      </c>
      <c r="E546" s="3" t="s">
        <v>1803</v>
      </c>
      <c r="F546" s="3" t="s">
        <v>1804</v>
      </c>
      <c r="G546" s="3" t="s">
        <v>110</v>
      </c>
      <c r="H546" s="2" t="s">
        <v>55</v>
      </c>
      <c r="I546" s="2" t="s">
        <v>1805</v>
      </c>
      <c r="J546" s="3" t="str">
        <f>HYPERLINK("https://www.boe.es/gazeta/dias/1809/10/12/pdfs/GMD-1809-286.pdf#page=2","Abrir facsímil")</f>
        <v>Abrir facsímil</v>
      </c>
      <c r="K546" s="3" t="s">
        <v>57</v>
      </c>
    </row>
    <row r="547" spans="1:11" ht="42" customHeight="1">
      <c r="A547" s="2" t="s">
        <v>1806</v>
      </c>
      <c r="B547" s="2" t="s">
        <v>1806</v>
      </c>
      <c r="C547" s="2" t="s">
        <v>25</v>
      </c>
      <c r="D547" s="2" t="s">
        <v>18</v>
      </c>
      <c r="E547" s="3" t="s">
        <v>1807</v>
      </c>
      <c r="F547" s="3" t="s">
        <v>1808</v>
      </c>
      <c r="G547" s="3" t="s">
        <v>141</v>
      </c>
      <c r="H547" s="2" t="s">
        <v>55</v>
      </c>
      <c r="I547" s="2" t="s">
        <v>1809</v>
      </c>
      <c r="J547" s="3" t="str">
        <f>HYPERLINK("https://www.boe.es/gazeta/dias/1809/01/22/pdfs/GMD-1809-22.pdf#page=3","Abrir facsímil")</f>
        <v>Abrir facsímil</v>
      </c>
      <c r="K547" s="3" t="s">
        <v>57</v>
      </c>
    </row>
    <row r="548" spans="1:11" ht="42" customHeight="1">
      <c r="A548" s="2" t="s">
        <v>1810</v>
      </c>
      <c r="B548" s="2" t="s">
        <v>1811</v>
      </c>
      <c r="C548" s="2" t="s">
        <v>131</v>
      </c>
      <c r="D548" s="2" t="s">
        <v>26</v>
      </c>
      <c r="E548" s="3" t="s">
        <v>515</v>
      </c>
      <c r="F548" s="3" t="s">
        <v>516</v>
      </c>
      <c r="G548" s="3" t="s">
        <v>1380</v>
      </c>
      <c r="H548" s="2" t="s">
        <v>55</v>
      </c>
      <c r="I548" s="2" t="s">
        <v>1812</v>
      </c>
      <c r="J548" s="3" t="str">
        <f>HYPERLINK("https://www.boe.es/gazeta/dias/1809/09/02/pdfs/GMD-1809-246.pdf#page=3","Abrir facsímil")</f>
        <v>Abrir facsímil</v>
      </c>
      <c r="K548" s="3" t="s">
        <v>57</v>
      </c>
    </row>
    <row r="549" spans="1:11" ht="42" customHeight="1">
      <c r="A549" s="2" t="s">
        <v>1813</v>
      </c>
      <c r="B549" s="2" t="s">
        <v>1814</v>
      </c>
      <c r="C549" s="2" t="s">
        <v>131</v>
      </c>
      <c r="D549" s="2" t="s">
        <v>26</v>
      </c>
      <c r="E549" s="3" t="s">
        <v>515</v>
      </c>
      <c r="F549" s="3" t="s">
        <v>516</v>
      </c>
      <c r="G549" s="3" t="s">
        <v>1380</v>
      </c>
      <c r="H549" s="2" t="s">
        <v>55</v>
      </c>
      <c r="I549" s="2" t="s">
        <v>1815</v>
      </c>
      <c r="J549" s="3" t="str">
        <f>HYPERLINK("https://www.boe.es/gazeta/dias/1809/09/02/pdfs/GMD-1809-246.pdf#page=3","Abrir facsímil")</f>
        <v>Abrir facsímil</v>
      </c>
      <c r="K549" s="3" t="s">
        <v>57</v>
      </c>
    </row>
    <row r="550" spans="1:11" ht="42" customHeight="1">
      <c r="A550" s="2" t="s">
        <v>1816</v>
      </c>
      <c r="B550" s="2" t="s">
        <v>1816</v>
      </c>
      <c r="C550" s="2" t="s">
        <v>25</v>
      </c>
      <c r="D550" s="2" t="s">
        <v>18</v>
      </c>
      <c r="E550" s="3" t="s">
        <v>424</v>
      </c>
      <c r="F550" s="3" t="s">
        <v>425</v>
      </c>
      <c r="G550" s="3" t="s">
        <v>75</v>
      </c>
      <c r="H550" s="2" t="s">
        <v>55</v>
      </c>
      <c r="I550" s="2" t="s">
        <v>1817</v>
      </c>
      <c r="J550" s="3" t="str">
        <f>HYPERLINK("https://www.boe.es/gazeta/dias/1809/05/10/pdfs/GMD-1809-130.pdf#page=2","Abrir facsímil")</f>
        <v>Abrir facsímil</v>
      </c>
      <c r="K550" s="3" t="s">
        <v>57</v>
      </c>
    </row>
    <row r="551" spans="1:11" ht="42" customHeight="1">
      <c r="A551" s="2" t="s">
        <v>1818</v>
      </c>
      <c r="B551" s="2" t="s">
        <v>1818</v>
      </c>
      <c r="C551" s="2" t="s">
        <v>25</v>
      </c>
      <c r="D551" s="2" t="s">
        <v>18</v>
      </c>
      <c r="E551" s="3" t="s">
        <v>211</v>
      </c>
      <c r="F551" s="3" t="s">
        <v>212</v>
      </c>
      <c r="G551" s="3" t="s">
        <v>467</v>
      </c>
      <c r="H551" s="2" t="s">
        <v>55</v>
      </c>
      <c r="I551" s="2" t="s">
        <v>1819</v>
      </c>
      <c r="J551" s="3" t="str">
        <f>HYPERLINK("https://www.boe.es/gazeta/dias/1809/10/27/pdfs/GMD-1809-301.pdf#page=2","Abrir facsímil")</f>
        <v>Abrir facsímil</v>
      </c>
      <c r="K551" s="3" t="s">
        <v>57</v>
      </c>
    </row>
    <row r="552" spans="1:11" ht="42" customHeight="1">
      <c r="A552" s="2" t="s">
        <v>1818</v>
      </c>
      <c r="B552" s="2" t="s">
        <v>1818</v>
      </c>
      <c r="C552" s="2" t="s">
        <v>25</v>
      </c>
      <c r="D552" s="2" t="s">
        <v>72</v>
      </c>
      <c r="E552" s="3" t="s">
        <v>216</v>
      </c>
      <c r="F552" s="3" t="s">
        <v>217</v>
      </c>
      <c r="G552" s="3" t="s">
        <v>75</v>
      </c>
      <c r="H552" s="2" t="s">
        <v>55</v>
      </c>
      <c r="I552" s="2" t="s">
        <v>1820</v>
      </c>
      <c r="J552" s="3" t="str">
        <f>HYPERLINK("https://www.boe.es/gazeta/dias/1809/12/05/pdfs/GGB-H-1809-542.pdf#page=2","Abrir facsímil")</f>
        <v>Abrir facsímil</v>
      </c>
      <c r="K552" s="3" t="s">
        <v>57</v>
      </c>
    </row>
    <row r="553" spans="1:11" ht="42" customHeight="1">
      <c r="A553" s="2" t="s">
        <v>1821</v>
      </c>
      <c r="B553" s="2" t="s">
        <v>1821</v>
      </c>
      <c r="C553" s="2" t="s">
        <v>25</v>
      </c>
      <c r="D553" s="2" t="s">
        <v>107</v>
      </c>
      <c r="E553" s="3" t="s">
        <v>1822</v>
      </c>
      <c r="F553" s="3" t="s">
        <v>1823</v>
      </c>
      <c r="G553" s="3" t="s">
        <v>154</v>
      </c>
      <c r="H553" s="2" t="s">
        <v>55</v>
      </c>
      <c r="I553" s="2" t="s">
        <v>1824</v>
      </c>
      <c r="J553" s="3" t="str">
        <f>HYPERLINK("https://www.boe.es/gazeta/dias/1809/10/11/pdfs/GMD-1809-285.pdf#page=2","Abrir facsímil")</f>
        <v>Abrir facsímil</v>
      </c>
      <c r="K553" s="3" t="s">
        <v>57</v>
      </c>
    </row>
    <row r="554" spans="1:11" ht="42" customHeight="1">
      <c r="A554" s="2" t="s">
        <v>1825</v>
      </c>
      <c r="B554" s="2" t="s">
        <v>1825</v>
      </c>
      <c r="C554" s="2" t="s">
        <v>25</v>
      </c>
      <c r="D554" s="2" t="s">
        <v>18</v>
      </c>
      <c r="E554" s="3" t="s">
        <v>503</v>
      </c>
      <c r="F554" s="3" t="s">
        <v>504</v>
      </c>
      <c r="G554" s="3" t="s">
        <v>62</v>
      </c>
      <c r="H554" s="2" t="s">
        <v>55</v>
      </c>
      <c r="I554" s="2" t="s">
        <v>1826</v>
      </c>
      <c r="J554" s="3" t="str">
        <f>HYPERLINK("https://www.boe.es/gazeta/dias/1809/09/01/pdfs/GMD-1809-245.pdf#page=1","Abrir facsímil")</f>
        <v>Abrir facsímil</v>
      </c>
      <c r="K554" s="3" t="s">
        <v>57</v>
      </c>
    </row>
    <row r="555" spans="1:11" ht="42" customHeight="1">
      <c r="A555" s="2" t="s">
        <v>1827</v>
      </c>
      <c r="B555" s="2" t="s">
        <v>1828</v>
      </c>
      <c r="C555" s="2" t="s">
        <v>25</v>
      </c>
      <c r="D555" s="2" t="s">
        <v>40</v>
      </c>
      <c r="E555" s="3" t="s">
        <v>1829</v>
      </c>
      <c r="F555" s="3" t="s">
        <v>1830</v>
      </c>
      <c r="G555" s="3" t="s">
        <v>1831</v>
      </c>
      <c r="H555" s="2" t="s">
        <v>55</v>
      </c>
      <c r="I555" s="2" t="s">
        <v>1832</v>
      </c>
      <c r="J555" s="3" t="str">
        <f>HYPERLINK("https://www.boe.es/gazeta/dias/1809/09/17/pdfs/GMD-1809-261.pdf#page=1","Abrir facsímil")</f>
        <v>Abrir facsímil</v>
      </c>
      <c r="K555" s="3" t="s">
        <v>57</v>
      </c>
    </row>
    <row r="556" spans="1:11" ht="42" customHeight="1">
      <c r="A556" s="2" t="s">
        <v>1833</v>
      </c>
      <c r="B556" s="2" t="s">
        <v>1834</v>
      </c>
      <c r="C556" s="2" t="s">
        <v>131</v>
      </c>
      <c r="D556" s="2" t="s">
        <v>26</v>
      </c>
      <c r="E556" s="3" t="s">
        <v>515</v>
      </c>
      <c r="F556" s="3" t="s">
        <v>516</v>
      </c>
      <c r="G556" s="3" t="s">
        <v>1380</v>
      </c>
      <c r="H556" s="2" t="s">
        <v>55</v>
      </c>
      <c r="I556" s="2" t="s">
        <v>1835</v>
      </c>
      <c r="J556" s="3" t="str">
        <f>HYPERLINK("https://www.boe.es/gazeta/dias/1809/09/02/pdfs/GMD-1809-246.pdf#page=3","Abrir facsímil")</f>
        <v>Abrir facsímil</v>
      </c>
      <c r="K556" s="3" t="s">
        <v>57</v>
      </c>
    </row>
    <row r="557" spans="1:11" ht="42" customHeight="1">
      <c r="A557" s="2" t="s">
        <v>1836</v>
      </c>
      <c r="B557" s="2" t="s">
        <v>1836</v>
      </c>
      <c r="C557" s="2" t="s">
        <v>25</v>
      </c>
      <c r="D557" s="2" t="s">
        <v>18</v>
      </c>
      <c r="E557" s="3" t="s">
        <v>139</v>
      </c>
      <c r="F557" s="3" t="s">
        <v>140</v>
      </c>
      <c r="G557" s="3" t="s">
        <v>141</v>
      </c>
      <c r="H557" s="2" t="s">
        <v>55</v>
      </c>
      <c r="I557" s="2" t="s">
        <v>1837</v>
      </c>
      <c r="J557" s="3" t="str">
        <f>HYPERLINK("https://www.boe.es/gazeta/dias/1809/05/06/pdfs/GMD-1809-126.pdf#page=3","Abrir facsímil")</f>
        <v>Abrir facsímil</v>
      </c>
      <c r="K557" s="3" t="s">
        <v>57</v>
      </c>
    </row>
    <row r="558" spans="1:11" ht="42" customHeight="1">
      <c r="A558" s="2" t="s">
        <v>1838</v>
      </c>
      <c r="B558" s="2" t="s">
        <v>1839</v>
      </c>
      <c r="C558" s="2" t="s">
        <v>25</v>
      </c>
      <c r="D558" s="2" t="s">
        <v>18</v>
      </c>
      <c r="E558" s="3" t="s">
        <v>1514</v>
      </c>
      <c r="F558" s="3" t="s">
        <v>1840</v>
      </c>
      <c r="G558" s="3" t="s">
        <v>94</v>
      </c>
      <c r="H558" s="2" t="s">
        <v>55</v>
      </c>
      <c r="I558" s="2" t="s">
        <v>1841</v>
      </c>
      <c r="J558" s="3" t="str">
        <f>HYPERLINK("https://www.boe.es/gazeta/dias/1809/04/17/pdfs/GGB-1809-19.pdf#page=5","Abrir facsímil")</f>
        <v>Abrir facsímil</v>
      </c>
      <c r="K558" s="3" t="s">
        <v>57</v>
      </c>
    </row>
    <row r="559" spans="1:11" ht="42" customHeight="1">
      <c r="A559" s="2" t="s">
        <v>1842</v>
      </c>
      <c r="B559" s="2" t="s">
        <v>1843</v>
      </c>
      <c r="C559" s="2" t="s">
        <v>17</v>
      </c>
      <c r="D559" s="2" t="s">
        <v>72</v>
      </c>
      <c r="E559" s="3" t="s">
        <v>695</v>
      </c>
      <c r="F559" s="3" t="s">
        <v>1658</v>
      </c>
      <c r="G559" s="3" t="s">
        <v>1844</v>
      </c>
      <c r="H559" s="2" t="s">
        <v>55</v>
      </c>
      <c r="I559" s="2" t="s">
        <v>1845</v>
      </c>
      <c r="J559" s="3" t="str">
        <f>HYPERLINK("https://www.boe.es/gazeta/dias/1809/10/24/pdfs/GGB-H-1809-362.pdf#page=7","Abrir facsímil")</f>
        <v>Abrir facsímil</v>
      </c>
      <c r="K559" s="3" t="s">
        <v>57</v>
      </c>
    </row>
    <row r="560" spans="1:11" ht="42" customHeight="1">
      <c r="A560" s="2" t="s">
        <v>1846</v>
      </c>
      <c r="B560" s="2" t="s">
        <v>1846</v>
      </c>
      <c r="C560" s="2" t="s">
        <v>25</v>
      </c>
      <c r="D560" s="2" t="s">
        <v>18</v>
      </c>
      <c r="E560" s="3" t="s">
        <v>387</v>
      </c>
      <c r="F560" s="3" t="s">
        <v>1847</v>
      </c>
      <c r="G560" s="3" t="s">
        <v>265</v>
      </c>
      <c r="H560" s="2" t="s">
        <v>55</v>
      </c>
      <c r="I560" s="2" t="s">
        <v>1848</v>
      </c>
      <c r="J560" s="3" t="str">
        <f>HYPERLINK("https://www.boe.es/gazeta/dias/1809/09/26/pdfs/GGB-1809-242.pdf#page=8","Abrir facsímil")</f>
        <v>Abrir facsímil</v>
      </c>
      <c r="K560" s="3" t="s">
        <v>57</v>
      </c>
    </row>
    <row r="561" spans="1:11" ht="42" customHeight="1">
      <c r="A561" s="2" t="s">
        <v>1849</v>
      </c>
      <c r="B561" s="2" t="s">
        <v>1850</v>
      </c>
      <c r="C561" s="2" t="s">
        <v>25</v>
      </c>
      <c r="D561" s="2" t="s">
        <v>72</v>
      </c>
      <c r="E561" s="3" t="s">
        <v>147</v>
      </c>
      <c r="F561" s="3" t="s">
        <v>562</v>
      </c>
      <c r="G561" s="3" t="s">
        <v>1851</v>
      </c>
      <c r="H561" s="2" t="s">
        <v>55</v>
      </c>
      <c r="I561" s="2" t="s">
        <v>1852</v>
      </c>
      <c r="J561" s="3" t="str">
        <f>HYPERLINK("https://www.boe.es/gazeta/dias/1809/10/07/pdfs/GGB-H-1809-292.pdf#page=1","Abrir facsímil")</f>
        <v>Abrir facsímil</v>
      </c>
      <c r="K561" s="3" t="s">
        <v>57</v>
      </c>
    </row>
    <row r="562" spans="1:11" ht="42" customHeight="1">
      <c r="A562" s="2" t="s">
        <v>1853</v>
      </c>
      <c r="B562" s="2" t="s">
        <v>1853</v>
      </c>
      <c r="C562" s="2" t="s">
        <v>25</v>
      </c>
      <c r="D562" s="2" t="s">
        <v>26</v>
      </c>
      <c r="E562" s="3" t="s">
        <v>1514</v>
      </c>
      <c r="F562" s="3" t="s">
        <v>1515</v>
      </c>
      <c r="G562" s="3" t="s">
        <v>1516</v>
      </c>
      <c r="H562" s="2" t="s">
        <v>55</v>
      </c>
      <c r="I562" s="2" t="s">
        <v>1854</v>
      </c>
      <c r="J562" s="3" t="str">
        <f>HYPERLINK("https://www.boe.es/gazeta/dias/1809/04/17/pdfs/GGB-G-1809-19.pdf#page=4","Abrir facsímil")</f>
        <v>Abrir facsímil</v>
      </c>
      <c r="K562" s="3" t="s">
        <v>57</v>
      </c>
    </row>
    <row r="563" spans="1:11" ht="42" customHeight="1">
      <c r="A563" s="2" t="s">
        <v>1855</v>
      </c>
      <c r="B563" s="2" t="s">
        <v>1855</v>
      </c>
      <c r="C563" s="2" t="s">
        <v>25</v>
      </c>
      <c r="D563" s="2" t="s">
        <v>26</v>
      </c>
      <c r="E563" s="3" t="s">
        <v>1856</v>
      </c>
      <c r="F563" s="3" t="s">
        <v>1857</v>
      </c>
      <c r="G563" s="3" t="s">
        <v>1858</v>
      </c>
      <c r="H563" s="2" t="s">
        <v>55</v>
      </c>
      <c r="I563" s="2" t="s">
        <v>1859</v>
      </c>
      <c r="J563" s="3" t="str">
        <f>HYPERLINK("https://www.boe.es/gazeta/dias/1809/07/12/pdfs/GMD-1809-193.pdf#page=3","Abrir facsímil")</f>
        <v>Abrir facsímil</v>
      </c>
      <c r="K563" s="3" t="s">
        <v>57</v>
      </c>
    </row>
    <row r="564" spans="1:11" ht="42" customHeight="1">
      <c r="A564" s="2" t="s">
        <v>1860</v>
      </c>
      <c r="B564" s="2" t="s">
        <v>1860</v>
      </c>
      <c r="C564" s="2" t="s">
        <v>25</v>
      </c>
      <c r="D564" s="2" t="s">
        <v>18</v>
      </c>
      <c r="E564" s="3" t="s">
        <v>370</v>
      </c>
      <c r="F564" s="3" t="s">
        <v>371</v>
      </c>
      <c r="G564" s="3" t="s">
        <v>239</v>
      </c>
      <c r="H564" s="2" t="s">
        <v>55</v>
      </c>
      <c r="I564" s="2" t="s">
        <v>1861</v>
      </c>
      <c r="J564" s="3" t="str">
        <f>HYPERLINK("https://www.boe.es/gazeta/dias/1809/08/20/pdfs/GMD-1809-233.pdf#page=3","Abrir facsímil")</f>
        <v>Abrir facsímil</v>
      </c>
      <c r="K564" s="3" t="s">
        <v>57</v>
      </c>
    </row>
    <row r="565" spans="1:11" ht="42" customHeight="1">
      <c r="A565" s="2" t="s">
        <v>1862</v>
      </c>
      <c r="B565" s="2" t="s">
        <v>1862</v>
      </c>
      <c r="C565" s="2" t="s">
        <v>25</v>
      </c>
      <c r="D565" s="2" t="s">
        <v>26</v>
      </c>
      <c r="E565" s="3" t="s">
        <v>761</v>
      </c>
      <c r="F565" s="3" t="s">
        <v>1863</v>
      </c>
      <c r="G565" s="3" t="s">
        <v>62</v>
      </c>
      <c r="H565" s="2" t="s">
        <v>55</v>
      </c>
      <c r="I565" s="2" t="s">
        <v>1864</v>
      </c>
      <c r="J565" s="3" t="str">
        <f>HYPERLINK("https://www.boe.es/gazeta/dias/1809/06/02/pdfs/GGB-1809-33E.pdf#page=1","Abrir facsímil")</f>
        <v>Abrir facsímil</v>
      </c>
      <c r="K565" s="3" t="s">
        <v>57</v>
      </c>
    </row>
    <row r="566" spans="1:11" ht="42" customHeight="1">
      <c r="A566" s="2" t="s">
        <v>1862</v>
      </c>
      <c r="B566" s="2" t="s">
        <v>1862</v>
      </c>
      <c r="C566" s="2" t="s">
        <v>25</v>
      </c>
      <c r="D566" s="2" t="s">
        <v>26</v>
      </c>
      <c r="E566" s="3" t="s">
        <v>1865</v>
      </c>
      <c r="F566" s="3" t="s">
        <v>1866</v>
      </c>
      <c r="G566" s="3" t="s">
        <v>439</v>
      </c>
      <c r="H566" s="2" t="s">
        <v>55</v>
      </c>
      <c r="I566" s="2" t="s">
        <v>1867</v>
      </c>
      <c r="J566" s="3" t="str">
        <f>HYPERLINK("https://www.boe.es/gazeta/dias/1809/08/08/pdfs/GGB-1809-32.pdf#page=5","Abrir facsímil")</f>
        <v>Abrir facsímil</v>
      </c>
      <c r="K566" s="3" t="s">
        <v>57</v>
      </c>
    </row>
    <row r="567" spans="1:11" ht="42" customHeight="1">
      <c r="A567" s="2" t="s">
        <v>1862</v>
      </c>
      <c r="B567" s="2" t="s">
        <v>1862</v>
      </c>
      <c r="C567" s="2" t="s">
        <v>25</v>
      </c>
      <c r="D567" s="2" t="s">
        <v>26</v>
      </c>
      <c r="E567" s="3" t="s">
        <v>327</v>
      </c>
      <c r="F567" s="3" t="s">
        <v>328</v>
      </c>
      <c r="G567" s="3" t="s">
        <v>1868</v>
      </c>
      <c r="H567" s="2" t="s">
        <v>55</v>
      </c>
      <c r="I567" s="2" t="s">
        <v>1869</v>
      </c>
      <c r="J567" s="3" t="str">
        <f>HYPERLINK("https://www.boe.es/gazeta/dias/1809/09/14/pdfs/GGB-1809-192.pdf#page=6","Abrir facsímil")</f>
        <v>Abrir facsímil</v>
      </c>
      <c r="K567" s="3" t="s">
        <v>57</v>
      </c>
    </row>
    <row r="568" spans="1:11" ht="42" customHeight="1">
      <c r="A568" s="2" t="s">
        <v>1862</v>
      </c>
      <c r="B568" s="2" t="s">
        <v>1862</v>
      </c>
      <c r="C568" s="2" t="s">
        <v>25</v>
      </c>
      <c r="D568" s="2" t="s">
        <v>18</v>
      </c>
      <c r="E568" s="3" t="s">
        <v>48</v>
      </c>
      <c r="F568" s="3" t="s">
        <v>1718</v>
      </c>
      <c r="G568" s="3" t="s">
        <v>1798</v>
      </c>
      <c r="H568" s="2" t="s">
        <v>55</v>
      </c>
      <c r="I568" s="2" t="s">
        <v>1870</v>
      </c>
      <c r="J568" s="3" t="str">
        <f>HYPERLINK("https://www.boe.es/gazeta/dias/1809/10/03/pdfs/GGB-1809-272.pdf#page=1","Abrir facsímil")</f>
        <v>Abrir facsímil</v>
      </c>
      <c r="K568" s="3" t="s">
        <v>57</v>
      </c>
    </row>
    <row r="569" spans="1:11" ht="42" customHeight="1">
      <c r="A569" s="2" t="s">
        <v>1862</v>
      </c>
      <c r="B569" s="2" t="s">
        <v>1862</v>
      </c>
      <c r="C569" s="2" t="s">
        <v>25</v>
      </c>
      <c r="D569" s="2" t="s">
        <v>26</v>
      </c>
      <c r="E569" s="3" t="s">
        <v>1761</v>
      </c>
      <c r="F569" s="3" t="s">
        <v>1762</v>
      </c>
      <c r="G569" s="3" t="s">
        <v>1152</v>
      </c>
      <c r="H569" s="2" t="s">
        <v>55</v>
      </c>
      <c r="I569" s="2" t="s">
        <v>1871</v>
      </c>
      <c r="J569" s="3" t="str">
        <f>HYPERLINK("https://www.boe.es/gazeta/dias/1809/10/18/pdfs/GMD-1809-292.pdf#page=4","Abrir facsímil")</f>
        <v>Abrir facsímil</v>
      </c>
      <c r="K569" s="3" t="s">
        <v>57</v>
      </c>
    </row>
    <row r="570" spans="1:11" ht="42" customHeight="1">
      <c r="A570" s="2" t="s">
        <v>1862</v>
      </c>
      <c r="B570" s="2" t="s">
        <v>1862</v>
      </c>
      <c r="C570" s="2" t="s">
        <v>25</v>
      </c>
      <c r="D570" s="2" t="s">
        <v>26</v>
      </c>
      <c r="E570" s="3" t="s">
        <v>1872</v>
      </c>
      <c r="F570" s="3" t="s">
        <v>1873</v>
      </c>
      <c r="G570" s="3" t="s">
        <v>1874</v>
      </c>
      <c r="H570" s="2" t="s">
        <v>55</v>
      </c>
      <c r="I570" s="2" t="s">
        <v>1875</v>
      </c>
      <c r="J570" s="3" t="str">
        <f>HYPERLINK("https://www.boe.es/gazeta/dias/1809/11/07/pdfs/GGB-1809-422.pdf#page=5","Abrir facsímil")</f>
        <v>Abrir facsímil</v>
      </c>
      <c r="K570" s="3" t="s">
        <v>57</v>
      </c>
    </row>
    <row r="571" spans="1:11" ht="42" customHeight="1">
      <c r="A571" s="2" t="s">
        <v>1862</v>
      </c>
      <c r="B571" s="2" t="s">
        <v>1862</v>
      </c>
      <c r="C571" s="2" t="s">
        <v>25</v>
      </c>
      <c r="D571" s="2" t="s">
        <v>26</v>
      </c>
      <c r="E571" s="3" t="s">
        <v>1872</v>
      </c>
      <c r="F571" s="3" t="s">
        <v>1873</v>
      </c>
      <c r="G571" s="3" t="s">
        <v>1876</v>
      </c>
      <c r="H571" s="2" t="s">
        <v>55</v>
      </c>
      <c r="I571" s="2" t="s">
        <v>1877</v>
      </c>
      <c r="J571" s="3" t="str">
        <f>HYPERLINK("https://www.boe.es/gazeta/dias/1809/11/07/pdfs/GGB-1809-422.pdf#page=6","Abrir facsímil")</f>
        <v>Abrir facsímil</v>
      </c>
      <c r="K571" s="3" t="s">
        <v>57</v>
      </c>
    </row>
    <row r="572" spans="1:11" ht="42" customHeight="1">
      <c r="A572" s="2" t="s">
        <v>1862</v>
      </c>
      <c r="B572" s="2" t="s">
        <v>1862</v>
      </c>
      <c r="C572" s="2" t="s">
        <v>25</v>
      </c>
      <c r="D572" s="2" t="s">
        <v>26</v>
      </c>
      <c r="E572" s="3" t="s">
        <v>1872</v>
      </c>
      <c r="F572" s="3" t="s">
        <v>1873</v>
      </c>
      <c r="G572" s="3" t="s">
        <v>1878</v>
      </c>
      <c r="H572" s="2" t="s">
        <v>55</v>
      </c>
      <c r="I572" s="2" t="s">
        <v>1879</v>
      </c>
      <c r="J572" s="3" t="str">
        <f>HYPERLINK("https://www.boe.es/gazeta/dias/1809/11/07/pdfs/GGB-1809-422.pdf#page=7","Abrir facsímil")</f>
        <v>Abrir facsímil</v>
      </c>
      <c r="K572" s="3" t="s">
        <v>57</v>
      </c>
    </row>
    <row r="573" spans="1:11" ht="42" customHeight="1">
      <c r="A573" s="2" t="s">
        <v>1862</v>
      </c>
      <c r="B573" s="2" t="s">
        <v>1862</v>
      </c>
      <c r="C573" s="2" t="s">
        <v>25</v>
      </c>
      <c r="D573" s="2" t="s">
        <v>26</v>
      </c>
      <c r="E573" s="3" t="s">
        <v>1872</v>
      </c>
      <c r="F573" s="3" t="s">
        <v>1873</v>
      </c>
      <c r="G573" s="3" t="s">
        <v>1880</v>
      </c>
      <c r="H573" s="2" t="s">
        <v>55</v>
      </c>
      <c r="I573" s="2" t="s">
        <v>1881</v>
      </c>
      <c r="J573" s="3" t="str">
        <f>HYPERLINK("https://www.boe.es/gazeta/dias/1809/11/07/pdfs/GGB-1809-422.pdf#page=8","Abrir facsímil")</f>
        <v>Abrir facsímil</v>
      </c>
      <c r="K573" s="3" t="s">
        <v>57</v>
      </c>
    </row>
    <row r="574" spans="1:11" ht="42" customHeight="1">
      <c r="A574" s="2" t="s">
        <v>1862</v>
      </c>
      <c r="B574" s="2" t="s">
        <v>1862</v>
      </c>
      <c r="C574" s="2" t="s">
        <v>25</v>
      </c>
      <c r="D574" s="2" t="s">
        <v>18</v>
      </c>
      <c r="E574" s="3" t="s">
        <v>394</v>
      </c>
      <c r="F574" s="3" t="s">
        <v>1210</v>
      </c>
      <c r="G574" s="3" t="s">
        <v>1211</v>
      </c>
      <c r="H574" s="2" t="s">
        <v>55</v>
      </c>
      <c r="I574" s="2" t="s">
        <v>1882</v>
      </c>
      <c r="J574" s="3" t="str">
        <f>HYPERLINK("https://www.boe.es/gazeta/dias/1809/12/14/pdfs/GGB-1809-582.pdf#page=1","Abrir facsímil")</f>
        <v>Abrir facsímil</v>
      </c>
      <c r="K574" s="3" t="s">
        <v>57</v>
      </c>
    </row>
    <row r="575" spans="1:11" ht="42" customHeight="1">
      <c r="A575" s="2" t="s">
        <v>1883</v>
      </c>
      <c r="B575" s="2" t="s">
        <v>1884</v>
      </c>
      <c r="C575" s="2" t="s">
        <v>131</v>
      </c>
      <c r="D575" s="2" t="s">
        <v>72</v>
      </c>
      <c r="E575" s="3" t="s">
        <v>173</v>
      </c>
      <c r="F575" s="3" t="s">
        <v>1885</v>
      </c>
      <c r="G575" s="3" t="s">
        <v>1886</v>
      </c>
      <c r="H575" s="2" t="s">
        <v>22</v>
      </c>
      <c r="I575" s="2" t="s">
        <v>1887</v>
      </c>
      <c r="J575" s="3" t="str">
        <f>HYPERLINK("https://www.boe.es/gazeta/dias/1809/09/12/pdfs/GGB-H-1809-182.pdf#page=1","Abrir facsímil")</f>
        <v>Abrir facsímil</v>
      </c>
      <c r="K575" s="3" t="s">
        <v>24</v>
      </c>
    </row>
    <row r="576" spans="1:11" ht="42" customHeight="1">
      <c r="A576" s="2" t="s">
        <v>1888</v>
      </c>
      <c r="B576" s="2" t="s">
        <v>1889</v>
      </c>
      <c r="C576" s="2" t="s">
        <v>131</v>
      </c>
      <c r="D576" s="2" t="s">
        <v>26</v>
      </c>
      <c r="E576" s="3" t="s">
        <v>761</v>
      </c>
      <c r="F576" s="3" t="s">
        <v>1218</v>
      </c>
      <c r="G576" s="3" t="s">
        <v>225</v>
      </c>
      <c r="H576" s="2" t="s">
        <v>55</v>
      </c>
      <c r="I576" s="2" t="s">
        <v>1890</v>
      </c>
      <c r="J576" s="3" t="str">
        <f>HYPERLINK("https://www.boe.es/gazeta/dias/1809/06/02/pdfs/GGB-1809-33.pdf#page=4","Abrir facsímil")</f>
        <v>Abrir facsímil</v>
      </c>
      <c r="K576" s="3" t="s">
        <v>57</v>
      </c>
    </row>
    <row r="577" spans="1:11" ht="42" customHeight="1">
      <c r="A577" s="2" t="s">
        <v>1888</v>
      </c>
      <c r="B577" s="2" t="s">
        <v>1889</v>
      </c>
      <c r="C577" s="2" t="s">
        <v>369</v>
      </c>
      <c r="D577" s="2" t="s">
        <v>80</v>
      </c>
      <c r="E577" s="3" t="s">
        <v>1891</v>
      </c>
      <c r="F577" s="3" t="s">
        <v>1892</v>
      </c>
      <c r="G577" s="3" t="s">
        <v>906</v>
      </c>
      <c r="H577" s="2" t="s">
        <v>55</v>
      </c>
      <c r="I577" s="2" t="s">
        <v>1893</v>
      </c>
      <c r="J577" s="3" t="str">
        <f>HYPERLINK("https://www.boe.es/gazeta/dias/1809/06/10/pdfs/GGB-1809-35E.pdf#page=8","Abrir facsímil")</f>
        <v>Abrir facsímil</v>
      </c>
      <c r="K577" s="3" t="s">
        <v>57</v>
      </c>
    </row>
    <row r="578" spans="1:11" ht="42" customHeight="1">
      <c r="A578" s="2" t="s">
        <v>1888</v>
      </c>
      <c r="B578" s="2" t="s">
        <v>1889</v>
      </c>
      <c r="C578" s="2" t="s">
        <v>25</v>
      </c>
      <c r="D578" s="2" t="s">
        <v>26</v>
      </c>
      <c r="E578" s="3" t="s">
        <v>327</v>
      </c>
      <c r="F578" s="3" t="s">
        <v>328</v>
      </c>
      <c r="G578" s="3" t="s">
        <v>1868</v>
      </c>
      <c r="H578" s="2" t="s">
        <v>55</v>
      </c>
      <c r="I578" s="2" t="s">
        <v>1894</v>
      </c>
      <c r="J578" s="3" t="str">
        <f>HYPERLINK("https://www.boe.es/gazeta/dias/1809/09/14/pdfs/GGB-1809-192.pdf#page=6","Abrir facsímil")</f>
        <v>Abrir facsímil</v>
      </c>
      <c r="K578" s="3" t="s">
        <v>57</v>
      </c>
    </row>
    <row r="579" spans="1:11" ht="42" customHeight="1">
      <c r="A579" s="2" t="s">
        <v>1888</v>
      </c>
      <c r="B579" s="2" t="s">
        <v>1889</v>
      </c>
      <c r="C579" s="2" t="s">
        <v>25</v>
      </c>
      <c r="D579" s="2" t="s">
        <v>26</v>
      </c>
      <c r="E579" s="3" t="s">
        <v>294</v>
      </c>
      <c r="F579" s="3" t="s">
        <v>1360</v>
      </c>
      <c r="G579" s="3" t="s">
        <v>1424</v>
      </c>
      <c r="H579" s="2" t="s">
        <v>55</v>
      </c>
      <c r="I579" s="2" t="s">
        <v>1895</v>
      </c>
      <c r="J579" s="3" t="str">
        <f>HYPERLINK("https://www.boe.es/gazeta/dias/1809/09/30/pdfs/GGB-1809-262.pdf#page=5","Abrir facsímil")</f>
        <v>Abrir facsímil</v>
      </c>
      <c r="K579" s="3" t="s">
        <v>57</v>
      </c>
    </row>
    <row r="580" spans="1:11" ht="42" customHeight="1">
      <c r="A580" s="2" t="s">
        <v>1888</v>
      </c>
      <c r="B580" s="2" t="s">
        <v>1889</v>
      </c>
      <c r="C580" s="2" t="s">
        <v>39</v>
      </c>
      <c r="D580" s="2" t="s">
        <v>18</v>
      </c>
      <c r="E580" s="3" t="s">
        <v>390</v>
      </c>
      <c r="F580" s="3" t="s">
        <v>391</v>
      </c>
      <c r="G580" s="3" t="s">
        <v>1896</v>
      </c>
      <c r="H580" s="2" t="s">
        <v>55</v>
      </c>
      <c r="I580" s="2" t="s">
        <v>1897</v>
      </c>
      <c r="J580" s="3" t="str">
        <f>HYPERLINK("https://www.boe.es/gazeta/dias/1809/10/19/pdfs/GGB-1809-342.pdf#page=5","Abrir facsímil")</f>
        <v>Abrir facsímil</v>
      </c>
      <c r="K580" s="3" t="s">
        <v>57</v>
      </c>
    </row>
    <row r="581" spans="1:11" ht="42" customHeight="1">
      <c r="A581" s="2" t="s">
        <v>1888</v>
      </c>
      <c r="B581" s="2" t="s">
        <v>1889</v>
      </c>
      <c r="C581" s="2" t="s">
        <v>369</v>
      </c>
      <c r="D581" s="2" t="s">
        <v>18</v>
      </c>
      <c r="E581" s="3" t="s">
        <v>1898</v>
      </c>
      <c r="F581" s="3" t="s">
        <v>1899</v>
      </c>
      <c r="G581" s="3" t="s">
        <v>62</v>
      </c>
      <c r="H581" s="2" t="s">
        <v>55</v>
      </c>
      <c r="I581" s="2" t="s">
        <v>1900</v>
      </c>
      <c r="J581" s="3" t="str">
        <f>HYPERLINK("https://www.boe.es/gazeta/dias/1809/12/02/pdfs/GGB-1809-532.pdf#page=8","Abrir facsímil")</f>
        <v>Abrir facsímil</v>
      </c>
      <c r="K581" s="3" t="s">
        <v>57</v>
      </c>
    </row>
    <row r="582" spans="1:11" ht="42" customHeight="1">
      <c r="A582" s="2" t="s">
        <v>1901</v>
      </c>
      <c r="B582" s="2" t="s">
        <v>1902</v>
      </c>
      <c r="C582" s="2" t="s">
        <v>131</v>
      </c>
      <c r="D582" s="2" t="s">
        <v>18</v>
      </c>
      <c r="E582" s="3" t="s">
        <v>305</v>
      </c>
      <c r="F582" s="3" t="s">
        <v>306</v>
      </c>
      <c r="G582" s="3" t="s">
        <v>29</v>
      </c>
      <c r="H582" s="2" t="s">
        <v>55</v>
      </c>
      <c r="I582" s="2" t="s">
        <v>1903</v>
      </c>
      <c r="J582" s="3" t="str">
        <f>HYPERLINK("https://www.boe.es/gazeta/dias/1809/10/20/pdfs/GMD-1809-294.pdf#page=3","Abrir facsímil")</f>
        <v>Abrir facsímil</v>
      </c>
      <c r="K582" s="3" t="s">
        <v>57</v>
      </c>
    </row>
    <row r="583" spans="1:11" ht="42" customHeight="1">
      <c r="A583" s="2" t="s">
        <v>1904</v>
      </c>
      <c r="B583" s="2" t="s">
        <v>1905</v>
      </c>
      <c r="C583" s="2" t="s">
        <v>131</v>
      </c>
      <c r="D583" s="2" t="s">
        <v>18</v>
      </c>
      <c r="E583" s="3" t="s">
        <v>102</v>
      </c>
      <c r="F583" s="3" t="s">
        <v>103</v>
      </c>
      <c r="G583" s="3" t="s">
        <v>1706</v>
      </c>
      <c r="H583" s="2" t="s">
        <v>55</v>
      </c>
      <c r="I583" s="2" t="s">
        <v>1906</v>
      </c>
      <c r="J583" s="3" t="str">
        <f>HYPERLINK("https://www.boe.es/gazeta/dias/1809/09/28/pdfs/GGB-1809-252.pdf#page=5","Abrir facsímil")</f>
        <v>Abrir facsímil</v>
      </c>
      <c r="K583" s="3" t="s">
        <v>57</v>
      </c>
    </row>
    <row r="584" spans="1:11" ht="42" customHeight="1">
      <c r="A584" s="2" t="s">
        <v>1907</v>
      </c>
      <c r="B584" s="2" t="s">
        <v>1908</v>
      </c>
      <c r="C584" s="2" t="s">
        <v>17</v>
      </c>
      <c r="D584" s="2" t="s">
        <v>18</v>
      </c>
      <c r="E584" s="3" t="s">
        <v>1586</v>
      </c>
      <c r="F584" s="3" t="s">
        <v>1587</v>
      </c>
      <c r="G584" s="3" t="s">
        <v>1909</v>
      </c>
      <c r="H584" s="2" t="s">
        <v>55</v>
      </c>
      <c r="I584" s="2" t="s">
        <v>1910</v>
      </c>
      <c r="J584" s="3" t="str">
        <f>HYPERLINK("https://www.boe.es/gazeta/dias/1809/02/20/pdfs/GMD-1809-51.pdf#page=4","Abrir facsímil")</f>
        <v>Abrir facsímil</v>
      </c>
      <c r="K584" s="3" t="s">
        <v>57</v>
      </c>
    </row>
    <row r="585" spans="1:11" ht="42" customHeight="1">
      <c r="A585" s="2" t="s">
        <v>1911</v>
      </c>
      <c r="B585" s="2" t="s">
        <v>1912</v>
      </c>
      <c r="C585" s="2" t="s">
        <v>131</v>
      </c>
      <c r="D585" s="2" t="s">
        <v>18</v>
      </c>
      <c r="E585" s="3" t="s">
        <v>305</v>
      </c>
      <c r="F585" s="3" t="s">
        <v>306</v>
      </c>
      <c r="G585" s="3" t="s">
        <v>29</v>
      </c>
      <c r="H585" s="2" t="s">
        <v>55</v>
      </c>
      <c r="I585" s="2" t="s">
        <v>1913</v>
      </c>
      <c r="J585" s="3" t="str">
        <f>HYPERLINK("https://www.boe.es/gazeta/dias/1809/10/20/pdfs/GMD-1809-294.pdf#page=3","Abrir facsímil")</f>
        <v>Abrir facsímil</v>
      </c>
      <c r="K585" s="3" t="s">
        <v>57</v>
      </c>
    </row>
    <row r="586" spans="1:11" ht="42" customHeight="1">
      <c r="A586" s="2" t="s">
        <v>1914</v>
      </c>
      <c r="B586" s="2" t="s">
        <v>1915</v>
      </c>
      <c r="C586" s="2" t="s">
        <v>288</v>
      </c>
      <c r="D586" s="2" t="s">
        <v>72</v>
      </c>
      <c r="E586" s="3" t="s">
        <v>787</v>
      </c>
      <c r="F586" s="3" t="s">
        <v>788</v>
      </c>
      <c r="G586" s="3" t="s">
        <v>789</v>
      </c>
      <c r="H586" s="2" t="s">
        <v>55</v>
      </c>
      <c r="I586" s="2" t="s">
        <v>1916</v>
      </c>
      <c r="J586" s="3" t="str">
        <f>HYPERLINK("https://www.boe.es/gazeta/dias/1809/04/29/pdfs/GMD-E-1809-119.pdf#page=1","Abrir facsímil")</f>
        <v>Abrir facsímil</v>
      </c>
      <c r="K586" s="3" t="s">
        <v>57</v>
      </c>
    </row>
    <row r="587" spans="1:11" ht="42" customHeight="1">
      <c r="A587" s="2" t="s">
        <v>1917</v>
      </c>
      <c r="B587" s="2" t="s">
        <v>1918</v>
      </c>
      <c r="C587" s="2" t="s">
        <v>25</v>
      </c>
      <c r="D587" s="2" t="s">
        <v>26</v>
      </c>
      <c r="E587" s="3" t="s">
        <v>143</v>
      </c>
      <c r="F587" s="3" t="s">
        <v>705</v>
      </c>
      <c r="G587" s="3" t="s">
        <v>225</v>
      </c>
      <c r="H587" s="2" t="s">
        <v>55</v>
      </c>
      <c r="I587" s="2" t="s">
        <v>1919</v>
      </c>
      <c r="J587" s="3" t="str">
        <f>HYPERLINK("https://www.boe.es/gazeta/dias/1809/11/16/pdfs/GGB-H-1809-462.pdf#page=4","Abrir facsímil")</f>
        <v>Abrir facsímil</v>
      </c>
      <c r="K587" s="3" t="s">
        <v>57</v>
      </c>
    </row>
    <row r="588" spans="1:11" ht="42" customHeight="1">
      <c r="A588" s="2" t="s">
        <v>1920</v>
      </c>
      <c r="B588" s="2" t="s">
        <v>1920</v>
      </c>
      <c r="C588" s="2" t="s">
        <v>17</v>
      </c>
      <c r="D588" s="2" t="s">
        <v>18</v>
      </c>
      <c r="E588" s="3" t="s">
        <v>1921</v>
      </c>
      <c r="F588" s="3" t="s">
        <v>1922</v>
      </c>
      <c r="G588" s="3" t="s">
        <v>1923</v>
      </c>
      <c r="H588" s="2" t="s">
        <v>55</v>
      </c>
      <c r="I588" s="2" t="s">
        <v>1924</v>
      </c>
      <c r="J588" s="3" t="str">
        <f>HYPERLINK("https://www.boe.es/gazeta/dias/1809/11/05/pdfs/GMD-1809-310.pdf#page=1","Abrir facsímil")</f>
        <v>Abrir facsímil</v>
      </c>
      <c r="K588" s="3" t="s">
        <v>57</v>
      </c>
    </row>
    <row r="589" spans="1:11" ht="42" customHeight="1">
      <c r="A589" s="2" t="s">
        <v>1925</v>
      </c>
      <c r="B589" s="2" t="s">
        <v>1925</v>
      </c>
      <c r="C589" s="2" t="s">
        <v>17</v>
      </c>
      <c r="D589" s="2" t="s">
        <v>18</v>
      </c>
      <c r="E589" s="3" t="s">
        <v>211</v>
      </c>
      <c r="F589" s="3" t="s">
        <v>212</v>
      </c>
      <c r="G589" s="3" t="s">
        <v>872</v>
      </c>
      <c r="H589" s="2" t="s">
        <v>55</v>
      </c>
      <c r="I589" s="2" t="s">
        <v>1926</v>
      </c>
      <c r="J589" s="3" t="str">
        <f>HYPERLINK("https://www.boe.es/gazeta/dias/1809/10/27/pdfs/GMD-1809-301.pdf#page=1","Abrir facsímil")</f>
        <v>Abrir facsímil</v>
      </c>
      <c r="K589" s="3" t="s">
        <v>57</v>
      </c>
    </row>
    <row r="590" spans="1:11" ht="42" customHeight="1">
      <c r="A590" s="2" t="s">
        <v>1925</v>
      </c>
      <c r="B590" s="2" t="s">
        <v>1925</v>
      </c>
      <c r="C590" s="2" t="s">
        <v>17</v>
      </c>
      <c r="D590" s="2" t="s">
        <v>72</v>
      </c>
      <c r="E590" s="3" t="s">
        <v>216</v>
      </c>
      <c r="F590" s="3" t="s">
        <v>217</v>
      </c>
      <c r="G590" s="3" t="s">
        <v>154</v>
      </c>
      <c r="H590" s="2" t="s">
        <v>55</v>
      </c>
      <c r="I590" s="2" t="s">
        <v>1927</v>
      </c>
      <c r="J590" s="3" t="str">
        <f>HYPERLINK("https://www.boe.es/gazeta/dias/1809/12/05/pdfs/GGB-H-1809-542.pdf#page=1","Abrir facsímil")</f>
        <v>Abrir facsímil</v>
      </c>
      <c r="K590" s="3" t="s">
        <v>57</v>
      </c>
    </row>
    <row r="591" spans="1:11" ht="42" customHeight="1">
      <c r="A591" s="2" t="s">
        <v>1928</v>
      </c>
      <c r="B591" s="2" t="s">
        <v>1929</v>
      </c>
      <c r="C591" s="2" t="s">
        <v>25</v>
      </c>
      <c r="D591" s="2" t="s">
        <v>26</v>
      </c>
      <c r="E591" s="3" t="s">
        <v>220</v>
      </c>
      <c r="F591" s="3" t="s">
        <v>221</v>
      </c>
      <c r="G591" s="3" t="s">
        <v>154</v>
      </c>
      <c r="H591" s="2" t="s">
        <v>55</v>
      </c>
      <c r="I591" s="2" t="s">
        <v>1930</v>
      </c>
      <c r="J591" s="3" t="str">
        <f>HYPERLINK("https://www.boe.es/gazeta/dias/1809/12/13/pdfs/GMD-1809-348.pdf#page=4","Abrir facsímil")</f>
        <v>Abrir facsímil</v>
      </c>
      <c r="K591" s="3" t="s">
        <v>57</v>
      </c>
    </row>
    <row r="592" spans="1:11" ht="42" customHeight="1">
      <c r="A592" s="2" t="s">
        <v>1931</v>
      </c>
      <c r="B592" s="2" t="s">
        <v>1932</v>
      </c>
      <c r="C592" s="2" t="s">
        <v>17</v>
      </c>
      <c r="D592" s="2" t="s">
        <v>18</v>
      </c>
      <c r="E592" s="3" t="s">
        <v>33</v>
      </c>
      <c r="F592" s="3" t="s">
        <v>34</v>
      </c>
      <c r="G592" s="3" t="s">
        <v>493</v>
      </c>
      <c r="H592" s="2" t="s">
        <v>55</v>
      </c>
      <c r="I592" s="2" t="s">
        <v>1933</v>
      </c>
      <c r="J592" s="3" t="str">
        <f>HYPERLINK("https://www.boe.es/gazeta/dias/1809/12/19/pdfs/GGB-1809-602.pdf#page=6","Abrir facsímil")</f>
        <v>Abrir facsímil</v>
      </c>
      <c r="K592" s="3" t="s">
        <v>57</v>
      </c>
    </row>
    <row r="593" spans="1:11" ht="42" customHeight="1">
      <c r="A593" s="2" t="s">
        <v>1934</v>
      </c>
      <c r="B593" s="2" t="s">
        <v>1934</v>
      </c>
      <c r="C593" s="2" t="s">
        <v>25</v>
      </c>
      <c r="D593" s="2" t="s">
        <v>26</v>
      </c>
      <c r="E593" s="3" t="s">
        <v>1282</v>
      </c>
      <c r="F593" s="3" t="s">
        <v>1283</v>
      </c>
      <c r="G593" s="3" t="s">
        <v>1935</v>
      </c>
      <c r="H593" s="2" t="s">
        <v>55</v>
      </c>
      <c r="I593" s="2" t="s">
        <v>1936</v>
      </c>
      <c r="J593" s="3" t="str">
        <f>HYPERLINK("https://www.boe.es/gazeta/dias/1809/06/26/pdfs/GGB-1809-40.pdf#page=2","Abrir facsímil")</f>
        <v>Abrir facsímil</v>
      </c>
      <c r="K593" s="3" t="s">
        <v>57</v>
      </c>
    </row>
    <row r="594" spans="1:11" ht="42" customHeight="1">
      <c r="A594" s="2" t="s">
        <v>1937</v>
      </c>
      <c r="B594" s="2" t="s">
        <v>1937</v>
      </c>
      <c r="C594" s="2" t="s">
        <v>25</v>
      </c>
      <c r="D594" s="2" t="s">
        <v>26</v>
      </c>
      <c r="E594" s="3" t="s">
        <v>893</v>
      </c>
      <c r="F594" s="3" t="s">
        <v>1348</v>
      </c>
      <c r="G594" s="3" t="s">
        <v>1938</v>
      </c>
      <c r="H594" s="2" t="s">
        <v>55</v>
      </c>
      <c r="I594" s="2" t="s">
        <v>1939</v>
      </c>
      <c r="J594" s="3" t="str">
        <f>HYPERLINK("https://www.boe.es/gazeta/dias/1809/11/02/pdfs/GGB-1809-402.pdf#page=6","Abrir facsímil")</f>
        <v>Abrir facsímil</v>
      </c>
      <c r="K594" s="3" t="s">
        <v>57</v>
      </c>
    </row>
    <row r="595" spans="1:11" ht="42" customHeight="1">
      <c r="A595" s="2" t="s">
        <v>1940</v>
      </c>
      <c r="B595" s="2" t="s">
        <v>1941</v>
      </c>
      <c r="C595" s="2" t="s">
        <v>25</v>
      </c>
      <c r="D595" s="2" t="s">
        <v>26</v>
      </c>
      <c r="E595" s="3" t="s">
        <v>237</v>
      </c>
      <c r="F595" s="3" t="s">
        <v>238</v>
      </c>
      <c r="G595" s="3" t="s">
        <v>239</v>
      </c>
      <c r="H595" s="2" t="s">
        <v>55</v>
      </c>
      <c r="I595" s="2" t="s">
        <v>1942</v>
      </c>
      <c r="J595" s="3" t="str">
        <f>HYPERLINK("https://www.boe.es/gazeta/dias/1809/07/30/pdfs/GMD-1809-212.pdf#page=1","Abrir facsímil")</f>
        <v>Abrir facsímil</v>
      </c>
      <c r="K595" s="3" t="s">
        <v>57</v>
      </c>
    </row>
    <row r="596" spans="1:11" ht="42" customHeight="1">
      <c r="A596" s="2" t="s">
        <v>1943</v>
      </c>
      <c r="B596" s="2" t="s">
        <v>1944</v>
      </c>
      <c r="C596" s="2" t="s">
        <v>25</v>
      </c>
      <c r="D596" s="2" t="s">
        <v>72</v>
      </c>
      <c r="E596" s="3" t="s">
        <v>143</v>
      </c>
      <c r="F596" s="3" t="s">
        <v>705</v>
      </c>
      <c r="G596" s="3" t="s">
        <v>110</v>
      </c>
      <c r="H596" s="2" t="s">
        <v>55</v>
      </c>
      <c r="I596" s="2" t="s">
        <v>1945</v>
      </c>
      <c r="J596" s="3" t="str">
        <f>HYPERLINK("https://www.boe.es/gazeta/dias/1809/11/16/pdfs/GGB-H-1809-462.pdf#page=3","Abrir facsímil")</f>
        <v>Abrir facsímil</v>
      </c>
      <c r="K596" s="3" t="s">
        <v>57</v>
      </c>
    </row>
    <row r="597" spans="1:11" ht="42" customHeight="1">
      <c r="A597" s="2" t="s">
        <v>1943</v>
      </c>
      <c r="B597" s="2" t="s">
        <v>1944</v>
      </c>
      <c r="C597" s="2" t="s">
        <v>25</v>
      </c>
      <c r="D597" s="2" t="s">
        <v>72</v>
      </c>
      <c r="E597" s="3" t="s">
        <v>143</v>
      </c>
      <c r="F597" s="3" t="s">
        <v>705</v>
      </c>
      <c r="G597" s="3" t="s">
        <v>225</v>
      </c>
      <c r="H597" s="2" t="s">
        <v>55</v>
      </c>
      <c r="I597" s="2" t="s">
        <v>1946</v>
      </c>
      <c r="J597" s="3" t="str">
        <f>HYPERLINK("https://www.boe.es/gazeta/dias/1809/11/16/pdfs/GGB-H-1809-462.pdf#page=4","Abrir facsímil")</f>
        <v>Abrir facsímil</v>
      </c>
      <c r="K597" s="3" t="s">
        <v>57</v>
      </c>
    </row>
    <row r="598" spans="1:11" ht="42" customHeight="1">
      <c r="A598" s="2" t="s">
        <v>1947</v>
      </c>
      <c r="B598" s="2" t="s">
        <v>1947</v>
      </c>
      <c r="C598" s="2" t="s">
        <v>39</v>
      </c>
      <c r="D598" s="2" t="s">
        <v>18</v>
      </c>
      <c r="E598" s="3" t="s">
        <v>1948</v>
      </c>
      <c r="F598" s="3" t="s">
        <v>1949</v>
      </c>
      <c r="G598" s="3" t="s">
        <v>1950</v>
      </c>
      <c r="H598" s="2" t="s">
        <v>55</v>
      </c>
      <c r="I598" s="2" t="s">
        <v>1951</v>
      </c>
      <c r="J598" s="3" t="str">
        <f>HYPERLINK("https://www.boe.es/gazeta/dias/1809/12/23/pdfs/GGB-1809-622.pdf#page=6","Abrir facsímil")</f>
        <v>Abrir facsímil</v>
      </c>
      <c r="K598" s="3" t="s">
        <v>57</v>
      </c>
    </row>
    <row r="599" spans="1:11" ht="42" customHeight="1">
      <c r="A599" s="2" t="s">
        <v>1952</v>
      </c>
      <c r="B599" s="2" t="s">
        <v>1953</v>
      </c>
      <c r="C599" s="2" t="s">
        <v>369</v>
      </c>
      <c r="D599" s="2" t="s">
        <v>18</v>
      </c>
      <c r="E599" s="3" t="s">
        <v>1954</v>
      </c>
      <c r="F599" s="3" t="s">
        <v>1955</v>
      </c>
      <c r="G599" s="3" t="s">
        <v>1956</v>
      </c>
      <c r="H599" s="2" t="s">
        <v>55</v>
      </c>
      <c r="I599" s="2" t="s">
        <v>1957</v>
      </c>
      <c r="J599" s="3" t="str">
        <f>HYPERLINK("https://www.boe.es/gazeta/dias/1809/11/08/pdfs/GMD-1809-313.pdf#page=4","Abrir facsímil")</f>
        <v>Abrir facsímil</v>
      </c>
      <c r="K599" s="3" t="s">
        <v>57</v>
      </c>
    </row>
    <row r="600" spans="1:11" ht="42" customHeight="1">
      <c r="A600" s="2" t="s">
        <v>1958</v>
      </c>
      <c r="B600" s="2" t="s">
        <v>1959</v>
      </c>
      <c r="C600" s="2" t="s">
        <v>25</v>
      </c>
      <c r="D600" s="2" t="s">
        <v>72</v>
      </c>
      <c r="E600" s="3" t="s">
        <v>216</v>
      </c>
      <c r="F600" s="3" t="s">
        <v>217</v>
      </c>
      <c r="G600" s="3" t="s">
        <v>439</v>
      </c>
      <c r="H600" s="2" t="s">
        <v>55</v>
      </c>
      <c r="I600" s="2" t="s">
        <v>1960</v>
      </c>
      <c r="J600" s="3" t="str">
        <f>HYPERLINK("https://www.boe.es/gazeta/dias/1809/12/05/pdfs/GGB-H-1809-542.pdf#page=7","Abrir facsímil")</f>
        <v>Abrir facsímil</v>
      </c>
      <c r="K600" s="3" t="s">
        <v>57</v>
      </c>
    </row>
    <row r="601" spans="1:11" ht="42" customHeight="1">
      <c r="A601" s="2" t="s">
        <v>1961</v>
      </c>
      <c r="B601" s="2" t="s">
        <v>1962</v>
      </c>
      <c r="C601" s="2" t="s">
        <v>79</v>
      </c>
      <c r="D601" s="2" t="s">
        <v>18</v>
      </c>
      <c r="E601" s="3" t="s">
        <v>390</v>
      </c>
      <c r="F601" s="3" t="s">
        <v>391</v>
      </c>
      <c r="G601" s="3" t="s">
        <v>340</v>
      </c>
      <c r="H601" s="2" t="s">
        <v>55</v>
      </c>
      <c r="I601" s="2" t="s">
        <v>1963</v>
      </c>
      <c r="J601" s="3" t="str">
        <f>HYPERLINK("https://www.boe.es/gazeta/dias/1809/10/19/pdfs/GGB-1809-342.pdf#page=6","Abrir facsímil")</f>
        <v>Abrir facsímil</v>
      </c>
      <c r="K601" s="3" t="s">
        <v>57</v>
      </c>
    </row>
    <row r="602" spans="1:11" ht="42" customHeight="1">
      <c r="A602" s="2" t="s">
        <v>1964</v>
      </c>
      <c r="B602" s="2" t="s">
        <v>1964</v>
      </c>
      <c r="C602" s="2" t="s">
        <v>17</v>
      </c>
      <c r="D602" s="2" t="s">
        <v>18</v>
      </c>
      <c r="E602" s="3" t="s">
        <v>220</v>
      </c>
      <c r="F602" s="3" t="s">
        <v>221</v>
      </c>
      <c r="G602" s="3" t="s">
        <v>396</v>
      </c>
      <c r="H602" s="2" t="s">
        <v>55</v>
      </c>
      <c r="I602" s="2" t="s">
        <v>1965</v>
      </c>
      <c r="J602" s="3" t="str">
        <f>HYPERLINK("https://www.boe.es/gazeta/dias/1809/12/13/pdfs/GMD-1809-348.pdf#page=2","Abrir facsímil")</f>
        <v>Abrir facsímil</v>
      </c>
      <c r="K602" s="3" t="s">
        <v>57</v>
      </c>
    </row>
    <row r="603" spans="1:11" ht="42" customHeight="1">
      <c r="A603" s="2" t="s">
        <v>1966</v>
      </c>
      <c r="B603" s="2" t="s">
        <v>1966</v>
      </c>
      <c r="C603" s="2" t="s">
        <v>25</v>
      </c>
      <c r="D603" s="2" t="s">
        <v>18</v>
      </c>
      <c r="E603" s="3" t="s">
        <v>1285</v>
      </c>
      <c r="F603" s="3" t="s">
        <v>1286</v>
      </c>
      <c r="G603" s="3" t="s">
        <v>234</v>
      </c>
      <c r="H603" s="2" t="s">
        <v>55</v>
      </c>
      <c r="I603" s="2" t="s">
        <v>1967</v>
      </c>
      <c r="J603" s="3" t="str">
        <f>HYPERLINK("https://www.boe.es/gazeta/dias/1809/07/01/pdfs/GMD-1809-182.pdf#page=2","Abrir facsímil")</f>
        <v>Abrir facsímil</v>
      </c>
      <c r="K603" s="3" t="s">
        <v>57</v>
      </c>
    </row>
    <row r="604" spans="1:11" ht="42" customHeight="1">
      <c r="A604" s="2" t="s">
        <v>1968</v>
      </c>
      <c r="B604" s="2" t="s">
        <v>1969</v>
      </c>
      <c r="C604" s="2" t="s">
        <v>17</v>
      </c>
      <c r="D604" s="2" t="s">
        <v>18</v>
      </c>
      <c r="E604" s="3" t="s">
        <v>1898</v>
      </c>
      <c r="F604" s="3" t="s">
        <v>1970</v>
      </c>
      <c r="G604" s="3" t="s">
        <v>154</v>
      </c>
      <c r="H604" s="2" t="s">
        <v>55</v>
      </c>
      <c r="I604" s="2" t="s">
        <v>1971</v>
      </c>
      <c r="J604" s="3" t="str">
        <f>HYPERLINK("https://www.boe.es/gazeta/dias/1809/12/02/pdfs/GMD-1809-337.pdf#page=4","Abrir facsímil")</f>
        <v>Abrir facsímil</v>
      </c>
      <c r="K604" s="3" t="s">
        <v>57</v>
      </c>
    </row>
    <row r="605" spans="1:11" ht="42" customHeight="1">
      <c r="A605" s="2" t="s">
        <v>1972</v>
      </c>
      <c r="B605" s="2" t="s">
        <v>1973</v>
      </c>
      <c r="C605" s="2" t="s">
        <v>47</v>
      </c>
      <c r="D605" s="2" t="s">
        <v>72</v>
      </c>
      <c r="E605" s="3" t="s">
        <v>1974</v>
      </c>
      <c r="F605" s="3" t="s">
        <v>1975</v>
      </c>
      <c r="G605" s="3" t="s">
        <v>239</v>
      </c>
      <c r="H605" s="2" t="s">
        <v>55</v>
      </c>
      <c r="I605" s="2" t="s">
        <v>1976</v>
      </c>
      <c r="J605" s="3" t="str">
        <f>HYPERLINK("https://www.boe.es/gazeta/dias/1809/05/03/pdfs/GMD-E-1809-123.pdf#page=1","Abrir facsímil")</f>
        <v>Abrir facsímil</v>
      </c>
      <c r="K605" s="3" t="s">
        <v>57</v>
      </c>
    </row>
    <row r="606" spans="1:11" ht="42" customHeight="1">
      <c r="A606" s="2" t="s">
        <v>1977</v>
      </c>
      <c r="B606" s="2" t="s">
        <v>1977</v>
      </c>
      <c r="C606" s="2" t="s">
        <v>39</v>
      </c>
      <c r="D606" s="2" t="s">
        <v>107</v>
      </c>
      <c r="E606" s="3" t="s">
        <v>1288</v>
      </c>
      <c r="F606" s="3" t="s">
        <v>1289</v>
      </c>
      <c r="G606" s="3" t="s">
        <v>270</v>
      </c>
      <c r="H606" s="2" t="s">
        <v>55</v>
      </c>
      <c r="I606" s="2" t="s">
        <v>1978</v>
      </c>
      <c r="J606" s="3" t="str">
        <f>HYPERLINK("https://www.boe.es/gazeta/dias/1809/07/28/pdfs/GGB-1809-49.pdf#page=2","Abrir facsímil")</f>
        <v>Abrir facsímil</v>
      </c>
      <c r="K606" s="3" t="s">
        <v>57</v>
      </c>
    </row>
    <row r="607" spans="1:11" ht="42" customHeight="1">
      <c r="A607" s="2" t="s">
        <v>1977</v>
      </c>
      <c r="B607" s="2" t="s">
        <v>1977</v>
      </c>
      <c r="C607" s="2" t="s">
        <v>17</v>
      </c>
      <c r="D607" s="2" t="s">
        <v>18</v>
      </c>
      <c r="E607" s="3" t="s">
        <v>387</v>
      </c>
      <c r="F607" s="3" t="s">
        <v>1847</v>
      </c>
      <c r="G607" s="3" t="s">
        <v>1979</v>
      </c>
      <c r="H607" s="2" t="s">
        <v>55</v>
      </c>
      <c r="I607" s="2" t="s">
        <v>1980</v>
      </c>
      <c r="J607" s="3" t="str">
        <f>HYPERLINK("https://www.boe.es/gazeta/dias/1809/09/26/pdfs/GGB-1809-242.pdf#page=4","Abrir facsímil")</f>
        <v>Abrir facsímil</v>
      </c>
      <c r="K607" s="3" t="s">
        <v>57</v>
      </c>
    </row>
    <row r="608" spans="1:11" ht="42" customHeight="1">
      <c r="A608" s="2" t="s">
        <v>1981</v>
      </c>
      <c r="B608" s="2" t="s">
        <v>1981</v>
      </c>
      <c r="C608" s="2" t="s">
        <v>25</v>
      </c>
      <c r="D608" s="2" t="s">
        <v>26</v>
      </c>
      <c r="E608" s="3" t="s">
        <v>113</v>
      </c>
      <c r="F608" s="3" t="s">
        <v>1982</v>
      </c>
      <c r="G608" s="3" t="s">
        <v>1983</v>
      </c>
      <c r="H608" s="2" t="s">
        <v>55</v>
      </c>
      <c r="I608" s="2" t="s">
        <v>1984</v>
      </c>
      <c r="J608" s="3" t="str">
        <f>HYPERLINK("https://www.boe.es/gazeta/dias/1809/04/24/pdfs/GGB-1809-21.pdf#page=10","Abrir facsímil")</f>
        <v>Abrir facsímil</v>
      </c>
      <c r="K608" s="3" t="s">
        <v>57</v>
      </c>
    </row>
    <row r="609" spans="1:11" ht="42" customHeight="1">
      <c r="A609" s="2" t="s">
        <v>1985</v>
      </c>
      <c r="B609" s="2" t="s">
        <v>1985</v>
      </c>
      <c r="C609" s="2" t="s">
        <v>25</v>
      </c>
      <c r="D609" s="2" t="s">
        <v>26</v>
      </c>
      <c r="E609" s="3" t="s">
        <v>1110</v>
      </c>
      <c r="F609" s="3" t="s">
        <v>1111</v>
      </c>
      <c r="G609" s="3" t="s">
        <v>1112</v>
      </c>
      <c r="H609" s="2" t="s">
        <v>55</v>
      </c>
      <c r="I609" s="2" t="s">
        <v>1986</v>
      </c>
      <c r="J609" s="3" t="str">
        <f>HYPERLINK("https://www.boe.es/gazeta/dias/1809/06/20/pdfs/GMD-1809-171.pdf#page=3","Abrir facsímil")</f>
        <v>Abrir facsímil</v>
      </c>
      <c r="K609" s="3" t="s">
        <v>57</v>
      </c>
    </row>
    <row r="610" spans="1:11" ht="42" customHeight="1">
      <c r="A610" s="2" t="s">
        <v>1985</v>
      </c>
      <c r="B610" s="2" t="s">
        <v>1985</v>
      </c>
      <c r="C610" s="2" t="s">
        <v>25</v>
      </c>
      <c r="D610" s="2" t="s">
        <v>26</v>
      </c>
      <c r="E610" s="3" t="s">
        <v>432</v>
      </c>
      <c r="F610" s="3" t="s">
        <v>433</v>
      </c>
      <c r="G610" s="3" t="s">
        <v>379</v>
      </c>
      <c r="H610" s="2" t="s">
        <v>55</v>
      </c>
      <c r="I610" s="2" t="s">
        <v>1987</v>
      </c>
      <c r="J610" s="3" t="str">
        <f>HYPERLINK("https://www.boe.es/gazeta/dias/1809/07/11/pdfs/GMD-1809-192.pdf#page=3","Abrir facsímil")</f>
        <v>Abrir facsímil</v>
      </c>
      <c r="K610" s="3" t="s">
        <v>57</v>
      </c>
    </row>
    <row r="611" spans="1:11" ht="42" customHeight="1">
      <c r="A611" s="2" t="s">
        <v>1988</v>
      </c>
      <c r="B611" s="2" t="s">
        <v>1988</v>
      </c>
      <c r="C611" s="2" t="s">
        <v>25</v>
      </c>
      <c r="D611" s="2" t="s">
        <v>18</v>
      </c>
      <c r="E611" s="3" t="s">
        <v>1343</v>
      </c>
      <c r="F611" s="3" t="s">
        <v>1344</v>
      </c>
      <c r="G611" s="3" t="s">
        <v>110</v>
      </c>
      <c r="H611" s="2" t="s">
        <v>55</v>
      </c>
      <c r="I611" s="2" t="s">
        <v>1989</v>
      </c>
      <c r="J611" s="3" t="str">
        <f>HYPERLINK("https://www.boe.es/gazeta/dias/1809/07/24/pdfs/GMD-1809-205.pdf#page=2","Abrir facsímil")</f>
        <v>Abrir facsímil</v>
      </c>
      <c r="K611" s="3" t="s">
        <v>57</v>
      </c>
    </row>
    <row r="612" spans="1:11" ht="42" customHeight="1">
      <c r="A612" s="2" t="s">
        <v>1990</v>
      </c>
      <c r="B612" s="2" t="s">
        <v>1991</v>
      </c>
      <c r="C612" s="2" t="s">
        <v>17</v>
      </c>
      <c r="D612" s="2" t="s">
        <v>18</v>
      </c>
      <c r="E612" s="3" t="s">
        <v>925</v>
      </c>
      <c r="F612" s="3" t="s">
        <v>926</v>
      </c>
      <c r="G612" s="3" t="s">
        <v>62</v>
      </c>
      <c r="H612" s="2" t="s">
        <v>55</v>
      </c>
      <c r="I612" s="2" t="s">
        <v>1992</v>
      </c>
      <c r="J612" s="3" t="str">
        <f>HYPERLINK("https://www.boe.es/gazeta/dias/1809/01/11/pdfs/GGB-1809-2.pdf#page=6","Abrir facsímil")</f>
        <v>Abrir facsímil</v>
      </c>
      <c r="K612" s="3" t="s">
        <v>57</v>
      </c>
    </row>
    <row r="613" spans="1:11" ht="42" customHeight="1">
      <c r="A613" s="2" t="s">
        <v>1993</v>
      </c>
      <c r="B613" s="2" t="s">
        <v>1993</v>
      </c>
      <c r="C613" s="2" t="s">
        <v>25</v>
      </c>
      <c r="D613" s="2" t="s">
        <v>18</v>
      </c>
      <c r="E613" s="3" t="s">
        <v>1786</v>
      </c>
      <c r="F613" s="3" t="s">
        <v>1787</v>
      </c>
      <c r="G613" s="3" t="s">
        <v>1788</v>
      </c>
      <c r="H613" s="2" t="s">
        <v>55</v>
      </c>
      <c r="I613" s="2" t="s">
        <v>1994</v>
      </c>
      <c r="J613" s="3" t="str">
        <f>HYPERLINK("https://www.boe.es/gazeta/dias/1809/08/24/pdfs/GMD-1809-237.pdf#page=1","Abrir facsímil")</f>
        <v>Abrir facsímil</v>
      </c>
      <c r="K613" s="3" t="s">
        <v>57</v>
      </c>
    </row>
    <row r="614" spans="1:11" ht="42" customHeight="1">
      <c r="A614" s="2" t="s">
        <v>1995</v>
      </c>
      <c r="B614" s="2" t="s">
        <v>1996</v>
      </c>
      <c r="C614" s="2" t="s">
        <v>131</v>
      </c>
      <c r="D614" s="2" t="s">
        <v>26</v>
      </c>
      <c r="E614" s="3" t="s">
        <v>406</v>
      </c>
      <c r="F614" s="3" t="s">
        <v>407</v>
      </c>
      <c r="G614" s="3" t="s">
        <v>21</v>
      </c>
      <c r="H614" s="2" t="s">
        <v>55</v>
      </c>
      <c r="I614" s="2" t="s">
        <v>1997</v>
      </c>
      <c r="J614" s="3" t="str">
        <f>HYPERLINK("https://www.boe.es/gazeta/dias/1809/02/02/pdfs/GMD-1809-33.pdf#page=3","Abrir facsímil")</f>
        <v>Abrir facsímil</v>
      </c>
      <c r="K614" s="3" t="s">
        <v>57</v>
      </c>
    </row>
    <row r="615" spans="1:11" ht="42" customHeight="1">
      <c r="A615" s="2" t="s">
        <v>1998</v>
      </c>
      <c r="B615" s="2" t="s">
        <v>1999</v>
      </c>
      <c r="C615" s="2" t="s">
        <v>17</v>
      </c>
      <c r="D615" s="2" t="s">
        <v>18</v>
      </c>
      <c r="E615" s="3" t="s">
        <v>1396</v>
      </c>
      <c r="F615" s="3" t="s">
        <v>1397</v>
      </c>
      <c r="G615" s="3" t="s">
        <v>1398</v>
      </c>
      <c r="H615" s="2" t="s">
        <v>55</v>
      </c>
      <c r="I615" s="2" t="s">
        <v>2000</v>
      </c>
      <c r="J615" s="3" t="str">
        <f>HYPERLINK("https://www.boe.es/gazeta/dias/1809/11/28/pdfs/GGB-1809-512.pdf#page=7","Abrir facsímil")</f>
        <v>Abrir facsímil</v>
      </c>
      <c r="K615" s="3" t="s">
        <v>57</v>
      </c>
    </row>
    <row r="616" spans="1:11" ht="42" customHeight="1">
      <c r="A616" s="2" t="s">
        <v>2001</v>
      </c>
      <c r="B616" s="2" t="s">
        <v>2001</v>
      </c>
      <c r="C616" s="2" t="s">
        <v>25</v>
      </c>
      <c r="D616" s="2" t="s">
        <v>18</v>
      </c>
      <c r="E616" s="3" t="s">
        <v>2002</v>
      </c>
      <c r="F616" s="3" t="s">
        <v>2003</v>
      </c>
      <c r="G616" s="3" t="s">
        <v>789</v>
      </c>
      <c r="H616" s="2" t="s">
        <v>55</v>
      </c>
      <c r="I616" s="2" t="s">
        <v>2004</v>
      </c>
      <c r="J616" s="3" t="str">
        <f>HYPERLINK("https://www.boe.es/gazeta/dias/1809/08/07/pdfs/GMD-1809-220.pdf#page=2","Abrir facsímil")</f>
        <v>Abrir facsímil</v>
      </c>
      <c r="K616" s="3" t="s">
        <v>57</v>
      </c>
    </row>
    <row r="617" spans="1:11" ht="42" customHeight="1">
      <c r="A617" s="2" t="s">
        <v>2005</v>
      </c>
      <c r="B617" s="2" t="s">
        <v>2006</v>
      </c>
      <c r="C617" s="2" t="s">
        <v>25</v>
      </c>
      <c r="D617" s="2" t="s">
        <v>80</v>
      </c>
      <c r="E617" s="3" t="s">
        <v>1700</v>
      </c>
      <c r="F617" s="3" t="s">
        <v>1701</v>
      </c>
      <c r="G617" s="3" t="s">
        <v>1702</v>
      </c>
      <c r="H617" s="2" t="s">
        <v>55</v>
      </c>
      <c r="I617" s="2" t="s">
        <v>2007</v>
      </c>
      <c r="J617" s="3" t="str">
        <f>HYPERLINK("https://www.boe.es/gazeta/dias/1809/01/16/pdfs/GGB-1809-3E.pdf#page=6","Abrir facsímil")</f>
        <v>Abrir facsímil</v>
      </c>
      <c r="K617" s="3" t="s">
        <v>57</v>
      </c>
    </row>
    <row r="618" spans="1:11" ht="42" customHeight="1">
      <c r="A618" s="2" t="s">
        <v>2008</v>
      </c>
      <c r="B618" s="2" t="s">
        <v>2009</v>
      </c>
      <c r="C618" s="2" t="s">
        <v>25</v>
      </c>
      <c r="D618" s="2" t="s">
        <v>26</v>
      </c>
      <c r="E618" s="3" t="s">
        <v>609</v>
      </c>
      <c r="F618" s="3" t="s">
        <v>610</v>
      </c>
      <c r="G618" s="3" t="s">
        <v>2010</v>
      </c>
      <c r="H618" s="2" t="s">
        <v>55</v>
      </c>
      <c r="I618" s="2" t="s">
        <v>2011</v>
      </c>
      <c r="J618" s="3" t="str">
        <f>HYPERLINK("https://www.boe.es/gazeta/dias/1809/11/25/pdfs/GGB-1809-502.pdf#page=1","Abrir facsímil")</f>
        <v>Abrir facsímil</v>
      </c>
      <c r="K618" s="3" t="s">
        <v>57</v>
      </c>
    </row>
    <row r="619" spans="1:11" ht="42" customHeight="1">
      <c r="A619" s="2" t="s">
        <v>2012</v>
      </c>
      <c r="B619" s="2" t="s">
        <v>2012</v>
      </c>
      <c r="C619" s="2" t="s">
        <v>25</v>
      </c>
      <c r="D619" s="2" t="s">
        <v>26</v>
      </c>
      <c r="E619" s="3" t="s">
        <v>387</v>
      </c>
      <c r="F619" s="3" t="s">
        <v>388</v>
      </c>
      <c r="G619" s="3" t="s">
        <v>75</v>
      </c>
      <c r="H619" s="2" t="s">
        <v>55</v>
      </c>
      <c r="I619" s="2" t="s">
        <v>2013</v>
      </c>
      <c r="J619" s="3" t="str">
        <f>HYPERLINK("https://www.boe.es/gazeta/dias/1809/09/26/pdfs/GMD-1809-270.pdf#page=2","Abrir facsímil")</f>
        <v>Abrir facsímil</v>
      </c>
      <c r="K619" s="3" t="s">
        <v>57</v>
      </c>
    </row>
    <row r="620" spans="1:11" ht="42" customHeight="1">
      <c r="A620" s="2" t="s">
        <v>2014</v>
      </c>
      <c r="B620" s="2" t="s">
        <v>2015</v>
      </c>
      <c r="C620" s="2" t="s">
        <v>25</v>
      </c>
      <c r="D620" s="2" t="s">
        <v>18</v>
      </c>
      <c r="E620" s="3" t="s">
        <v>108</v>
      </c>
      <c r="F620" s="3" t="s">
        <v>109</v>
      </c>
      <c r="G620" s="3" t="s">
        <v>110</v>
      </c>
      <c r="H620" s="2" t="s">
        <v>55</v>
      </c>
      <c r="I620" s="2" t="s">
        <v>2016</v>
      </c>
      <c r="J620" s="3" t="str">
        <f>HYPERLINK("https://www.boe.es/gazeta/dias/1809/09/08/pdfs/GMD-1809-252.pdf#page=2","Abrir facsímil")</f>
        <v>Abrir facsímil</v>
      </c>
      <c r="K620" s="3" t="s">
        <v>57</v>
      </c>
    </row>
    <row r="621" spans="1:11" ht="42" customHeight="1">
      <c r="A621" s="2" t="s">
        <v>2017</v>
      </c>
      <c r="B621" s="2" t="s">
        <v>2017</v>
      </c>
      <c r="C621" s="2" t="s">
        <v>25</v>
      </c>
      <c r="D621" s="2" t="s">
        <v>18</v>
      </c>
      <c r="E621" s="3" t="s">
        <v>1603</v>
      </c>
      <c r="F621" s="3" t="s">
        <v>1604</v>
      </c>
      <c r="G621" s="3" t="s">
        <v>62</v>
      </c>
      <c r="H621" s="2" t="s">
        <v>55</v>
      </c>
      <c r="I621" s="2" t="s">
        <v>2018</v>
      </c>
      <c r="J621" s="3" t="str">
        <f>HYPERLINK("https://www.boe.es/gazeta/dias/1809/03/31/pdfs/GGB-1809-14.pdf#page=1","Abrir facsímil")</f>
        <v>Abrir facsímil</v>
      </c>
      <c r="K621" s="3" t="s">
        <v>57</v>
      </c>
    </row>
    <row r="622" spans="1:11" ht="42" customHeight="1">
      <c r="A622" s="2" t="s">
        <v>2019</v>
      </c>
      <c r="B622" s="2" t="s">
        <v>2019</v>
      </c>
      <c r="C622" s="2" t="s">
        <v>25</v>
      </c>
      <c r="D622" s="2" t="s">
        <v>26</v>
      </c>
      <c r="E622" s="3" t="s">
        <v>243</v>
      </c>
      <c r="F622" s="3" t="s">
        <v>352</v>
      </c>
      <c r="G622" s="3" t="s">
        <v>426</v>
      </c>
      <c r="H622" s="2" t="s">
        <v>55</v>
      </c>
      <c r="I622" s="2" t="s">
        <v>2020</v>
      </c>
      <c r="J622" s="3" t="str">
        <f>HYPERLINK("https://www.boe.es/gazeta/dias/1809/02/17/pdfs/GMD-1809-48.pdf#page=1","Abrir facsímil")</f>
        <v>Abrir facsímil</v>
      </c>
      <c r="K622" s="3" t="s">
        <v>57</v>
      </c>
    </row>
    <row r="623" spans="1:11" ht="42" customHeight="1">
      <c r="A623" s="2" t="s">
        <v>2019</v>
      </c>
      <c r="B623" s="2" t="s">
        <v>2019</v>
      </c>
      <c r="C623" s="2" t="s">
        <v>17</v>
      </c>
      <c r="D623" s="2" t="s">
        <v>18</v>
      </c>
      <c r="E623" s="3" t="s">
        <v>1076</v>
      </c>
      <c r="F623" s="3" t="s">
        <v>1645</v>
      </c>
      <c r="G623" s="3" t="s">
        <v>2021</v>
      </c>
      <c r="H623" s="2" t="s">
        <v>55</v>
      </c>
      <c r="I623" s="2" t="s">
        <v>2022</v>
      </c>
      <c r="J623" s="3" t="str">
        <f>HYPERLINK("https://www.boe.es/gazeta/dias/1809/04/13/pdfs/GMD-1809-103.pdf#page=1","Abrir facsímil")</f>
        <v>Abrir facsímil</v>
      </c>
      <c r="K623" s="3" t="s">
        <v>57</v>
      </c>
    </row>
    <row r="624" spans="1:11" ht="42" customHeight="1">
      <c r="A624" s="2" t="s">
        <v>2023</v>
      </c>
      <c r="B624" s="2" t="s">
        <v>2023</v>
      </c>
      <c r="C624" s="2" t="s">
        <v>25</v>
      </c>
      <c r="D624" s="2" t="s">
        <v>18</v>
      </c>
      <c r="E624" s="3" t="s">
        <v>1213</v>
      </c>
      <c r="F624" s="3" t="s">
        <v>1214</v>
      </c>
      <c r="G624" s="3" t="s">
        <v>29</v>
      </c>
      <c r="H624" s="2" t="s">
        <v>55</v>
      </c>
      <c r="I624" s="2" t="s">
        <v>2024</v>
      </c>
      <c r="J624" s="3" t="str">
        <f>HYPERLINK("https://www.boe.es/gazeta/dias/1809/12/20/pdfs/GMD-1809-355.pdf#page=3","Abrir facsímil")</f>
        <v>Abrir facsímil</v>
      </c>
      <c r="K624" s="3" t="s">
        <v>57</v>
      </c>
    </row>
    <row r="625" spans="1:11" ht="42" customHeight="1">
      <c r="A625" s="2" t="s">
        <v>2025</v>
      </c>
      <c r="B625" s="2" t="s">
        <v>2025</v>
      </c>
      <c r="C625" s="2" t="s">
        <v>17</v>
      </c>
      <c r="D625" s="2" t="s">
        <v>18</v>
      </c>
      <c r="E625" s="3" t="s">
        <v>1948</v>
      </c>
      <c r="F625" s="3" t="s">
        <v>1949</v>
      </c>
      <c r="G625" s="3" t="s">
        <v>29</v>
      </c>
      <c r="H625" s="2" t="s">
        <v>55</v>
      </c>
      <c r="I625" s="2" t="s">
        <v>2026</v>
      </c>
      <c r="J625" s="3" t="str">
        <f>HYPERLINK("https://www.boe.es/gazeta/dias/1809/12/23/pdfs/GGB-1809-622.pdf#page=3","Abrir facsímil")</f>
        <v>Abrir facsímil</v>
      </c>
      <c r="K625" s="3" t="s">
        <v>57</v>
      </c>
    </row>
    <row r="626" spans="1:11" ht="42" customHeight="1">
      <c r="A626" s="2" t="s">
        <v>2027</v>
      </c>
      <c r="B626" s="2" t="s">
        <v>2028</v>
      </c>
      <c r="C626" s="2" t="s">
        <v>131</v>
      </c>
      <c r="D626" s="2" t="s">
        <v>18</v>
      </c>
      <c r="E626" s="3" t="s">
        <v>102</v>
      </c>
      <c r="F626" s="3" t="s">
        <v>103</v>
      </c>
      <c r="G626" s="3" t="s">
        <v>1706</v>
      </c>
      <c r="H626" s="2" t="s">
        <v>55</v>
      </c>
      <c r="I626" s="2" t="s">
        <v>2029</v>
      </c>
      <c r="J626" s="3" t="str">
        <f>HYPERLINK("https://www.boe.es/gazeta/dias/1809/09/28/pdfs/GGB-1809-252.pdf#page=5","Abrir facsímil")</f>
        <v>Abrir facsímil</v>
      </c>
      <c r="K626" s="3" t="s">
        <v>57</v>
      </c>
    </row>
    <row r="627" spans="1:11" ht="42" customHeight="1">
      <c r="A627" s="2" t="s">
        <v>2030</v>
      </c>
      <c r="B627" s="2" t="s">
        <v>2031</v>
      </c>
      <c r="C627" s="2" t="s">
        <v>47</v>
      </c>
      <c r="D627" s="2" t="s">
        <v>40</v>
      </c>
      <c r="E627" s="3" t="s">
        <v>645</v>
      </c>
      <c r="F627" s="3" t="s">
        <v>646</v>
      </c>
      <c r="G627" s="3" t="s">
        <v>62</v>
      </c>
      <c r="H627" s="2" t="s">
        <v>55</v>
      </c>
      <c r="I627" s="2" t="s">
        <v>2032</v>
      </c>
      <c r="J627" s="3" t="str">
        <f>HYPERLINK("https://www.boe.es/gazeta/dias/1809/10/04/pdfs/GMD-1809-278.pdf#page=3","Abrir facsímil")</f>
        <v>Abrir facsímil</v>
      </c>
      <c r="K627" s="3" t="s">
        <v>57</v>
      </c>
    </row>
    <row r="628" spans="1:11" ht="42" customHeight="1">
      <c r="A628" s="2" t="s">
        <v>2033</v>
      </c>
      <c r="B628" s="2" t="s">
        <v>2033</v>
      </c>
      <c r="C628" s="2" t="s">
        <v>47</v>
      </c>
      <c r="D628" s="2" t="s">
        <v>18</v>
      </c>
      <c r="E628" s="3" t="s">
        <v>92</v>
      </c>
      <c r="F628" s="3" t="s">
        <v>1383</v>
      </c>
      <c r="G628" s="3" t="s">
        <v>110</v>
      </c>
      <c r="H628" s="2" t="s">
        <v>55</v>
      </c>
      <c r="I628" s="2" t="s">
        <v>2034</v>
      </c>
      <c r="J628" s="3" t="str">
        <f>HYPERLINK("https://www.boe.es/gazeta/dias/1809/05/22/pdfs/GGB-1809-30.pdf#page=4","Abrir facsímil")</f>
        <v>Abrir facsímil</v>
      </c>
      <c r="K628" s="3" t="s">
        <v>57</v>
      </c>
    </row>
    <row r="629" spans="1:11" ht="42" customHeight="1">
      <c r="A629" s="2" t="s">
        <v>2035</v>
      </c>
      <c r="B629" s="2" t="s">
        <v>2035</v>
      </c>
      <c r="C629" s="2" t="s">
        <v>25</v>
      </c>
      <c r="D629" s="2" t="s">
        <v>107</v>
      </c>
      <c r="E629" s="3" t="s">
        <v>445</v>
      </c>
      <c r="F629" s="3" t="s">
        <v>446</v>
      </c>
      <c r="G629" s="3" t="s">
        <v>270</v>
      </c>
      <c r="H629" s="2" t="s">
        <v>55</v>
      </c>
      <c r="I629" s="2" t="s">
        <v>2036</v>
      </c>
      <c r="J629" s="3" t="str">
        <f>HYPERLINK("https://www.boe.es/gazeta/dias/1809/10/01/pdfs/GMD-1809-275.pdf#page=1","Abrir facsímil")</f>
        <v>Abrir facsímil</v>
      </c>
      <c r="K629" s="3" t="s">
        <v>57</v>
      </c>
    </row>
    <row r="630" spans="1:11" ht="42" customHeight="1">
      <c r="A630" s="2" t="s">
        <v>2037</v>
      </c>
      <c r="B630" s="2" t="s">
        <v>2037</v>
      </c>
      <c r="C630" s="2" t="s">
        <v>25</v>
      </c>
      <c r="D630" s="2" t="s">
        <v>18</v>
      </c>
      <c r="E630" s="3" t="s">
        <v>2038</v>
      </c>
      <c r="F630" s="3" t="s">
        <v>2039</v>
      </c>
      <c r="G630" s="3" t="s">
        <v>270</v>
      </c>
      <c r="H630" s="2" t="s">
        <v>55</v>
      </c>
      <c r="I630" s="2" t="s">
        <v>2040</v>
      </c>
      <c r="J630" s="3" t="str">
        <f>HYPERLINK("https://www.boe.es/gazeta/dias/1809/05/07/pdfs/GMD-1809-127.pdf#page=1","Abrir facsímil")</f>
        <v>Abrir facsímil</v>
      </c>
      <c r="K630" s="3" t="s">
        <v>57</v>
      </c>
    </row>
    <row r="631" spans="1:11" ht="42" customHeight="1">
      <c r="A631" s="2" t="s">
        <v>2041</v>
      </c>
      <c r="B631" s="2" t="s">
        <v>2041</v>
      </c>
      <c r="C631" s="2" t="s">
        <v>25</v>
      </c>
      <c r="D631" s="2" t="s">
        <v>107</v>
      </c>
      <c r="E631" s="3" t="s">
        <v>473</v>
      </c>
      <c r="F631" s="3" t="s">
        <v>474</v>
      </c>
      <c r="G631" s="3" t="s">
        <v>62</v>
      </c>
      <c r="H631" s="2" t="s">
        <v>55</v>
      </c>
      <c r="I631" s="2" t="s">
        <v>2042</v>
      </c>
      <c r="J631" s="3" t="str">
        <f>HYPERLINK("https://www.boe.es/gazeta/dias/1809/12/28/pdfs/GMD-1809-363.pdf#page=2","Abrir facsímil")</f>
        <v>Abrir facsímil</v>
      </c>
      <c r="K631" s="3" t="s">
        <v>57</v>
      </c>
    </row>
    <row r="632" spans="1:11" ht="42" customHeight="1">
      <c r="A632" s="2" t="s">
        <v>2043</v>
      </c>
      <c r="B632" s="2" t="s">
        <v>2043</v>
      </c>
      <c r="C632" s="2" t="s">
        <v>25</v>
      </c>
      <c r="D632" s="2" t="s">
        <v>26</v>
      </c>
      <c r="E632" s="3" t="s">
        <v>445</v>
      </c>
      <c r="F632" s="3" t="s">
        <v>446</v>
      </c>
      <c r="G632" s="3" t="s">
        <v>62</v>
      </c>
      <c r="H632" s="2" t="s">
        <v>55</v>
      </c>
      <c r="I632" s="2" t="s">
        <v>2044</v>
      </c>
      <c r="J632" s="3" t="str">
        <f>HYPERLINK("https://www.boe.es/gazeta/dias/1809/10/01/pdfs/GMD-1809-275.pdf#page=2","Abrir facsímil")</f>
        <v>Abrir facsímil</v>
      </c>
      <c r="K632" s="3" t="s">
        <v>57</v>
      </c>
    </row>
    <row r="633" spans="1:11" ht="42" customHeight="1">
      <c r="A633" s="2" t="s">
        <v>2045</v>
      </c>
      <c r="B633" s="2" t="s">
        <v>2045</v>
      </c>
      <c r="C633" s="2" t="s">
        <v>25</v>
      </c>
      <c r="D633" s="2" t="s">
        <v>26</v>
      </c>
      <c r="E633" s="3" t="s">
        <v>449</v>
      </c>
      <c r="F633" s="3" t="s">
        <v>450</v>
      </c>
      <c r="G633" s="3" t="s">
        <v>2046</v>
      </c>
      <c r="H633" s="2" t="s">
        <v>55</v>
      </c>
      <c r="I633" s="2" t="s">
        <v>2047</v>
      </c>
      <c r="J633" s="3" t="str">
        <f>HYPERLINK("https://www.boe.es/gazeta/dias/1809/10/10/pdfs/GGB-1809-302.pdf#page=1","Abrir facsímil")</f>
        <v>Abrir facsímil</v>
      </c>
      <c r="K633" s="3" t="s">
        <v>57</v>
      </c>
    </row>
    <row r="634" spans="1:11" ht="42" customHeight="1">
      <c r="A634" s="2" t="s">
        <v>2048</v>
      </c>
      <c r="B634" s="2" t="s">
        <v>2048</v>
      </c>
      <c r="C634" s="2" t="s">
        <v>131</v>
      </c>
      <c r="D634" s="2" t="s">
        <v>18</v>
      </c>
      <c r="E634" s="3" t="s">
        <v>1053</v>
      </c>
      <c r="F634" s="3" t="s">
        <v>1054</v>
      </c>
      <c r="G634" s="3" t="s">
        <v>234</v>
      </c>
      <c r="H634" s="2" t="s">
        <v>55</v>
      </c>
      <c r="I634" s="2" t="s">
        <v>2049</v>
      </c>
      <c r="J634" s="3" t="str">
        <f>HYPERLINK("https://www.boe.es/gazeta/dias/1809/05/13/pdfs/GMD-1809-133.pdf#page=2","Abrir facsímil")</f>
        <v>Abrir facsímil</v>
      </c>
      <c r="K634" s="3" t="s">
        <v>57</v>
      </c>
    </row>
    <row r="635" spans="1:11" ht="42" customHeight="1">
      <c r="A635" s="2" t="s">
        <v>2050</v>
      </c>
      <c r="B635" s="2" t="s">
        <v>2050</v>
      </c>
      <c r="C635" s="2" t="s">
        <v>25</v>
      </c>
      <c r="D635" s="2" t="s">
        <v>18</v>
      </c>
      <c r="E635" s="3" t="s">
        <v>2051</v>
      </c>
      <c r="F635" s="3" t="s">
        <v>2052</v>
      </c>
      <c r="G635" s="3" t="s">
        <v>110</v>
      </c>
      <c r="H635" s="2" t="s">
        <v>55</v>
      </c>
      <c r="I635" s="2" t="s">
        <v>2053</v>
      </c>
      <c r="J635" s="3" t="str">
        <f>HYPERLINK("https://www.boe.es/gazeta/dias/1809/07/19/pdfs/GMD-1809-200.pdf#page=2","Abrir facsímil")</f>
        <v>Abrir facsímil</v>
      </c>
      <c r="K635" s="3" t="s">
        <v>57</v>
      </c>
    </row>
    <row r="636" spans="1:11" ht="42" customHeight="1">
      <c r="A636" s="2" t="s">
        <v>2054</v>
      </c>
      <c r="B636" s="2" t="s">
        <v>2054</v>
      </c>
      <c r="C636" s="2" t="s">
        <v>131</v>
      </c>
      <c r="D636" s="2" t="s">
        <v>26</v>
      </c>
      <c r="E636" s="3" t="s">
        <v>1948</v>
      </c>
      <c r="F636" s="3" t="s">
        <v>2055</v>
      </c>
      <c r="G636" s="3" t="s">
        <v>2056</v>
      </c>
      <c r="H636" s="2" t="s">
        <v>55</v>
      </c>
      <c r="I636" s="2" t="s">
        <v>2057</v>
      </c>
      <c r="J636" s="3" t="str">
        <f>HYPERLINK("https://www.boe.es/gazeta/dias/1809/12/23/pdfs/GMD-1809-358.pdf#page=1","Abrir facsímil")</f>
        <v>Abrir facsímil</v>
      </c>
      <c r="K636" s="3" t="s">
        <v>57</v>
      </c>
    </row>
    <row r="637" spans="1:11" ht="42" customHeight="1">
      <c r="A637" s="2" t="s">
        <v>2058</v>
      </c>
      <c r="B637" s="2" t="s">
        <v>2059</v>
      </c>
      <c r="C637" s="2" t="s">
        <v>131</v>
      </c>
      <c r="D637" s="2" t="s">
        <v>18</v>
      </c>
      <c r="E637" s="3" t="s">
        <v>2060</v>
      </c>
      <c r="F637" s="3" t="s">
        <v>2061</v>
      </c>
      <c r="G637" s="3" t="s">
        <v>110</v>
      </c>
      <c r="H637" s="2" t="s">
        <v>55</v>
      </c>
      <c r="I637" s="2" t="s">
        <v>2062</v>
      </c>
      <c r="J637" s="3" t="str">
        <f>HYPERLINK("https://www.boe.es/gazeta/dias/1809/07/18/pdfs/GGB-1809-46.pdf#page=12","Abrir facsímil")</f>
        <v>Abrir facsímil</v>
      </c>
      <c r="K637" s="3" t="s">
        <v>57</v>
      </c>
    </row>
    <row r="638" spans="1:11" ht="42" customHeight="1">
      <c r="A638" s="2" t="s">
        <v>2063</v>
      </c>
      <c r="B638" s="2" t="s">
        <v>2063</v>
      </c>
      <c r="C638" s="2" t="s">
        <v>47</v>
      </c>
      <c r="D638" s="2" t="s">
        <v>18</v>
      </c>
      <c r="E638" s="3" t="s">
        <v>1640</v>
      </c>
      <c r="F638" s="3" t="s">
        <v>2064</v>
      </c>
      <c r="G638" s="3" t="s">
        <v>62</v>
      </c>
      <c r="H638" s="2" t="s">
        <v>55</v>
      </c>
      <c r="I638" s="2" t="s">
        <v>2065</v>
      </c>
      <c r="J638" s="3" t="str">
        <f>HYPERLINK("https://www.boe.es/gazeta/dias/1809/01/06/pdfs/GMS-1809-64.pdf#page=2","Abrir facsímil")</f>
        <v>Abrir facsímil</v>
      </c>
      <c r="K638" s="3" t="s">
        <v>57</v>
      </c>
    </row>
    <row r="639" spans="1:11" ht="42" customHeight="1">
      <c r="A639" s="2" t="s">
        <v>2063</v>
      </c>
      <c r="B639" s="2" t="s">
        <v>2063</v>
      </c>
      <c r="C639" s="2" t="s">
        <v>25</v>
      </c>
      <c r="D639" s="2" t="s">
        <v>18</v>
      </c>
      <c r="E639" s="3" t="s">
        <v>1786</v>
      </c>
      <c r="F639" s="3" t="s">
        <v>1787</v>
      </c>
      <c r="G639" s="3" t="s">
        <v>1788</v>
      </c>
      <c r="H639" s="2" t="s">
        <v>55</v>
      </c>
      <c r="I639" s="2" t="s">
        <v>2066</v>
      </c>
      <c r="J639" s="3" t="str">
        <f>HYPERLINK("https://www.boe.es/gazeta/dias/1809/08/24/pdfs/GMD-1809-237.pdf#page=1","Abrir facsímil")</f>
        <v>Abrir facsímil</v>
      </c>
      <c r="K639" s="3" t="s">
        <v>57</v>
      </c>
    </row>
    <row r="640" spans="1:11" ht="42" customHeight="1">
      <c r="A640" s="2" t="s">
        <v>2063</v>
      </c>
      <c r="B640" s="2" t="s">
        <v>2063</v>
      </c>
      <c r="C640" s="2" t="s">
        <v>25</v>
      </c>
      <c r="D640" s="2" t="s">
        <v>18</v>
      </c>
      <c r="E640" s="3" t="s">
        <v>152</v>
      </c>
      <c r="F640" s="3" t="s">
        <v>2067</v>
      </c>
      <c r="G640" s="3" t="s">
        <v>75</v>
      </c>
      <c r="H640" s="2" t="s">
        <v>55</v>
      </c>
      <c r="I640" s="2" t="s">
        <v>2068</v>
      </c>
      <c r="J640" s="3" t="str">
        <f>HYPERLINK("https://www.boe.es/gazeta/dias/1809/08/26/pdfs/GMD-1809-239.pdf#page=2","Abrir facsímil")</f>
        <v>Abrir facsímil</v>
      </c>
      <c r="K640" s="3" t="s">
        <v>57</v>
      </c>
    </row>
    <row r="641" spans="1:11" ht="42" customHeight="1">
      <c r="A641" s="2" t="s">
        <v>2063</v>
      </c>
      <c r="B641" s="2" t="s">
        <v>2063</v>
      </c>
      <c r="C641" s="2" t="s">
        <v>25</v>
      </c>
      <c r="D641" s="2" t="s">
        <v>26</v>
      </c>
      <c r="E641" s="3" t="s">
        <v>118</v>
      </c>
      <c r="F641" s="3" t="s">
        <v>119</v>
      </c>
      <c r="G641" s="3" t="s">
        <v>234</v>
      </c>
      <c r="H641" s="2" t="s">
        <v>55</v>
      </c>
      <c r="I641" s="2" t="s">
        <v>2069</v>
      </c>
      <c r="J641" s="3" t="str">
        <f>HYPERLINK("https://www.boe.es/gazeta/dias/1809/09/07/pdfs/GMD-1809-251.pdf#page=3","Abrir facsímil")</f>
        <v>Abrir facsímil</v>
      </c>
      <c r="K641" s="3" t="s">
        <v>57</v>
      </c>
    </row>
    <row r="642" spans="1:11" ht="42" customHeight="1">
      <c r="A642" s="2" t="s">
        <v>2063</v>
      </c>
      <c r="B642" s="2" t="s">
        <v>2063</v>
      </c>
      <c r="C642" s="2" t="s">
        <v>25</v>
      </c>
      <c r="D642" s="2" t="s">
        <v>18</v>
      </c>
      <c r="E642" s="3" t="s">
        <v>173</v>
      </c>
      <c r="F642" s="3" t="s">
        <v>174</v>
      </c>
      <c r="G642" s="3" t="s">
        <v>816</v>
      </c>
      <c r="H642" s="2" t="s">
        <v>55</v>
      </c>
      <c r="I642" s="2" t="s">
        <v>2070</v>
      </c>
      <c r="J642" s="3" t="str">
        <f>HYPERLINK("https://www.boe.es/gazeta/dias/1809/09/12/pdfs/GGB-1809-182.pdf#page=4","Abrir facsímil")</f>
        <v>Abrir facsímil</v>
      </c>
      <c r="K642" s="3" t="s">
        <v>57</v>
      </c>
    </row>
    <row r="643" spans="1:11" ht="42" customHeight="1">
      <c r="A643" s="2" t="s">
        <v>2071</v>
      </c>
      <c r="B643" s="2" t="s">
        <v>2072</v>
      </c>
      <c r="C643" s="2" t="s">
        <v>17</v>
      </c>
      <c r="D643" s="2" t="s">
        <v>72</v>
      </c>
      <c r="E643" s="3" t="s">
        <v>635</v>
      </c>
      <c r="F643" s="3" t="s">
        <v>2073</v>
      </c>
      <c r="G643" s="3" t="s">
        <v>2074</v>
      </c>
      <c r="H643" s="2" t="s">
        <v>55</v>
      </c>
      <c r="I643" s="2" t="s">
        <v>2075</v>
      </c>
      <c r="J643" s="3" t="str">
        <f>HYPERLINK("https://www.boe.es/gazeta/dias/1809/12/16/pdfs/GGB-H-1809-592.pdf#page=7","Abrir facsímil")</f>
        <v>Abrir facsímil</v>
      </c>
      <c r="K643" s="3" t="s">
        <v>57</v>
      </c>
    </row>
    <row r="644" spans="1:11" ht="42" customHeight="1">
      <c r="A644" s="2" t="s">
        <v>2076</v>
      </c>
      <c r="B644" s="2" t="s">
        <v>2077</v>
      </c>
      <c r="C644" s="2" t="s">
        <v>17</v>
      </c>
      <c r="D644" s="2" t="s">
        <v>80</v>
      </c>
      <c r="E644" s="3" t="s">
        <v>248</v>
      </c>
      <c r="F644" s="3" t="s">
        <v>249</v>
      </c>
      <c r="G644" s="3" t="s">
        <v>169</v>
      </c>
      <c r="H644" s="2" t="s">
        <v>55</v>
      </c>
      <c r="I644" s="2" t="s">
        <v>2078</v>
      </c>
      <c r="J644" s="3" t="str">
        <f>HYPERLINK("https://www.boe.es/gazeta/dias/1809/07/26/pdfs/GGB-1809-48E.pdf#page=11","Abrir facsímil")</f>
        <v>Abrir facsímil</v>
      </c>
      <c r="K644" s="3" t="s">
        <v>57</v>
      </c>
    </row>
    <row r="645" spans="1:11" ht="42" customHeight="1">
      <c r="A645" s="2" t="s">
        <v>2076</v>
      </c>
      <c r="B645" s="2" t="s">
        <v>2077</v>
      </c>
      <c r="C645" s="2" t="s">
        <v>17</v>
      </c>
      <c r="D645" s="2" t="s">
        <v>18</v>
      </c>
      <c r="E645" s="3" t="s">
        <v>33</v>
      </c>
      <c r="F645" s="3" t="s">
        <v>34</v>
      </c>
      <c r="G645" s="3" t="s">
        <v>493</v>
      </c>
      <c r="H645" s="2" t="s">
        <v>55</v>
      </c>
      <c r="I645" s="2" t="s">
        <v>2079</v>
      </c>
      <c r="J645" s="3" t="str">
        <f>HYPERLINK("https://www.boe.es/gazeta/dias/1809/12/19/pdfs/GGB-1809-602.pdf#page=6","Abrir facsímil")</f>
        <v>Abrir facsímil</v>
      </c>
      <c r="K645" s="3" t="s">
        <v>57</v>
      </c>
    </row>
    <row r="646" spans="1:11" ht="42" customHeight="1">
      <c r="A646" s="2" t="s">
        <v>2080</v>
      </c>
      <c r="B646" s="2" t="s">
        <v>2081</v>
      </c>
      <c r="C646" s="2" t="s">
        <v>17</v>
      </c>
      <c r="D646" s="2" t="s">
        <v>18</v>
      </c>
      <c r="E646" s="3" t="s">
        <v>2060</v>
      </c>
      <c r="F646" s="3" t="s">
        <v>2061</v>
      </c>
      <c r="G646" s="3" t="s">
        <v>239</v>
      </c>
      <c r="H646" s="2" t="s">
        <v>55</v>
      </c>
      <c r="I646" s="2" t="s">
        <v>2082</v>
      </c>
      <c r="J646" s="3" t="str">
        <f>HYPERLINK("https://www.boe.es/gazeta/dias/1809/07/18/pdfs/GGB-1809-46.pdf#page=11","Abrir facsímil")</f>
        <v>Abrir facsímil</v>
      </c>
      <c r="K646" s="3" t="s">
        <v>57</v>
      </c>
    </row>
    <row r="647" spans="1:11" ht="42" customHeight="1">
      <c r="A647" s="2" t="s">
        <v>2083</v>
      </c>
      <c r="B647" s="2" t="s">
        <v>2083</v>
      </c>
      <c r="C647" s="2" t="s">
        <v>25</v>
      </c>
      <c r="D647" s="2" t="s">
        <v>18</v>
      </c>
      <c r="E647" s="3" t="s">
        <v>1822</v>
      </c>
      <c r="F647" s="3" t="s">
        <v>1823</v>
      </c>
      <c r="G647" s="3" t="s">
        <v>29</v>
      </c>
      <c r="H647" s="2" t="s">
        <v>55</v>
      </c>
      <c r="I647" s="2" t="s">
        <v>2084</v>
      </c>
      <c r="J647" s="3" t="str">
        <f>HYPERLINK("https://www.boe.es/gazeta/dias/1809/10/11/pdfs/GMD-1809-285.pdf#page=3","Abrir facsímil")</f>
        <v>Abrir facsímil</v>
      </c>
      <c r="K647" s="3" t="s">
        <v>57</v>
      </c>
    </row>
    <row r="648" spans="1:11" ht="42" customHeight="1">
      <c r="A648" s="2" t="s">
        <v>2085</v>
      </c>
      <c r="B648" s="2" t="s">
        <v>2085</v>
      </c>
      <c r="C648" s="2" t="s">
        <v>25</v>
      </c>
      <c r="D648" s="2" t="s">
        <v>72</v>
      </c>
      <c r="E648" s="3" t="s">
        <v>1084</v>
      </c>
      <c r="F648" s="3" t="s">
        <v>2086</v>
      </c>
      <c r="G648" s="3" t="s">
        <v>62</v>
      </c>
      <c r="H648" s="2" t="s">
        <v>55</v>
      </c>
      <c r="I648" s="2" t="s">
        <v>2087</v>
      </c>
      <c r="J648" s="3" t="str">
        <f>HYPERLINK("https://www.boe.es/gazeta/dias/1809/01/01/pdfs/GMD-E-1809-1.pdf#page=4","Abrir facsímil")</f>
        <v>Abrir facsímil</v>
      </c>
      <c r="K648" s="3" t="s">
        <v>57</v>
      </c>
    </row>
    <row r="649" spans="1:11" ht="42" customHeight="1">
      <c r="A649" s="2" t="s">
        <v>2085</v>
      </c>
      <c r="B649" s="2" t="s">
        <v>2085</v>
      </c>
      <c r="C649" s="2" t="s">
        <v>25</v>
      </c>
      <c r="D649" s="2" t="s">
        <v>18</v>
      </c>
      <c r="E649" s="3" t="s">
        <v>1276</v>
      </c>
      <c r="F649" s="3" t="s">
        <v>2088</v>
      </c>
      <c r="G649" s="3" t="s">
        <v>595</v>
      </c>
      <c r="H649" s="2" t="s">
        <v>55</v>
      </c>
      <c r="I649" s="2" t="s">
        <v>2089</v>
      </c>
      <c r="J649" s="3" t="str">
        <f>HYPERLINK("https://www.boe.es/gazeta/dias/1809/01/03/pdfs/GMD-1809-3.pdf#page=7","Abrir facsímil")</f>
        <v>Abrir facsímil</v>
      </c>
      <c r="K649" s="3" t="s">
        <v>57</v>
      </c>
    </row>
    <row r="650" spans="1:11" ht="42" customHeight="1">
      <c r="A650" s="2" t="s">
        <v>2090</v>
      </c>
      <c r="B650" s="2" t="s">
        <v>2090</v>
      </c>
      <c r="C650" s="2" t="s">
        <v>25</v>
      </c>
      <c r="D650" s="2" t="s">
        <v>18</v>
      </c>
      <c r="E650" s="3" t="s">
        <v>421</v>
      </c>
      <c r="F650" s="3" t="s">
        <v>962</v>
      </c>
      <c r="G650" s="3" t="s">
        <v>75</v>
      </c>
      <c r="H650" s="2" t="s">
        <v>55</v>
      </c>
      <c r="I650" s="2" t="s">
        <v>2091</v>
      </c>
      <c r="J650" s="3" t="str">
        <f>HYPERLINK("https://www.boe.es/gazeta/dias/1809/04/28/pdfs/GGB-1809-22.pdf#page=2","Abrir facsímil")</f>
        <v>Abrir facsímil</v>
      </c>
      <c r="K650" s="3" t="s">
        <v>57</v>
      </c>
    </row>
    <row r="651" spans="1:11" ht="42" customHeight="1">
      <c r="A651" s="2" t="s">
        <v>2092</v>
      </c>
      <c r="B651" s="2" t="s">
        <v>2092</v>
      </c>
      <c r="C651" s="2" t="s">
        <v>25</v>
      </c>
      <c r="D651" s="2" t="s">
        <v>18</v>
      </c>
      <c r="E651" s="3" t="s">
        <v>1807</v>
      </c>
      <c r="F651" s="3" t="s">
        <v>1808</v>
      </c>
      <c r="G651" s="3" t="s">
        <v>2093</v>
      </c>
      <c r="H651" s="2" t="s">
        <v>55</v>
      </c>
      <c r="I651" s="2" t="s">
        <v>2094</v>
      </c>
      <c r="J651" s="3" t="str">
        <f>HYPERLINK("https://www.boe.es/gazeta/dias/1809/01/22/pdfs/GMD-1809-22.pdf#page=2","Abrir facsímil")</f>
        <v>Abrir facsímil</v>
      </c>
      <c r="K651" s="3" t="s">
        <v>57</v>
      </c>
    </row>
    <row r="652" spans="1:11" ht="42" customHeight="1">
      <c r="A652" s="2" t="s">
        <v>2092</v>
      </c>
      <c r="B652" s="2" t="s">
        <v>2092</v>
      </c>
      <c r="C652" s="2" t="s">
        <v>25</v>
      </c>
      <c r="D652" s="2" t="s">
        <v>40</v>
      </c>
      <c r="E652" s="3" t="s">
        <v>814</v>
      </c>
      <c r="F652" s="3" t="s">
        <v>2095</v>
      </c>
      <c r="G652" s="3" t="s">
        <v>62</v>
      </c>
      <c r="H652" s="2" t="s">
        <v>55</v>
      </c>
      <c r="I652" s="2" t="s">
        <v>2096</v>
      </c>
      <c r="J652" s="3" t="str">
        <f>HYPERLINK("https://www.boe.es/gazeta/dias/1809/12/09/pdfs/GMD-1809-344.pdf#page=4","Abrir facsímil")</f>
        <v>Abrir facsímil</v>
      </c>
      <c r="K652" s="3" t="s">
        <v>57</v>
      </c>
    </row>
    <row r="653" spans="1:11" ht="42" customHeight="1">
      <c r="A653" s="2" t="s">
        <v>2097</v>
      </c>
      <c r="B653" s="2" t="s">
        <v>2098</v>
      </c>
      <c r="C653" s="2" t="s">
        <v>25</v>
      </c>
      <c r="D653" s="2" t="s">
        <v>18</v>
      </c>
      <c r="E653" s="3" t="s">
        <v>1276</v>
      </c>
      <c r="F653" s="3" t="s">
        <v>2088</v>
      </c>
      <c r="G653" s="3" t="s">
        <v>651</v>
      </c>
      <c r="H653" s="2" t="s">
        <v>55</v>
      </c>
      <c r="I653" s="2" t="s">
        <v>2099</v>
      </c>
      <c r="J653" s="3" t="str">
        <f>HYPERLINK("https://www.boe.es/gazeta/dias/1809/01/03/pdfs/GMD-1809-3.pdf#page=1","Abrir facsímil")</f>
        <v>Abrir facsímil</v>
      </c>
      <c r="K653" s="3" t="s">
        <v>57</v>
      </c>
    </row>
    <row r="654" spans="1:11" ht="42" customHeight="1">
      <c r="A654" s="2" t="s">
        <v>2100</v>
      </c>
      <c r="B654" s="2" t="s">
        <v>2100</v>
      </c>
      <c r="C654" s="2" t="s">
        <v>25</v>
      </c>
      <c r="D654" s="2" t="s">
        <v>107</v>
      </c>
      <c r="E654" s="3" t="s">
        <v>473</v>
      </c>
      <c r="F654" s="3" t="s">
        <v>474</v>
      </c>
      <c r="G654" s="3" t="s">
        <v>62</v>
      </c>
      <c r="H654" s="2" t="s">
        <v>55</v>
      </c>
      <c r="I654" s="2" t="s">
        <v>2101</v>
      </c>
      <c r="J654" s="3" t="str">
        <f>HYPERLINK("https://www.boe.es/gazeta/dias/1809/12/28/pdfs/GMD-1809-363.pdf#page=2","Abrir facsímil")</f>
        <v>Abrir facsímil</v>
      </c>
      <c r="K654" s="3" t="s">
        <v>57</v>
      </c>
    </row>
    <row r="655" spans="1:11" ht="42" customHeight="1">
      <c r="A655" s="2" t="s">
        <v>2102</v>
      </c>
      <c r="B655" s="2" t="s">
        <v>2103</v>
      </c>
      <c r="C655" s="2" t="s">
        <v>17</v>
      </c>
      <c r="D655" s="2" t="s">
        <v>18</v>
      </c>
      <c r="E655" s="3" t="s">
        <v>609</v>
      </c>
      <c r="F655" s="3" t="s">
        <v>610</v>
      </c>
      <c r="G655" s="3" t="s">
        <v>2104</v>
      </c>
      <c r="H655" s="2" t="s">
        <v>55</v>
      </c>
      <c r="I655" s="2" t="s">
        <v>2105</v>
      </c>
      <c r="J655" s="3" t="str">
        <f>HYPERLINK("https://www.boe.es/gazeta/dias/1809/11/25/pdfs/GGB-1809-502.pdf#page=3","Abrir facsímil")</f>
        <v>Abrir facsímil</v>
      </c>
      <c r="K655" s="3" t="s">
        <v>57</v>
      </c>
    </row>
    <row r="656" spans="1:11" ht="42" customHeight="1">
      <c r="A656" s="2" t="s">
        <v>2106</v>
      </c>
      <c r="B656" s="2" t="s">
        <v>2107</v>
      </c>
      <c r="C656" s="2" t="s">
        <v>25</v>
      </c>
      <c r="D656" s="2" t="s">
        <v>72</v>
      </c>
      <c r="E656" s="3" t="s">
        <v>294</v>
      </c>
      <c r="F656" s="3" t="s">
        <v>295</v>
      </c>
      <c r="G656" s="3" t="s">
        <v>154</v>
      </c>
      <c r="H656" s="2" t="s">
        <v>55</v>
      </c>
      <c r="I656" s="2" t="s">
        <v>2108</v>
      </c>
      <c r="J656" s="3" t="str">
        <f>HYPERLINK("https://www.boe.es/gazeta/dias/1809/09/30/pdfs/GGB-H-1809-262.pdf#page=3","Abrir facsímil")</f>
        <v>Abrir facsímil</v>
      </c>
      <c r="K656" s="3" t="s">
        <v>57</v>
      </c>
    </row>
    <row r="657" spans="1:11" ht="42" customHeight="1">
      <c r="A657" s="2" t="s">
        <v>2109</v>
      </c>
      <c r="B657" s="2" t="s">
        <v>2110</v>
      </c>
      <c r="C657" s="2" t="s">
        <v>131</v>
      </c>
      <c r="D657" s="2" t="s">
        <v>107</v>
      </c>
      <c r="E657" s="3" t="s">
        <v>2111</v>
      </c>
      <c r="F657" s="3" t="s">
        <v>2112</v>
      </c>
      <c r="G657" s="3" t="s">
        <v>154</v>
      </c>
      <c r="H657" s="2" t="s">
        <v>55</v>
      </c>
      <c r="I657" s="2" t="s">
        <v>2113</v>
      </c>
      <c r="J657" s="3" t="str">
        <f>HYPERLINK("https://www.boe.es/gazeta/dias/1809/03/05/pdfs/GMD-1809-64.pdf#page=2","Abrir facsímil")</f>
        <v>Abrir facsímil</v>
      </c>
      <c r="K657" s="3" t="s">
        <v>57</v>
      </c>
    </row>
    <row r="658" spans="1:11" ht="42" customHeight="1">
      <c r="A658" s="2" t="s">
        <v>2114</v>
      </c>
      <c r="B658" s="2" t="s">
        <v>2115</v>
      </c>
      <c r="C658" s="2" t="s">
        <v>17</v>
      </c>
      <c r="D658" s="2" t="s">
        <v>18</v>
      </c>
      <c r="E658" s="3" t="s">
        <v>33</v>
      </c>
      <c r="F658" s="3" t="s">
        <v>34</v>
      </c>
      <c r="G658" s="3" t="s">
        <v>493</v>
      </c>
      <c r="H658" s="2" t="s">
        <v>55</v>
      </c>
      <c r="I658" s="2" t="s">
        <v>2116</v>
      </c>
      <c r="J658" s="3" t="str">
        <f>HYPERLINK("https://www.boe.es/gazeta/dias/1809/12/19/pdfs/GGB-1809-602.pdf#page=6","Abrir facsímil")</f>
        <v>Abrir facsímil</v>
      </c>
      <c r="K658" s="3" t="s">
        <v>57</v>
      </c>
    </row>
    <row r="659" spans="1:11" ht="42" customHeight="1">
      <c r="A659" s="2" t="s">
        <v>2117</v>
      </c>
      <c r="B659" s="2" t="s">
        <v>2117</v>
      </c>
      <c r="C659" s="2" t="s">
        <v>25</v>
      </c>
      <c r="D659" s="2" t="s">
        <v>107</v>
      </c>
      <c r="E659" s="3" t="s">
        <v>974</v>
      </c>
      <c r="F659" s="3" t="s">
        <v>975</v>
      </c>
      <c r="G659" s="3" t="s">
        <v>239</v>
      </c>
      <c r="H659" s="2" t="s">
        <v>55</v>
      </c>
      <c r="I659" s="2" t="s">
        <v>2118</v>
      </c>
      <c r="J659" s="3" t="str">
        <f>HYPERLINK("https://www.boe.es/gazeta/dias/1809/11/14/pdfs/GGB-1809-452.pdf#page=3","Abrir facsímil")</f>
        <v>Abrir facsímil</v>
      </c>
      <c r="K659" s="3" t="s">
        <v>57</v>
      </c>
    </row>
    <row r="660" spans="1:11" ht="42" customHeight="1">
      <c r="A660" s="2" t="s">
        <v>2119</v>
      </c>
      <c r="B660" s="2" t="s">
        <v>2119</v>
      </c>
      <c r="C660" s="2" t="s">
        <v>25</v>
      </c>
      <c r="D660" s="2" t="s">
        <v>26</v>
      </c>
      <c r="E660" s="3" t="s">
        <v>1603</v>
      </c>
      <c r="F660" s="3" t="s">
        <v>2120</v>
      </c>
      <c r="G660" s="3" t="s">
        <v>154</v>
      </c>
      <c r="H660" s="2" t="s">
        <v>55</v>
      </c>
      <c r="I660" s="2" t="s">
        <v>2121</v>
      </c>
      <c r="J660" s="3" t="str">
        <f>HYPERLINK("https://www.boe.es/gazeta/dias/1809/03/31/pdfs/GMD-1809-90.pdf#page=2","Abrir facsímil")</f>
        <v>Abrir facsímil</v>
      </c>
      <c r="K660" s="3" t="s">
        <v>57</v>
      </c>
    </row>
    <row r="661" spans="1:11" ht="42" customHeight="1">
      <c r="A661" s="2" t="s">
        <v>2122</v>
      </c>
      <c r="B661" s="2" t="s">
        <v>2122</v>
      </c>
      <c r="C661" s="2" t="s">
        <v>25</v>
      </c>
      <c r="D661" s="2" t="s">
        <v>18</v>
      </c>
      <c r="E661" s="3" t="s">
        <v>92</v>
      </c>
      <c r="F661" s="3" t="s">
        <v>1383</v>
      </c>
      <c r="G661" s="3" t="s">
        <v>374</v>
      </c>
      <c r="H661" s="2" t="s">
        <v>55</v>
      </c>
      <c r="I661" s="2" t="s">
        <v>2123</v>
      </c>
      <c r="J661" s="3" t="str">
        <f>HYPERLINK("https://www.boe.es/gazeta/dias/1809/05/22/pdfs/GGB-1809-30.pdf#page=8","Abrir facsímil")</f>
        <v>Abrir facsímil</v>
      </c>
      <c r="K661" s="3" t="s">
        <v>57</v>
      </c>
    </row>
    <row r="662" spans="1:11" ht="42" customHeight="1">
      <c r="A662" s="2" t="s">
        <v>2124</v>
      </c>
      <c r="B662" s="2" t="s">
        <v>2124</v>
      </c>
      <c r="C662" s="2" t="s">
        <v>25</v>
      </c>
      <c r="D662" s="2" t="s">
        <v>26</v>
      </c>
      <c r="E662" s="3" t="s">
        <v>118</v>
      </c>
      <c r="F662" s="3" t="s">
        <v>2125</v>
      </c>
      <c r="G662" s="3" t="s">
        <v>2126</v>
      </c>
      <c r="H662" s="2" t="s">
        <v>55</v>
      </c>
      <c r="I662" s="2" t="s">
        <v>2127</v>
      </c>
      <c r="J662" s="3" t="str">
        <f>HYPERLINK("https://www.boe.es/gazeta/dias/1809/09/07/pdfs/GGB-1809-162.pdf#page=2","Abrir facsímil")</f>
        <v>Abrir facsímil</v>
      </c>
      <c r="K662" s="3" t="s">
        <v>57</v>
      </c>
    </row>
    <row r="663" spans="1:11" ht="42" customHeight="1">
      <c r="A663" s="2" t="s">
        <v>2128</v>
      </c>
      <c r="B663" s="2" t="s">
        <v>2129</v>
      </c>
      <c r="C663" s="2" t="s">
        <v>17</v>
      </c>
      <c r="D663" s="2" t="s">
        <v>18</v>
      </c>
      <c r="E663" s="3" t="s">
        <v>1468</v>
      </c>
      <c r="F663" s="3" t="s">
        <v>1469</v>
      </c>
      <c r="G663" s="3" t="s">
        <v>104</v>
      </c>
      <c r="H663" s="2" t="s">
        <v>55</v>
      </c>
      <c r="I663" s="2" t="s">
        <v>2130</v>
      </c>
      <c r="J663" s="3" t="str">
        <f>HYPERLINK("https://www.boe.es/gazeta/dias/1809/02/12/pdfs/GMD-1809-43.pdf#page=6","Abrir facsímil")</f>
        <v>Abrir facsímil</v>
      </c>
      <c r="K663" s="3" t="s">
        <v>57</v>
      </c>
    </row>
    <row r="664" spans="1:11" ht="42" customHeight="1">
      <c r="A664" s="2" t="s">
        <v>2131</v>
      </c>
      <c r="B664" s="2" t="s">
        <v>2132</v>
      </c>
      <c r="C664" s="2" t="s">
        <v>17</v>
      </c>
      <c r="D664" s="2" t="s">
        <v>18</v>
      </c>
      <c r="E664" s="3" t="s">
        <v>627</v>
      </c>
      <c r="F664" s="3" t="s">
        <v>628</v>
      </c>
      <c r="G664" s="3" t="s">
        <v>270</v>
      </c>
      <c r="H664" s="2" t="s">
        <v>55</v>
      </c>
      <c r="I664" s="2" t="s">
        <v>2133</v>
      </c>
      <c r="J664" s="3" t="str">
        <f>HYPERLINK("https://www.boe.es/gazeta/dias/1809/08/28/pdfs/GMD-1809-241.pdf#page=3","Abrir facsímil")</f>
        <v>Abrir facsímil</v>
      </c>
      <c r="K664" s="3" t="s">
        <v>57</v>
      </c>
    </row>
    <row r="665" spans="1:11" ht="42" customHeight="1">
      <c r="A665" s="2" t="s">
        <v>2134</v>
      </c>
      <c r="B665" s="2" t="s">
        <v>2135</v>
      </c>
      <c r="C665" s="2" t="s">
        <v>25</v>
      </c>
      <c r="D665" s="2" t="s">
        <v>18</v>
      </c>
      <c r="E665" s="3" t="s">
        <v>1011</v>
      </c>
      <c r="F665" s="3" t="s">
        <v>1012</v>
      </c>
      <c r="G665" s="3" t="s">
        <v>62</v>
      </c>
      <c r="H665" s="2" t="s">
        <v>55</v>
      </c>
      <c r="I665" s="2" t="s">
        <v>2136</v>
      </c>
      <c r="J665" s="3" t="str">
        <f>HYPERLINK("https://www.boe.es/gazeta/dias/1809/08/01/pdfs/GGB-1809-50.pdf#page=7","Abrir facsímil")</f>
        <v>Abrir facsímil</v>
      </c>
      <c r="K665" s="3" t="s">
        <v>57</v>
      </c>
    </row>
    <row r="666" spans="1:11" ht="42" customHeight="1">
      <c r="A666" s="2" t="s">
        <v>2137</v>
      </c>
      <c r="B666" s="2" t="s">
        <v>2137</v>
      </c>
      <c r="C666" s="2" t="s">
        <v>25</v>
      </c>
      <c r="D666" s="2" t="s">
        <v>26</v>
      </c>
      <c r="E666" s="3" t="s">
        <v>327</v>
      </c>
      <c r="F666" s="3" t="s">
        <v>2138</v>
      </c>
      <c r="G666" s="3" t="s">
        <v>2139</v>
      </c>
      <c r="H666" s="2" t="s">
        <v>55</v>
      </c>
      <c r="I666" s="2" t="s">
        <v>2140</v>
      </c>
      <c r="J666" s="3" t="str">
        <f>HYPERLINK("https://www.boe.es/gazeta/dias/1809/09/14/pdfs/GMD-1809-258.pdf#page=1","Abrir facsímil")</f>
        <v>Abrir facsímil</v>
      </c>
      <c r="K666" s="3" t="s">
        <v>57</v>
      </c>
    </row>
    <row r="667" spans="1:11" ht="42" customHeight="1">
      <c r="A667" s="2" t="s">
        <v>2141</v>
      </c>
      <c r="B667" s="2" t="s">
        <v>2141</v>
      </c>
      <c r="C667" s="2" t="s">
        <v>25</v>
      </c>
      <c r="D667" s="2" t="s">
        <v>26</v>
      </c>
      <c r="E667" s="3" t="s">
        <v>2142</v>
      </c>
      <c r="F667" s="3" t="s">
        <v>2143</v>
      </c>
      <c r="G667" s="3" t="s">
        <v>21</v>
      </c>
      <c r="H667" s="2" t="s">
        <v>55</v>
      </c>
      <c r="I667" s="2" t="s">
        <v>2144</v>
      </c>
      <c r="J667" s="3" t="str">
        <f>HYPERLINK("https://www.boe.es/gazeta/dias/1809/03/16/pdfs/GMD-1809-75.pdf#page=3","Abrir facsímil")</f>
        <v>Abrir facsímil</v>
      </c>
      <c r="K667" s="3" t="s">
        <v>57</v>
      </c>
    </row>
    <row r="668" spans="1:11" ht="42" customHeight="1">
      <c r="A668" s="2" t="s">
        <v>2145</v>
      </c>
      <c r="B668" s="2" t="s">
        <v>2146</v>
      </c>
      <c r="C668" s="2" t="s">
        <v>25</v>
      </c>
      <c r="D668" s="2" t="s">
        <v>18</v>
      </c>
      <c r="E668" s="3" t="s">
        <v>73</v>
      </c>
      <c r="F668" s="3" t="s">
        <v>822</v>
      </c>
      <c r="G668" s="3" t="s">
        <v>2147</v>
      </c>
      <c r="H668" s="2" t="s">
        <v>55</v>
      </c>
      <c r="I668" s="2" t="s">
        <v>2148</v>
      </c>
      <c r="J668" s="3" t="str">
        <f>HYPERLINK("https://www.boe.es/gazeta/dias/1809/09/21/pdfs/GGB-1809-222.pdf#page=7","Abrir facsímil")</f>
        <v>Abrir facsímil</v>
      </c>
      <c r="K668" s="3" t="s">
        <v>57</v>
      </c>
    </row>
    <row r="669" spans="1:11" ht="42" customHeight="1">
      <c r="A669" s="2" t="s">
        <v>2149</v>
      </c>
      <c r="B669" s="2" t="s">
        <v>2150</v>
      </c>
      <c r="C669" s="2" t="s">
        <v>25</v>
      </c>
      <c r="D669" s="2" t="s">
        <v>80</v>
      </c>
      <c r="E669" s="3" t="s">
        <v>179</v>
      </c>
      <c r="F669" s="3" t="s">
        <v>180</v>
      </c>
      <c r="G669" s="3" t="s">
        <v>966</v>
      </c>
      <c r="H669" s="2" t="s">
        <v>55</v>
      </c>
      <c r="I669" s="2" t="s">
        <v>2151</v>
      </c>
      <c r="J669" s="3" t="str">
        <f>HYPERLINK("https://www.boe.es/gazeta/dias/1809/12/08/pdfs/GGB-1809-552E.pdf#page=3","Abrir facsímil")</f>
        <v>Abrir facsímil</v>
      </c>
      <c r="K669" s="3" t="s">
        <v>57</v>
      </c>
    </row>
    <row r="670" spans="1:11" ht="42" customHeight="1">
      <c r="A670" s="2" t="s">
        <v>2152</v>
      </c>
      <c r="B670" s="2" t="s">
        <v>2153</v>
      </c>
      <c r="C670" s="2" t="s">
        <v>25</v>
      </c>
      <c r="D670" s="2" t="s">
        <v>26</v>
      </c>
      <c r="E670" s="3" t="s">
        <v>720</v>
      </c>
      <c r="F670" s="3" t="s">
        <v>2154</v>
      </c>
      <c r="G670" s="3" t="s">
        <v>1319</v>
      </c>
      <c r="H670" s="2" t="s">
        <v>55</v>
      </c>
      <c r="I670" s="2" t="s">
        <v>2155</v>
      </c>
      <c r="J670" s="3" t="str">
        <f>HYPERLINK("https://www.boe.es/gazeta/dias/1809/01/27/pdfs/GMD-1809-27.pdf#page=1","Abrir facsímil")</f>
        <v>Abrir facsímil</v>
      </c>
      <c r="K670" s="3" t="s">
        <v>57</v>
      </c>
    </row>
    <row r="671" spans="1:11" ht="42" customHeight="1">
      <c r="A671" s="2" t="s">
        <v>2156</v>
      </c>
      <c r="B671" s="2" t="s">
        <v>2156</v>
      </c>
      <c r="C671" s="2" t="s">
        <v>25</v>
      </c>
      <c r="D671" s="2" t="s">
        <v>26</v>
      </c>
      <c r="E671" s="3" t="s">
        <v>1129</v>
      </c>
      <c r="F671" s="3" t="s">
        <v>1130</v>
      </c>
      <c r="G671" s="3" t="s">
        <v>115</v>
      </c>
      <c r="H671" s="2" t="s">
        <v>55</v>
      </c>
      <c r="I671" s="2" t="s">
        <v>2157</v>
      </c>
      <c r="J671" s="3" t="str">
        <f>HYPERLINK("https://www.boe.es/gazeta/dias/1809/08/17/pdfs/GGB-1809-72.pdf#page=2","Abrir facsímil")</f>
        <v>Abrir facsímil</v>
      </c>
      <c r="K671" s="3" t="s">
        <v>57</v>
      </c>
    </row>
    <row r="672" spans="1:11" ht="42" customHeight="1">
      <c r="A672" s="2" t="s">
        <v>2158</v>
      </c>
      <c r="B672" s="2" t="s">
        <v>2158</v>
      </c>
      <c r="C672" s="2" t="s">
        <v>25</v>
      </c>
      <c r="D672" s="2" t="s">
        <v>18</v>
      </c>
      <c r="E672" s="3" t="s">
        <v>2159</v>
      </c>
      <c r="F672" s="3" t="s">
        <v>2160</v>
      </c>
      <c r="G672" s="3" t="s">
        <v>861</v>
      </c>
      <c r="H672" s="2" t="s">
        <v>55</v>
      </c>
      <c r="I672" s="2" t="s">
        <v>2161</v>
      </c>
      <c r="J672" s="3" t="str">
        <f>HYPERLINK("https://www.boe.es/gazeta/dias/1809/04/09/pdfs/GMD-1809-99.pdf#page=1","Abrir facsímil")</f>
        <v>Abrir facsímil</v>
      </c>
      <c r="K672" s="3" t="s">
        <v>57</v>
      </c>
    </row>
    <row r="673" spans="1:11" ht="42" customHeight="1">
      <c r="A673" s="2" t="s">
        <v>2162</v>
      </c>
      <c r="B673" s="2" t="s">
        <v>2162</v>
      </c>
      <c r="C673" s="2" t="s">
        <v>131</v>
      </c>
      <c r="D673" s="2" t="s">
        <v>26</v>
      </c>
      <c r="E673" s="3" t="s">
        <v>357</v>
      </c>
      <c r="F673" s="3" t="s">
        <v>358</v>
      </c>
      <c r="G673" s="3" t="s">
        <v>396</v>
      </c>
      <c r="H673" s="2" t="s">
        <v>55</v>
      </c>
      <c r="I673" s="2" t="s">
        <v>2163</v>
      </c>
      <c r="J673" s="3" t="str">
        <f>HYPERLINK("https://www.boe.es/gazeta/dias/1809/03/20/pdfs/GMD-1809-79.pdf#page=1","Abrir facsímil")</f>
        <v>Abrir facsímil</v>
      </c>
      <c r="K673" s="3" t="s">
        <v>57</v>
      </c>
    </row>
    <row r="674" spans="1:11" ht="42" customHeight="1">
      <c r="A674" s="2" t="s">
        <v>2164</v>
      </c>
      <c r="B674" s="2" t="s">
        <v>2165</v>
      </c>
      <c r="C674" s="2" t="s">
        <v>17</v>
      </c>
      <c r="D674" s="2" t="s">
        <v>40</v>
      </c>
      <c r="E674" s="3" t="s">
        <v>2166</v>
      </c>
      <c r="F674" s="3" t="s">
        <v>2167</v>
      </c>
      <c r="G674" s="3" t="s">
        <v>396</v>
      </c>
      <c r="H674" s="2" t="s">
        <v>55</v>
      </c>
      <c r="I674" s="2" t="s">
        <v>2168</v>
      </c>
      <c r="J674" s="3" t="str">
        <f>HYPERLINK("https://www.boe.es/gazeta/dias/1809/01/20/pdfs/GGB-1809-4.pdf#page=7","Abrir facsímil")</f>
        <v>Abrir facsímil</v>
      </c>
      <c r="K674" s="3" t="s">
        <v>57</v>
      </c>
    </row>
    <row r="675" spans="1:11" ht="42" customHeight="1">
      <c r="A675" s="2" t="s">
        <v>2169</v>
      </c>
      <c r="B675" s="2" t="s">
        <v>2170</v>
      </c>
      <c r="C675" s="2" t="s">
        <v>17</v>
      </c>
      <c r="D675" s="2" t="s">
        <v>18</v>
      </c>
      <c r="E675" s="3" t="s">
        <v>442</v>
      </c>
      <c r="F675" s="3" t="s">
        <v>2171</v>
      </c>
      <c r="G675" s="3" t="s">
        <v>2172</v>
      </c>
      <c r="H675" s="2" t="s">
        <v>55</v>
      </c>
      <c r="I675" s="2" t="s">
        <v>2173</v>
      </c>
      <c r="J675" s="3" t="str">
        <f>HYPERLINK("https://www.boe.es/gazeta/dias/1809/09/05/pdfs/GMD-1809-249.pdf#page=4","Abrir facsímil")</f>
        <v>Abrir facsímil</v>
      </c>
      <c r="K675" s="3" t="s">
        <v>57</v>
      </c>
    </row>
    <row r="676" spans="1:11" ht="42" customHeight="1">
      <c r="A676" s="2" t="s">
        <v>2174</v>
      </c>
      <c r="B676" s="2" t="s">
        <v>2175</v>
      </c>
      <c r="C676" s="2" t="s">
        <v>2176</v>
      </c>
      <c r="D676" s="2" t="s">
        <v>18</v>
      </c>
      <c r="E676" s="3" t="s">
        <v>720</v>
      </c>
      <c r="F676" s="3" t="s">
        <v>2177</v>
      </c>
      <c r="G676" s="3" t="s">
        <v>270</v>
      </c>
      <c r="H676" s="2" t="s">
        <v>55</v>
      </c>
      <c r="I676" s="2" t="s">
        <v>2178</v>
      </c>
      <c r="J676" s="3" t="str">
        <f>HYPERLINK("https://www.boe.es/gazeta/dias/1809/01/27/pdfs/GGB-1809-5.pdf#page=6","Abrir facsímil")</f>
        <v>Abrir facsímil</v>
      </c>
      <c r="K676" s="3" t="s">
        <v>57</v>
      </c>
    </row>
    <row r="677" spans="1:11" ht="42" customHeight="1">
      <c r="A677" s="2" t="s">
        <v>2179</v>
      </c>
      <c r="B677" s="2" t="s">
        <v>2180</v>
      </c>
      <c r="C677" s="2" t="s">
        <v>17</v>
      </c>
      <c r="D677" s="2" t="s">
        <v>18</v>
      </c>
      <c r="E677" s="3" t="s">
        <v>749</v>
      </c>
      <c r="F677" s="3" t="s">
        <v>750</v>
      </c>
      <c r="G677" s="3" t="s">
        <v>2181</v>
      </c>
      <c r="H677" s="2" t="s">
        <v>55</v>
      </c>
      <c r="I677" s="2" t="s">
        <v>2182</v>
      </c>
      <c r="J677" s="3" t="str">
        <f>HYPERLINK("https://www.boe.es/gazeta/dias/1809/05/19/pdfs/GGB-1809-29.pdf#page=1","Abrir facsímil")</f>
        <v>Abrir facsímil</v>
      </c>
      <c r="K677" s="3" t="s">
        <v>57</v>
      </c>
    </row>
    <row r="678" spans="1:11" ht="42" customHeight="1">
      <c r="A678" s="2" t="s">
        <v>2183</v>
      </c>
      <c r="B678" s="2" t="s">
        <v>2183</v>
      </c>
      <c r="C678" s="2" t="s">
        <v>17</v>
      </c>
      <c r="D678" s="2" t="s">
        <v>18</v>
      </c>
      <c r="E678" s="3" t="s">
        <v>299</v>
      </c>
      <c r="F678" s="3" t="s">
        <v>300</v>
      </c>
      <c r="G678" s="3" t="s">
        <v>693</v>
      </c>
      <c r="H678" s="2" t="s">
        <v>55</v>
      </c>
      <c r="I678" s="2" t="s">
        <v>2184</v>
      </c>
      <c r="J678" s="3" t="str">
        <f>HYPERLINK("https://www.boe.es/gazeta/dias/1809/05/26/pdfs/GGB-1809-31.pdf#page=9","Abrir facsímil")</f>
        <v>Abrir facsímil</v>
      </c>
      <c r="K678" s="3" t="s">
        <v>57</v>
      </c>
    </row>
    <row r="679" spans="1:11" ht="42" customHeight="1">
      <c r="A679" s="2" t="s">
        <v>2185</v>
      </c>
      <c r="B679" s="2" t="s">
        <v>2186</v>
      </c>
      <c r="C679" s="2" t="s">
        <v>17</v>
      </c>
      <c r="D679" s="2" t="s">
        <v>18</v>
      </c>
      <c r="E679" s="3" t="s">
        <v>33</v>
      </c>
      <c r="F679" s="3" t="s">
        <v>34</v>
      </c>
      <c r="G679" s="3" t="s">
        <v>35</v>
      </c>
      <c r="H679" s="2" t="s">
        <v>55</v>
      </c>
      <c r="I679" s="2" t="s">
        <v>2187</v>
      </c>
      <c r="J679" s="3" t="str">
        <f>HYPERLINK("https://www.boe.es/gazeta/dias/1809/12/19/pdfs/GGB-1809-602.pdf#page=5","Abrir facsímil")</f>
        <v>Abrir facsímil</v>
      </c>
      <c r="K679" s="3" t="s">
        <v>57</v>
      </c>
    </row>
    <row r="680" spans="1:11" ht="42" customHeight="1">
      <c r="A680" s="2" t="s">
        <v>2188</v>
      </c>
      <c r="B680" s="2" t="s">
        <v>2189</v>
      </c>
      <c r="C680" s="2" t="s">
        <v>17</v>
      </c>
      <c r="D680" s="2" t="s">
        <v>18</v>
      </c>
      <c r="E680" s="3" t="s">
        <v>102</v>
      </c>
      <c r="F680" s="3" t="s">
        <v>1095</v>
      </c>
      <c r="G680" s="3" t="s">
        <v>29</v>
      </c>
      <c r="H680" s="2" t="s">
        <v>55</v>
      </c>
      <c r="I680" s="2" t="s">
        <v>2190</v>
      </c>
      <c r="J680" s="3" t="str">
        <f>HYPERLINK("https://www.boe.es/gazeta/dias/1809/09/28/pdfs/GMD-1809-272.pdf#page=3","Abrir facsímil")</f>
        <v>Abrir facsímil</v>
      </c>
      <c r="K680" s="3" t="s">
        <v>57</v>
      </c>
    </row>
    <row r="681" spans="1:11" ht="42" customHeight="1">
      <c r="A681" s="2" t="s">
        <v>2191</v>
      </c>
      <c r="B681" s="2" t="s">
        <v>2192</v>
      </c>
      <c r="C681" s="2" t="s">
        <v>25</v>
      </c>
      <c r="D681" s="2" t="s">
        <v>26</v>
      </c>
      <c r="E681" s="3" t="s">
        <v>143</v>
      </c>
      <c r="F681" s="3" t="s">
        <v>705</v>
      </c>
      <c r="G681" s="3" t="s">
        <v>260</v>
      </c>
      <c r="H681" s="2" t="s">
        <v>55</v>
      </c>
      <c r="I681" s="2" t="s">
        <v>2193</v>
      </c>
      <c r="J681" s="3" t="str">
        <f>HYPERLINK("https://www.boe.es/gazeta/dias/1809/11/16/pdfs/GGB-H-1809-462.pdf#page=7","Abrir facsímil")</f>
        <v>Abrir facsímil</v>
      </c>
      <c r="K681" s="3" t="s">
        <v>57</v>
      </c>
    </row>
    <row r="682" spans="1:11" ht="42" customHeight="1">
      <c r="A682" s="2" t="s">
        <v>2194</v>
      </c>
      <c r="B682" s="2" t="s">
        <v>2195</v>
      </c>
      <c r="C682" s="2" t="s">
        <v>47</v>
      </c>
      <c r="D682" s="2" t="s">
        <v>18</v>
      </c>
      <c r="E682" s="3" t="s">
        <v>1598</v>
      </c>
      <c r="F682" s="3" t="s">
        <v>1599</v>
      </c>
      <c r="G682" s="3" t="s">
        <v>1441</v>
      </c>
      <c r="H682" s="2" t="s">
        <v>55</v>
      </c>
      <c r="I682" s="2" t="s">
        <v>2196</v>
      </c>
      <c r="J682" s="3" t="str">
        <f>HYPERLINK("https://www.boe.es/gazeta/dias/1809/01/10/pdfs/GMS-1809-65.pdf#page=8","Abrir facsímil")</f>
        <v>Abrir facsímil</v>
      </c>
      <c r="K682" s="3" t="s">
        <v>57</v>
      </c>
    </row>
    <row r="683" spans="1:11" ht="42" customHeight="1">
      <c r="A683" s="2" t="s">
        <v>2197</v>
      </c>
      <c r="B683" s="2" t="s">
        <v>2198</v>
      </c>
      <c r="C683" s="2" t="s">
        <v>47</v>
      </c>
      <c r="D683" s="2" t="s">
        <v>18</v>
      </c>
      <c r="E683" s="3" t="s">
        <v>2166</v>
      </c>
      <c r="F683" s="3" t="s">
        <v>2167</v>
      </c>
      <c r="G683" s="3" t="s">
        <v>396</v>
      </c>
      <c r="H683" s="2" t="s">
        <v>55</v>
      </c>
      <c r="I683" s="2" t="s">
        <v>2199</v>
      </c>
      <c r="J683" s="3" t="str">
        <f>HYPERLINK("https://www.boe.es/gazeta/dias/1809/01/20/pdfs/GGB-1809-4.pdf#page=7","Abrir facsímil")</f>
        <v>Abrir facsímil</v>
      </c>
      <c r="K683" s="3" t="s">
        <v>57</v>
      </c>
    </row>
    <row r="684" spans="1:11" ht="42" customHeight="1">
      <c r="A684" s="2" t="s">
        <v>2200</v>
      </c>
      <c r="B684" s="2" t="s">
        <v>2201</v>
      </c>
      <c r="C684" s="2" t="s">
        <v>17</v>
      </c>
      <c r="D684" s="2" t="s">
        <v>18</v>
      </c>
      <c r="E684" s="3" t="s">
        <v>530</v>
      </c>
      <c r="F684" s="3" t="s">
        <v>531</v>
      </c>
      <c r="G684" s="3" t="s">
        <v>532</v>
      </c>
      <c r="H684" s="2" t="s">
        <v>55</v>
      </c>
      <c r="I684" s="2" t="s">
        <v>2202</v>
      </c>
      <c r="J684" s="3" t="str">
        <f>HYPERLINK("https://www.boe.es/gazeta/dias/1809/07/10/pdfs/GMD-1809-191.pdf#page=4","Abrir facsímil")</f>
        <v>Abrir facsímil</v>
      </c>
      <c r="K684" s="3" t="s">
        <v>57</v>
      </c>
    </row>
    <row r="685" spans="1:11" ht="42" customHeight="1">
      <c r="A685" s="2" t="s">
        <v>2203</v>
      </c>
      <c r="B685" s="2" t="s">
        <v>2204</v>
      </c>
      <c r="C685" s="2" t="s">
        <v>25</v>
      </c>
      <c r="D685" s="2" t="s">
        <v>18</v>
      </c>
      <c r="E685" s="3" t="s">
        <v>27</v>
      </c>
      <c r="F685" s="3" t="s">
        <v>254</v>
      </c>
      <c r="G685" s="3" t="s">
        <v>239</v>
      </c>
      <c r="H685" s="2" t="s">
        <v>55</v>
      </c>
      <c r="I685" s="2" t="s">
        <v>2205</v>
      </c>
      <c r="J685" s="3" t="str">
        <f>HYPERLINK("https://www.boe.es/gazeta/dias/1809/05/12/pdfs/GGB-1809-26.pdf#page=11","Abrir facsímil")</f>
        <v>Abrir facsímil</v>
      </c>
      <c r="K685" s="3" t="s">
        <v>57</v>
      </c>
    </row>
    <row r="686" spans="1:11" ht="42" customHeight="1">
      <c r="A686" s="2" t="s">
        <v>2206</v>
      </c>
      <c r="B686" s="2" t="s">
        <v>2207</v>
      </c>
      <c r="C686" s="2" t="s">
        <v>131</v>
      </c>
      <c r="D686" s="2" t="s">
        <v>26</v>
      </c>
      <c r="E686" s="3" t="s">
        <v>515</v>
      </c>
      <c r="F686" s="3" t="s">
        <v>516</v>
      </c>
      <c r="G686" s="3" t="s">
        <v>1380</v>
      </c>
      <c r="H686" s="2" t="s">
        <v>55</v>
      </c>
      <c r="I686" s="2" t="s">
        <v>2208</v>
      </c>
      <c r="J686" s="3" t="str">
        <f>HYPERLINK("https://www.boe.es/gazeta/dias/1809/09/02/pdfs/GMD-1809-246.pdf#page=3","Abrir facsímil")</f>
        <v>Abrir facsímil</v>
      </c>
      <c r="K686" s="3" t="s">
        <v>57</v>
      </c>
    </row>
    <row r="687" spans="1:11" ht="42" customHeight="1">
      <c r="A687" s="2" t="s">
        <v>2209</v>
      </c>
      <c r="B687" s="2" t="s">
        <v>2210</v>
      </c>
      <c r="C687" s="2" t="s">
        <v>17</v>
      </c>
      <c r="D687" s="2" t="s">
        <v>18</v>
      </c>
      <c r="E687" s="3" t="s">
        <v>1396</v>
      </c>
      <c r="F687" s="3" t="s">
        <v>1397</v>
      </c>
      <c r="G687" s="3" t="s">
        <v>1398</v>
      </c>
      <c r="H687" s="2" t="s">
        <v>55</v>
      </c>
      <c r="I687" s="2" t="s">
        <v>2211</v>
      </c>
      <c r="J687" s="3" t="str">
        <f>HYPERLINK("https://www.boe.es/gazeta/dias/1809/11/28/pdfs/GGB-1809-512.pdf#page=7","Abrir facsímil")</f>
        <v>Abrir facsímil</v>
      </c>
      <c r="K687" s="3" t="s">
        <v>57</v>
      </c>
    </row>
    <row r="688" spans="1:11" ht="42" customHeight="1">
      <c r="A688" s="2" t="s">
        <v>2212</v>
      </c>
      <c r="B688" s="2" t="s">
        <v>2212</v>
      </c>
      <c r="C688" s="2" t="s">
        <v>17</v>
      </c>
      <c r="D688" s="2" t="s">
        <v>107</v>
      </c>
      <c r="E688" s="3" t="s">
        <v>508</v>
      </c>
      <c r="F688" s="3" t="s">
        <v>509</v>
      </c>
      <c r="G688" s="3" t="s">
        <v>1138</v>
      </c>
      <c r="H688" s="2" t="s">
        <v>55</v>
      </c>
      <c r="I688" s="2" t="s">
        <v>2213</v>
      </c>
      <c r="J688" s="3" t="str">
        <f>HYPERLINK("https://www.boe.es/gazeta/dias/1809/06/21/pdfs/GMD-1809-172.pdf#page=2","Abrir facsímil")</f>
        <v>Abrir facsímil</v>
      </c>
      <c r="K688" s="3" t="s">
        <v>57</v>
      </c>
    </row>
    <row r="689" spans="1:11" ht="42" customHeight="1">
      <c r="A689" s="2" t="s">
        <v>2214</v>
      </c>
      <c r="B689" s="2" t="s">
        <v>2215</v>
      </c>
      <c r="C689" s="2" t="s">
        <v>369</v>
      </c>
      <c r="D689" s="2" t="s">
        <v>40</v>
      </c>
      <c r="E689" s="3" t="s">
        <v>113</v>
      </c>
      <c r="F689" s="3" t="s">
        <v>1982</v>
      </c>
      <c r="G689" s="3" t="s">
        <v>260</v>
      </c>
      <c r="H689" s="2" t="s">
        <v>55</v>
      </c>
      <c r="I689" s="2" t="s">
        <v>2216</v>
      </c>
      <c r="J689" s="3" t="str">
        <f>HYPERLINK("https://www.boe.es/gazeta/dias/1809/04/24/pdfs/GGB-1809-21.pdf#page=12","Abrir facsímil")</f>
        <v>Abrir facsímil</v>
      </c>
      <c r="K689" s="3" t="s">
        <v>57</v>
      </c>
    </row>
    <row r="690" spans="1:11" ht="42" customHeight="1">
      <c r="A690" s="2" t="s">
        <v>2217</v>
      </c>
      <c r="B690" s="2" t="s">
        <v>2217</v>
      </c>
      <c r="C690" s="2" t="s">
        <v>25</v>
      </c>
      <c r="D690" s="2" t="s">
        <v>26</v>
      </c>
      <c r="E690" s="3" t="s">
        <v>2142</v>
      </c>
      <c r="F690" s="3" t="s">
        <v>2143</v>
      </c>
      <c r="G690" s="3" t="s">
        <v>21</v>
      </c>
      <c r="H690" s="2" t="s">
        <v>55</v>
      </c>
      <c r="I690" s="2" t="s">
        <v>2218</v>
      </c>
      <c r="J690" s="3" t="str">
        <f>HYPERLINK("https://www.boe.es/gazeta/dias/1809/03/16/pdfs/GMD-1809-75.pdf#page=3","Abrir facsímil")</f>
        <v>Abrir facsímil</v>
      </c>
      <c r="K690" s="3" t="s">
        <v>57</v>
      </c>
    </row>
    <row r="691" spans="1:11" ht="42" customHeight="1">
      <c r="A691" s="2" t="s">
        <v>2219</v>
      </c>
      <c r="B691" s="2" t="s">
        <v>2220</v>
      </c>
      <c r="C691" s="2" t="s">
        <v>17</v>
      </c>
      <c r="D691" s="2" t="s">
        <v>18</v>
      </c>
      <c r="E691" s="3" t="s">
        <v>73</v>
      </c>
      <c r="F691" s="3" t="s">
        <v>1045</v>
      </c>
      <c r="G691" s="3" t="s">
        <v>89</v>
      </c>
      <c r="H691" s="2" t="s">
        <v>55</v>
      </c>
      <c r="I691" s="2" t="s">
        <v>2221</v>
      </c>
      <c r="J691" s="3" t="str">
        <f>HYPERLINK("https://www.boe.es/gazeta/dias/1809/09/21/pdfs/GMD-1809-265.pdf#page=3","Abrir facsímil")</f>
        <v>Abrir facsímil</v>
      </c>
      <c r="K691" s="3" t="s">
        <v>57</v>
      </c>
    </row>
    <row r="692" spans="1:11" ht="42" customHeight="1">
      <c r="A692" s="2" t="s">
        <v>2222</v>
      </c>
      <c r="B692" s="2" t="s">
        <v>2223</v>
      </c>
      <c r="C692" s="2" t="s">
        <v>17</v>
      </c>
      <c r="D692" s="2" t="s">
        <v>18</v>
      </c>
      <c r="E692" s="3" t="s">
        <v>33</v>
      </c>
      <c r="F692" s="3" t="s">
        <v>34</v>
      </c>
      <c r="G692" s="3" t="s">
        <v>35</v>
      </c>
      <c r="H692" s="2" t="s">
        <v>55</v>
      </c>
      <c r="I692" s="2" t="s">
        <v>2224</v>
      </c>
      <c r="J692" s="3" t="str">
        <f>HYPERLINK("https://www.boe.es/gazeta/dias/1809/12/19/pdfs/GGB-1809-602.pdf#page=5","Abrir facsímil")</f>
        <v>Abrir facsímil</v>
      </c>
      <c r="K692" s="3" t="s">
        <v>57</v>
      </c>
    </row>
    <row r="693" spans="1:11" ht="42" customHeight="1">
      <c r="A693" s="2" t="s">
        <v>2225</v>
      </c>
      <c r="B693" s="2" t="s">
        <v>2226</v>
      </c>
      <c r="C693" s="2" t="s">
        <v>17</v>
      </c>
      <c r="D693" s="2" t="s">
        <v>72</v>
      </c>
      <c r="E693" s="3" t="s">
        <v>243</v>
      </c>
      <c r="F693" s="3" t="s">
        <v>244</v>
      </c>
      <c r="G693" s="3" t="s">
        <v>541</v>
      </c>
      <c r="H693" s="2" t="s">
        <v>55</v>
      </c>
      <c r="I693" s="2" t="s">
        <v>2227</v>
      </c>
      <c r="J693" s="3" t="str">
        <f>HYPERLINK("https://www.boe.es/gazeta/dias/1809/02/17/pdfs/GGB-G-1809-8.pdf#page=8","Abrir facsímil")</f>
        <v>Abrir facsímil</v>
      </c>
      <c r="K693" s="3" t="s">
        <v>57</v>
      </c>
    </row>
    <row r="694" spans="1:11" ht="42" customHeight="1">
      <c r="A694" s="2" t="s">
        <v>2228</v>
      </c>
      <c r="B694" s="2" t="s">
        <v>2229</v>
      </c>
      <c r="C694" s="2" t="s">
        <v>369</v>
      </c>
      <c r="D694" s="2" t="s">
        <v>40</v>
      </c>
      <c r="E694" s="3" t="s">
        <v>2230</v>
      </c>
      <c r="F694" s="3" t="s">
        <v>2231</v>
      </c>
      <c r="G694" s="3" t="s">
        <v>2232</v>
      </c>
      <c r="H694" s="2" t="s">
        <v>55</v>
      </c>
      <c r="I694" s="2" t="s">
        <v>2233</v>
      </c>
      <c r="J694" s="3" t="str">
        <f>HYPERLINK("https://www.boe.es/gazeta/dias/1809/12/10/pdfs/GMD-1809-345.pdf#page=4","Abrir facsímil")</f>
        <v>Abrir facsímil</v>
      </c>
      <c r="K694" s="3" t="s">
        <v>57</v>
      </c>
    </row>
    <row r="695" spans="1:11" ht="42" customHeight="1">
      <c r="A695" s="2" t="s">
        <v>2234</v>
      </c>
      <c r="B695" s="2" t="s">
        <v>2235</v>
      </c>
      <c r="C695" s="2" t="s">
        <v>131</v>
      </c>
      <c r="D695" s="2" t="s">
        <v>26</v>
      </c>
      <c r="E695" s="3" t="s">
        <v>515</v>
      </c>
      <c r="F695" s="3" t="s">
        <v>516</v>
      </c>
      <c r="G695" s="3" t="s">
        <v>1380</v>
      </c>
      <c r="H695" s="2" t="s">
        <v>55</v>
      </c>
      <c r="I695" s="2" t="s">
        <v>2236</v>
      </c>
      <c r="J695" s="3" t="str">
        <f>HYPERLINK("https://www.boe.es/gazeta/dias/1809/09/02/pdfs/GMD-1809-246.pdf#page=3","Abrir facsímil")</f>
        <v>Abrir facsímil</v>
      </c>
      <c r="K695" s="3" t="s">
        <v>57</v>
      </c>
    </row>
    <row r="696" spans="1:11" ht="42" customHeight="1">
      <c r="A696" s="2" t="s">
        <v>2237</v>
      </c>
      <c r="B696" s="2" t="s">
        <v>2238</v>
      </c>
      <c r="C696" s="2" t="s">
        <v>17</v>
      </c>
      <c r="D696" s="2" t="s">
        <v>18</v>
      </c>
      <c r="E696" s="3" t="s">
        <v>33</v>
      </c>
      <c r="F696" s="3" t="s">
        <v>34</v>
      </c>
      <c r="G696" s="3" t="s">
        <v>493</v>
      </c>
      <c r="H696" s="2" t="s">
        <v>55</v>
      </c>
      <c r="I696" s="2" t="s">
        <v>2239</v>
      </c>
      <c r="J696" s="3" t="str">
        <f>HYPERLINK("https://www.boe.es/gazeta/dias/1809/12/19/pdfs/GGB-1809-602.pdf#page=6","Abrir facsímil")</f>
        <v>Abrir facsímil</v>
      </c>
      <c r="K696" s="3" t="s">
        <v>57</v>
      </c>
    </row>
    <row r="697" spans="1:11" ht="42" customHeight="1">
      <c r="A697" s="2" t="s">
        <v>2240</v>
      </c>
      <c r="B697" s="2" t="s">
        <v>2241</v>
      </c>
      <c r="C697" s="2" t="s">
        <v>17</v>
      </c>
      <c r="D697" s="2" t="s">
        <v>18</v>
      </c>
      <c r="E697" s="3" t="s">
        <v>925</v>
      </c>
      <c r="F697" s="3" t="s">
        <v>926</v>
      </c>
      <c r="G697" s="3" t="s">
        <v>270</v>
      </c>
      <c r="H697" s="2" t="s">
        <v>55</v>
      </c>
      <c r="I697" s="2" t="s">
        <v>2242</v>
      </c>
      <c r="J697" s="3" t="str">
        <f>HYPERLINK("https://www.boe.es/gazeta/dias/1809/01/11/pdfs/GGB-1809-2.pdf#page=5","Abrir facsímil")</f>
        <v>Abrir facsímil</v>
      </c>
      <c r="K697" s="3" t="s">
        <v>57</v>
      </c>
    </row>
    <row r="698" spans="1:11" ht="42" customHeight="1">
      <c r="A698" s="2" t="s">
        <v>2240</v>
      </c>
      <c r="B698" s="2" t="s">
        <v>2241</v>
      </c>
      <c r="C698" s="2" t="s">
        <v>17</v>
      </c>
      <c r="D698" s="2" t="s">
        <v>18</v>
      </c>
      <c r="E698" s="3" t="s">
        <v>925</v>
      </c>
      <c r="F698" s="3" t="s">
        <v>926</v>
      </c>
      <c r="G698" s="3" t="s">
        <v>595</v>
      </c>
      <c r="H698" s="2" t="s">
        <v>55</v>
      </c>
      <c r="I698" s="2" t="s">
        <v>2243</v>
      </c>
      <c r="J698" s="3" t="str">
        <f>HYPERLINK("https://www.boe.es/gazeta/dias/1809/01/11/pdfs/GGB-1809-2.pdf#page=7","Abrir facsímil")</f>
        <v>Abrir facsímil</v>
      </c>
      <c r="K698" s="3" t="s">
        <v>57</v>
      </c>
    </row>
    <row r="699" spans="1:11" ht="42" customHeight="1">
      <c r="A699" s="2" t="s">
        <v>2240</v>
      </c>
      <c r="B699" s="2" t="s">
        <v>2241</v>
      </c>
      <c r="C699" s="2" t="s">
        <v>369</v>
      </c>
      <c r="D699" s="2" t="s">
        <v>40</v>
      </c>
      <c r="E699" s="3" t="s">
        <v>2244</v>
      </c>
      <c r="F699" s="3" t="s">
        <v>2245</v>
      </c>
      <c r="G699" s="3" t="s">
        <v>270</v>
      </c>
      <c r="H699" s="2" t="s">
        <v>55</v>
      </c>
      <c r="I699" s="2" t="s">
        <v>2246</v>
      </c>
      <c r="J699" s="3" t="str">
        <f>HYPERLINK("https://www.boe.es/gazeta/dias/1809/03/27/pdfs/GGB-1809-13B.pdf#page=7","Abrir facsímil")</f>
        <v>Abrir facsímil</v>
      </c>
      <c r="K699" s="3" t="s">
        <v>57</v>
      </c>
    </row>
    <row r="700" spans="1:11" ht="42" customHeight="1">
      <c r="A700" s="2" t="s">
        <v>2247</v>
      </c>
      <c r="B700" s="2" t="s">
        <v>2248</v>
      </c>
      <c r="C700" s="2" t="s">
        <v>25</v>
      </c>
      <c r="D700" s="2" t="s">
        <v>26</v>
      </c>
      <c r="E700" s="3" t="s">
        <v>2249</v>
      </c>
      <c r="F700" s="3" t="s">
        <v>2250</v>
      </c>
      <c r="G700" s="3" t="s">
        <v>2251</v>
      </c>
      <c r="H700" s="2" t="s">
        <v>55</v>
      </c>
      <c r="I700" s="2" t="s">
        <v>2252</v>
      </c>
      <c r="J700" s="3" t="str">
        <f>HYPERLINK("https://www.boe.es/gazeta/dias/1809/06/08/pdfs/GMD-1809-159.pdf#page=4","Abrir facsímil")</f>
        <v>Abrir facsímil</v>
      </c>
      <c r="K700" s="3" t="s">
        <v>57</v>
      </c>
    </row>
    <row r="701" spans="1:11" ht="42" customHeight="1">
      <c r="A701" s="2" t="s">
        <v>2253</v>
      </c>
      <c r="B701" s="2" t="s">
        <v>2254</v>
      </c>
      <c r="C701" s="2" t="s">
        <v>369</v>
      </c>
      <c r="D701" s="2" t="s">
        <v>18</v>
      </c>
      <c r="E701" s="3" t="s">
        <v>167</v>
      </c>
      <c r="F701" s="3" t="s">
        <v>168</v>
      </c>
      <c r="G701" s="3" t="s">
        <v>270</v>
      </c>
      <c r="H701" s="2" t="s">
        <v>55</v>
      </c>
      <c r="I701" s="2" t="s">
        <v>2255</v>
      </c>
      <c r="J701" s="3" t="str">
        <f>HYPERLINK("https://www.boe.es/gazeta/dias/1809/06/19/pdfs/GGB-1809-38.pdf#page=12","Abrir facsímil")</f>
        <v>Abrir facsímil</v>
      </c>
      <c r="K701" s="3" t="s">
        <v>57</v>
      </c>
    </row>
    <row r="702" spans="1:11" ht="42" customHeight="1">
      <c r="A702" s="2" t="s">
        <v>2256</v>
      </c>
      <c r="B702" s="2" t="s">
        <v>2257</v>
      </c>
      <c r="C702" s="2" t="s">
        <v>131</v>
      </c>
      <c r="D702" s="2" t="s">
        <v>18</v>
      </c>
      <c r="E702" s="3" t="s">
        <v>933</v>
      </c>
      <c r="F702" s="3" t="s">
        <v>934</v>
      </c>
      <c r="G702" s="3" t="s">
        <v>935</v>
      </c>
      <c r="H702" s="2" t="s">
        <v>55</v>
      </c>
      <c r="I702" s="2" t="s">
        <v>2258</v>
      </c>
      <c r="J702" s="3" t="str">
        <f>HYPERLINK("https://www.boe.es/gazeta/dias/1809/10/28/pdfs/GMD-1809-302.pdf#page=4","Abrir facsímil")</f>
        <v>Abrir facsímil</v>
      </c>
      <c r="K702" s="3" t="s">
        <v>57</v>
      </c>
    </row>
    <row r="703" spans="1:11" ht="42" customHeight="1">
      <c r="A703" s="2" t="s">
        <v>2259</v>
      </c>
      <c r="B703" s="2" t="s">
        <v>2260</v>
      </c>
      <c r="C703" s="2" t="s">
        <v>369</v>
      </c>
      <c r="D703" s="2" t="s">
        <v>18</v>
      </c>
      <c r="E703" s="3" t="s">
        <v>33</v>
      </c>
      <c r="F703" s="3" t="s">
        <v>34</v>
      </c>
      <c r="G703" s="3" t="s">
        <v>595</v>
      </c>
      <c r="H703" s="2" t="s">
        <v>55</v>
      </c>
      <c r="I703" s="2" t="s">
        <v>2261</v>
      </c>
      <c r="J703" s="3" t="str">
        <f>HYPERLINK("https://www.boe.es/gazeta/dias/1809/12/19/pdfs/GGB-1809-602.pdf#page=7","Abrir facsímil")</f>
        <v>Abrir facsímil</v>
      </c>
      <c r="K703" s="3" t="s">
        <v>57</v>
      </c>
    </row>
    <row r="704" spans="1:11" ht="42" customHeight="1">
      <c r="A704" s="2" t="s">
        <v>2262</v>
      </c>
      <c r="B704" s="2" t="s">
        <v>2263</v>
      </c>
      <c r="C704" s="2" t="s">
        <v>17</v>
      </c>
      <c r="D704" s="2" t="s">
        <v>18</v>
      </c>
      <c r="E704" s="3" t="s">
        <v>33</v>
      </c>
      <c r="F704" s="3" t="s">
        <v>34</v>
      </c>
      <c r="G704" s="3" t="s">
        <v>595</v>
      </c>
      <c r="H704" s="2" t="s">
        <v>55</v>
      </c>
      <c r="I704" s="2" t="s">
        <v>2264</v>
      </c>
      <c r="J704" s="3" t="str">
        <f>HYPERLINK("https://www.boe.es/gazeta/dias/1809/12/19/pdfs/GGB-1809-602.pdf#page=7","Abrir facsímil")</f>
        <v>Abrir facsímil</v>
      </c>
      <c r="K704" s="3" t="s">
        <v>57</v>
      </c>
    </row>
    <row r="705" spans="1:11" ht="42" customHeight="1">
      <c r="A705" s="2" t="s">
        <v>2265</v>
      </c>
      <c r="B705" s="2" t="s">
        <v>2266</v>
      </c>
      <c r="C705" s="2" t="s">
        <v>39</v>
      </c>
      <c r="D705" s="2" t="s">
        <v>40</v>
      </c>
      <c r="E705" s="3" t="s">
        <v>548</v>
      </c>
      <c r="F705" s="3" t="s">
        <v>549</v>
      </c>
      <c r="G705" s="3" t="s">
        <v>120</v>
      </c>
      <c r="H705" s="2" t="s">
        <v>55</v>
      </c>
      <c r="I705" s="2" t="s">
        <v>2267</v>
      </c>
      <c r="J705" s="3" t="str">
        <f>HYPERLINK("https://www.boe.es/gazeta/dias/1809/03/12/pdfs/GMD-1809-71.pdf#page=3","Abrir facsímil")</f>
        <v>Abrir facsímil</v>
      </c>
      <c r="K705" s="3" t="s">
        <v>57</v>
      </c>
    </row>
    <row r="706" spans="1:11" ht="42" customHeight="1">
      <c r="A706" s="2" t="s">
        <v>2268</v>
      </c>
      <c r="B706" s="2" t="s">
        <v>2268</v>
      </c>
      <c r="C706" s="2" t="s">
        <v>25</v>
      </c>
      <c r="D706" s="2" t="s">
        <v>26</v>
      </c>
      <c r="E706" s="3" t="s">
        <v>2269</v>
      </c>
      <c r="F706" s="3" t="s">
        <v>2270</v>
      </c>
      <c r="G706" s="3" t="s">
        <v>2271</v>
      </c>
      <c r="H706" s="2" t="s">
        <v>55</v>
      </c>
      <c r="I706" s="2" t="s">
        <v>2272</v>
      </c>
      <c r="J706" s="3" t="str">
        <f>HYPERLINK("https://www.boe.es/gazeta/dias/1809/04/12/pdfs/GMD-1809-102.pdf#page=1","Abrir facsímil")</f>
        <v>Abrir facsímil</v>
      </c>
      <c r="K706" s="3" t="s">
        <v>57</v>
      </c>
    </row>
    <row r="707" spans="1:11" ht="42" customHeight="1">
      <c r="A707" s="2" t="s">
        <v>2273</v>
      </c>
      <c r="B707" s="2" t="s">
        <v>2274</v>
      </c>
      <c r="C707" s="2" t="s">
        <v>2176</v>
      </c>
      <c r="D707" s="2" t="s">
        <v>40</v>
      </c>
      <c r="E707" s="3" t="s">
        <v>635</v>
      </c>
      <c r="F707" s="3" t="s">
        <v>636</v>
      </c>
      <c r="G707" s="3" t="s">
        <v>637</v>
      </c>
      <c r="H707" s="2" t="s">
        <v>55</v>
      </c>
      <c r="I707" s="2" t="s">
        <v>2275</v>
      </c>
      <c r="J707" s="3" t="str">
        <f>HYPERLINK("https://www.boe.es/gazeta/dias/1809/12/16/pdfs/GGB-1809-592.pdf#page=6","Abrir facsímil")</f>
        <v>Abrir facsímil</v>
      </c>
      <c r="K707" s="3" t="s">
        <v>57</v>
      </c>
    </row>
    <row r="708" spans="1:11" ht="42" customHeight="1">
      <c r="A708" s="2" t="s">
        <v>2276</v>
      </c>
      <c r="B708" s="2" t="s">
        <v>2277</v>
      </c>
      <c r="C708" s="2" t="s">
        <v>17</v>
      </c>
      <c r="D708" s="2" t="s">
        <v>18</v>
      </c>
      <c r="E708" s="3" t="s">
        <v>2278</v>
      </c>
      <c r="F708" s="3" t="s">
        <v>2279</v>
      </c>
      <c r="G708" s="3" t="s">
        <v>595</v>
      </c>
      <c r="H708" s="2" t="s">
        <v>55</v>
      </c>
      <c r="I708" s="2" t="s">
        <v>2280</v>
      </c>
      <c r="J708" s="3" t="str">
        <f>HYPERLINK("https://www.boe.es/gazeta/dias/1809/02/19/pdfs/GMD-1809-50.pdf#page=7","Abrir facsímil")</f>
        <v>Abrir facsímil</v>
      </c>
      <c r="K708" s="3" t="s">
        <v>57</v>
      </c>
    </row>
    <row r="709" spans="1:11" ht="42" customHeight="1">
      <c r="A709" s="2" t="s">
        <v>2281</v>
      </c>
      <c r="B709" s="2" t="s">
        <v>2282</v>
      </c>
      <c r="C709" s="2" t="s">
        <v>17</v>
      </c>
      <c r="D709" s="2" t="s">
        <v>18</v>
      </c>
      <c r="E709" s="3" t="s">
        <v>33</v>
      </c>
      <c r="F709" s="3" t="s">
        <v>34</v>
      </c>
      <c r="G709" s="3" t="s">
        <v>493</v>
      </c>
      <c r="H709" s="2" t="s">
        <v>55</v>
      </c>
      <c r="I709" s="2" t="s">
        <v>2283</v>
      </c>
      <c r="J709" s="3" t="str">
        <f>HYPERLINK("https://www.boe.es/gazeta/dias/1809/12/19/pdfs/GGB-1809-602.pdf#page=6","Abrir facsímil")</f>
        <v>Abrir facsímil</v>
      </c>
      <c r="K709" s="3" t="s">
        <v>57</v>
      </c>
    </row>
    <row r="710" spans="1:11" ht="42" customHeight="1">
      <c r="A710" s="2" t="s">
        <v>2281</v>
      </c>
      <c r="B710" s="2" t="s">
        <v>2282</v>
      </c>
      <c r="C710" s="2" t="s">
        <v>369</v>
      </c>
      <c r="D710" s="2" t="s">
        <v>40</v>
      </c>
      <c r="E710" s="3" t="s">
        <v>473</v>
      </c>
      <c r="F710" s="3" t="s">
        <v>1182</v>
      </c>
      <c r="G710" s="3" t="s">
        <v>2284</v>
      </c>
      <c r="H710" s="2" t="s">
        <v>55</v>
      </c>
      <c r="I710" s="2" t="s">
        <v>2285</v>
      </c>
      <c r="J710" s="3" t="str">
        <f>HYPERLINK("https://www.boe.es/gazeta/dias/1809/12/28/pdfs/GGB-1809-642.pdf#page=8","Abrir facsímil")</f>
        <v>Abrir facsímil</v>
      </c>
      <c r="K710" s="3" t="s">
        <v>57</v>
      </c>
    </row>
    <row r="711" spans="1:11" ht="42" customHeight="1">
      <c r="A711" s="2" t="s">
        <v>2286</v>
      </c>
      <c r="B711" s="2" t="s">
        <v>2286</v>
      </c>
      <c r="C711" s="2" t="s">
        <v>25</v>
      </c>
      <c r="D711" s="2" t="s">
        <v>26</v>
      </c>
      <c r="E711" s="3" t="s">
        <v>118</v>
      </c>
      <c r="F711" s="3" t="s">
        <v>819</v>
      </c>
      <c r="G711" s="3" t="s">
        <v>2287</v>
      </c>
      <c r="H711" s="2" t="s">
        <v>55</v>
      </c>
      <c r="I711" s="2" t="s">
        <v>2288</v>
      </c>
      <c r="J711" s="3" t="str">
        <f>HYPERLINK("https://www.boe.es/gazeta/dias/1809/09/07/pdfs/GGB-H-1809-162.pdf#page=7","Abrir facsímil")</f>
        <v>Abrir facsímil</v>
      </c>
      <c r="K711" s="3" t="s">
        <v>57</v>
      </c>
    </row>
    <row r="712" spans="1:11" ht="42" customHeight="1">
      <c r="A712" s="2" t="s">
        <v>2289</v>
      </c>
      <c r="B712" s="2" t="s">
        <v>2290</v>
      </c>
      <c r="C712" s="2" t="s">
        <v>17</v>
      </c>
      <c r="D712" s="2" t="s">
        <v>72</v>
      </c>
      <c r="E712" s="3" t="s">
        <v>864</v>
      </c>
      <c r="F712" s="3" t="s">
        <v>2291</v>
      </c>
      <c r="G712" s="3" t="s">
        <v>2292</v>
      </c>
      <c r="H712" s="2" t="s">
        <v>55</v>
      </c>
      <c r="I712" s="2" t="s">
        <v>2293</v>
      </c>
      <c r="J712" s="3" t="str">
        <f>HYPERLINK("https://www.boe.es/gazeta/dias/1809/08/31/pdfs/GGB-H-1809-132.pdf#page=3","Abrir facsímil")</f>
        <v>Abrir facsímil</v>
      </c>
      <c r="K712" s="3" t="s">
        <v>57</v>
      </c>
    </row>
    <row r="713" spans="1:11" ht="42" customHeight="1">
      <c r="A713" s="2" t="s">
        <v>2294</v>
      </c>
      <c r="B713" s="2" t="s">
        <v>2295</v>
      </c>
      <c r="C713" s="2" t="s">
        <v>17</v>
      </c>
      <c r="D713" s="2" t="s">
        <v>18</v>
      </c>
      <c r="E713" s="3" t="s">
        <v>1786</v>
      </c>
      <c r="F713" s="3" t="s">
        <v>2296</v>
      </c>
      <c r="G713" s="3" t="s">
        <v>2297</v>
      </c>
      <c r="H713" s="2" t="s">
        <v>55</v>
      </c>
      <c r="I713" s="2" t="s">
        <v>2298</v>
      </c>
      <c r="J713" s="3" t="str">
        <f>HYPERLINK("https://www.boe.es/gazeta/dias/1809/08/24/pdfs/GGB-1809-102.pdf#page=6","Abrir facsímil")</f>
        <v>Abrir facsímil</v>
      </c>
      <c r="K713" s="3" t="s">
        <v>57</v>
      </c>
    </row>
    <row r="714" spans="1:11" ht="42" customHeight="1">
      <c r="A714" s="2" t="s">
        <v>2294</v>
      </c>
      <c r="B714" s="2" t="s">
        <v>2295</v>
      </c>
      <c r="C714" s="2" t="s">
        <v>17</v>
      </c>
      <c r="D714" s="2" t="s">
        <v>72</v>
      </c>
      <c r="E714" s="3" t="s">
        <v>695</v>
      </c>
      <c r="F714" s="3" t="s">
        <v>1658</v>
      </c>
      <c r="G714" s="3" t="s">
        <v>1844</v>
      </c>
      <c r="H714" s="2" t="s">
        <v>55</v>
      </c>
      <c r="I714" s="2" t="s">
        <v>2299</v>
      </c>
      <c r="J714" s="3" t="str">
        <f>HYPERLINK("https://www.boe.es/gazeta/dias/1809/10/24/pdfs/GGB-H-1809-362.pdf#page=7","Abrir facsímil")</f>
        <v>Abrir facsímil</v>
      </c>
      <c r="K714" s="3" t="s">
        <v>57</v>
      </c>
    </row>
    <row r="715" spans="1:11" ht="42" customHeight="1">
      <c r="A715" s="2" t="s">
        <v>2294</v>
      </c>
      <c r="B715" s="2" t="s">
        <v>2295</v>
      </c>
      <c r="C715" s="2" t="s">
        <v>17</v>
      </c>
      <c r="D715" s="2" t="s">
        <v>18</v>
      </c>
      <c r="E715" s="3" t="s">
        <v>609</v>
      </c>
      <c r="F715" s="3" t="s">
        <v>610</v>
      </c>
      <c r="G715" s="3" t="s">
        <v>2300</v>
      </c>
      <c r="H715" s="2" t="s">
        <v>55</v>
      </c>
      <c r="I715" s="2" t="s">
        <v>2301</v>
      </c>
      <c r="J715" s="3" t="str">
        <f>HYPERLINK("https://www.boe.es/gazeta/dias/1809/11/25/pdfs/GGB-1809-502.pdf#page=5","Abrir facsímil")</f>
        <v>Abrir facsímil</v>
      </c>
      <c r="K715" s="3" t="s">
        <v>57</v>
      </c>
    </row>
    <row r="716" spans="1:11" ht="42" customHeight="1">
      <c r="A716" s="2" t="s">
        <v>2302</v>
      </c>
      <c r="B716" s="2" t="s">
        <v>2303</v>
      </c>
      <c r="C716" s="2" t="s">
        <v>79</v>
      </c>
      <c r="D716" s="2" t="s">
        <v>18</v>
      </c>
      <c r="E716" s="3" t="s">
        <v>327</v>
      </c>
      <c r="F716" s="3" t="s">
        <v>328</v>
      </c>
      <c r="G716" s="3" t="s">
        <v>329</v>
      </c>
      <c r="H716" s="2" t="s">
        <v>55</v>
      </c>
      <c r="I716" s="2" t="s">
        <v>2304</v>
      </c>
      <c r="J716" s="3" t="str">
        <f>HYPERLINK("https://www.boe.es/gazeta/dias/1809/09/14/pdfs/GGB-1809-192.pdf#page=8","Abrir facsímil")</f>
        <v>Abrir facsímil</v>
      </c>
      <c r="K716" s="3" t="s">
        <v>57</v>
      </c>
    </row>
    <row r="717" spans="1:11" ht="42" customHeight="1">
      <c r="A717" s="2" t="s">
        <v>2305</v>
      </c>
      <c r="B717" s="2" t="s">
        <v>2306</v>
      </c>
      <c r="C717" s="2" t="s">
        <v>17</v>
      </c>
      <c r="D717" s="2" t="s">
        <v>72</v>
      </c>
      <c r="E717" s="3" t="s">
        <v>243</v>
      </c>
      <c r="F717" s="3" t="s">
        <v>244</v>
      </c>
      <c r="G717" s="3" t="s">
        <v>582</v>
      </c>
      <c r="H717" s="2" t="s">
        <v>55</v>
      </c>
      <c r="I717" s="2" t="s">
        <v>2307</v>
      </c>
      <c r="J717" s="3" t="str">
        <f>HYPERLINK("https://www.boe.es/gazeta/dias/1809/02/17/pdfs/GGB-G-1809-8.pdf#page=7","Abrir facsímil")</f>
        <v>Abrir facsímil</v>
      </c>
      <c r="K717" s="3" t="s">
        <v>57</v>
      </c>
    </row>
    <row r="718" spans="1:11" ht="42" customHeight="1">
      <c r="A718" s="2" t="s">
        <v>2308</v>
      </c>
      <c r="B718" s="2" t="s">
        <v>2309</v>
      </c>
      <c r="C718" s="2" t="s">
        <v>17</v>
      </c>
      <c r="D718" s="2" t="s">
        <v>18</v>
      </c>
      <c r="E718" s="3" t="s">
        <v>33</v>
      </c>
      <c r="F718" s="3" t="s">
        <v>34</v>
      </c>
      <c r="G718" s="3" t="s">
        <v>595</v>
      </c>
      <c r="H718" s="2" t="s">
        <v>55</v>
      </c>
      <c r="I718" s="2" t="s">
        <v>2310</v>
      </c>
      <c r="J718" s="3" t="str">
        <f>HYPERLINK("https://www.boe.es/gazeta/dias/1809/12/19/pdfs/GGB-1809-602.pdf#page=7","Abrir facsímil")</f>
        <v>Abrir facsímil</v>
      </c>
      <c r="K718" s="3" t="s">
        <v>57</v>
      </c>
    </row>
    <row r="719" spans="1:11" ht="42" customHeight="1">
      <c r="A719" s="2" t="s">
        <v>2311</v>
      </c>
      <c r="B719" s="2" t="s">
        <v>2311</v>
      </c>
      <c r="C719" s="2" t="s">
        <v>47</v>
      </c>
      <c r="D719" s="2" t="s">
        <v>18</v>
      </c>
      <c r="E719" s="3" t="s">
        <v>1640</v>
      </c>
      <c r="F719" s="3" t="s">
        <v>2064</v>
      </c>
      <c r="G719" s="3" t="s">
        <v>62</v>
      </c>
      <c r="H719" s="2" t="s">
        <v>55</v>
      </c>
      <c r="I719" s="2" t="s">
        <v>2312</v>
      </c>
      <c r="J719" s="3" t="str">
        <f>HYPERLINK("https://www.boe.es/gazeta/dias/1809/01/06/pdfs/GMS-1809-64.pdf#page=2","Abrir facsímil")</f>
        <v>Abrir facsímil</v>
      </c>
      <c r="K719" s="3" t="s">
        <v>57</v>
      </c>
    </row>
    <row r="720" spans="1:11" ht="42" customHeight="1">
      <c r="A720" s="2" t="s">
        <v>2313</v>
      </c>
      <c r="B720" s="2" t="s">
        <v>2314</v>
      </c>
      <c r="C720" s="2" t="s">
        <v>25</v>
      </c>
      <c r="D720" s="2" t="s">
        <v>26</v>
      </c>
      <c r="E720" s="3" t="s">
        <v>635</v>
      </c>
      <c r="F720" s="3" t="s">
        <v>636</v>
      </c>
      <c r="G720" s="3" t="s">
        <v>21</v>
      </c>
      <c r="H720" s="2" t="s">
        <v>55</v>
      </c>
      <c r="I720" s="2" t="s">
        <v>2315</v>
      </c>
      <c r="J720" s="3" t="str">
        <f>HYPERLINK("https://www.boe.es/gazeta/dias/1809/12/16/pdfs/GGB-1809-592.pdf#page=7","Abrir facsímil")</f>
        <v>Abrir facsímil</v>
      </c>
      <c r="K720" s="3" t="s">
        <v>57</v>
      </c>
    </row>
    <row r="721" spans="1:11" ht="42" customHeight="1">
      <c r="A721" s="2" t="s">
        <v>2316</v>
      </c>
      <c r="B721" s="2" t="s">
        <v>2317</v>
      </c>
      <c r="C721" s="2" t="s">
        <v>25</v>
      </c>
      <c r="D721" s="2" t="s">
        <v>26</v>
      </c>
      <c r="E721" s="3" t="s">
        <v>143</v>
      </c>
      <c r="F721" s="3" t="s">
        <v>705</v>
      </c>
      <c r="G721" s="3" t="s">
        <v>110</v>
      </c>
      <c r="H721" s="2" t="s">
        <v>55</v>
      </c>
      <c r="I721" s="2" t="s">
        <v>2318</v>
      </c>
      <c r="J721" s="3" t="str">
        <f>HYPERLINK("https://www.boe.es/gazeta/dias/1809/11/16/pdfs/GGB-H-1809-462.pdf#page=3","Abrir facsímil")</f>
        <v>Abrir facsímil</v>
      </c>
      <c r="K721" s="3" t="s">
        <v>57</v>
      </c>
    </row>
    <row r="722" spans="1:11" ht="42" customHeight="1">
      <c r="A722" s="2" t="s">
        <v>2319</v>
      </c>
      <c r="B722" s="2" t="s">
        <v>2320</v>
      </c>
      <c r="C722" s="2" t="s">
        <v>17</v>
      </c>
      <c r="D722" s="2" t="s">
        <v>72</v>
      </c>
      <c r="E722" s="3" t="s">
        <v>776</v>
      </c>
      <c r="F722" s="3" t="s">
        <v>777</v>
      </c>
      <c r="G722" s="3" t="s">
        <v>736</v>
      </c>
      <c r="H722" s="2" t="s">
        <v>55</v>
      </c>
      <c r="I722" s="2" t="s">
        <v>2321</v>
      </c>
      <c r="J722" s="3" t="str">
        <f>HYPERLINK("https://www.boe.es/gazeta/dias/1809/05/28/pdfs/GMD-E-1809-148.pdf#page=1","Abrir facsímil")</f>
        <v>Abrir facsímil</v>
      </c>
      <c r="K722" s="3" t="s">
        <v>57</v>
      </c>
    </row>
    <row r="723" spans="1:11" ht="42" customHeight="1">
      <c r="A723" s="2" t="s">
        <v>2322</v>
      </c>
      <c r="B723" s="2" t="s">
        <v>2323</v>
      </c>
      <c r="C723" s="2" t="s">
        <v>17</v>
      </c>
      <c r="D723" s="2" t="s">
        <v>72</v>
      </c>
      <c r="E723" s="3" t="s">
        <v>904</v>
      </c>
      <c r="F723" s="3" t="s">
        <v>2324</v>
      </c>
      <c r="G723" s="3" t="s">
        <v>2325</v>
      </c>
      <c r="H723" s="2" t="s">
        <v>55</v>
      </c>
      <c r="I723" s="2" t="s">
        <v>2326</v>
      </c>
      <c r="J723" s="3" t="str">
        <f>HYPERLINK("https://www.boe.es/gazeta/dias/1809/07/07/pdfs/GGB-G-1809-43.pdf#page=2","Abrir facsímil")</f>
        <v>Abrir facsímil</v>
      </c>
      <c r="K723" s="3" t="s">
        <v>57</v>
      </c>
    </row>
    <row r="724" spans="1:11" ht="42" customHeight="1">
      <c r="A724" s="2" t="s">
        <v>2327</v>
      </c>
      <c r="B724" s="2" t="s">
        <v>2327</v>
      </c>
      <c r="C724" s="2" t="s">
        <v>25</v>
      </c>
      <c r="D724" s="2" t="s">
        <v>72</v>
      </c>
      <c r="E724" s="3" t="s">
        <v>289</v>
      </c>
      <c r="F724" s="3" t="s">
        <v>2328</v>
      </c>
      <c r="G724" s="3" t="s">
        <v>186</v>
      </c>
      <c r="H724" s="2" t="s">
        <v>55</v>
      </c>
      <c r="I724" s="2" t="s">
        <v>2329</v>
      </c>
      <c r="J724" s="3" t="str">
        <f>HYPERLINK("https://www.boe.es/gazeta/dias/1809/05/15/pdfs/GGB-G-1809-27.pdf#page=2","Abrir facsímil")</f>
        <v>Abrir facsímil</v>
      </c>
      <c r="K724" s="3" t="s">
        <v>57</v>
      </c>
    </row>
    <row r="725" spans="1:11" ht="42" customHeight="1">
      <c r="A725" s="2" t="s">
        <v>2330</v>
      </c>
      <c r="B725" s="2" t="s">
        <v>2330</v>
      </c>
      <c r="C725" s="2" t="s">
        <v>17</v>
      </c>
      <c r="D725" s="2" t="s">
        <v>18</v>
      </c>
      <c r="E725" s="3" t="s">
        <v>2331</v>
      </c>
      <c r="F725" s="3" t="s">
        <v>2332</v>
      </c>
      <c r="G725" s="3" t="s">
        <v>340</v>
      </c>
      <c r="H725" s="2" t="s">
        <v>55</v>
      </c>
      <c r="I725" s="2" t="s">
        <v>2333</v>
      </c>
      <c r="J725" s="3" t="str">
        <f>HYPERLINK("https://www.boe.es/gazeta/dias/1809/03/22/pdfs/GMD-1809-81.pdf#page=2","Abrir facsímil")</f>
        <v>Abrir facsímil</v>
      </c>
      <c r="K725" s="3" t="s">
        <v>57</v>
      </c>
    </row>
    <row r="726" spans="1:11" ht="42" customHeight="1">
      <c r="A726" s="2" t="s">
        <v>2334</v>
      </c>
      <c r="B726" s="2" t="s">
        <v>2334</v>
      </c>
      <c r="C726" s="2" t="s">
        <v>25</v>
      </c>
      <c r="D726" s="2" t="s">
        <v>80</v>
      </c>
      <c r="E726" s="3" t="s">
        <v>755</v>
      </c>
      <c r="F726" s="3" t="s">
        <v>2335</v>
      </c>
      <c r="G726" s="3" t="s">
        <v>234</v>
      </c>
      <c r="H726" s="2" t="s">
        <v>55</v>
      </c>
      <c r="I726" s="2" t="s">
        <v>2336</v>
      </c>
      <c r="J726" s="3" t="str">
        <f>HYPERLINK("https://www.boe.es/gazeta/dias/1809/05/20/pdfs/GGB-1809-29E2.pdf#page=1","Abrir facsímil")</f>
        <v>Abrir facsímil</v>
      </c>
      <c r="K726" s="3" t="s">
        <v>57</v>
      </c>
    </row>
    <row r="727" spans="1:11" ht="42" customHeight="1">
      <c r="A727" s="2" t="s">
        <v>2334</v>
      </c>
      <c r="B727" s="2" t="s">
        <v>2334</v>
      </c>
      <c r="C727" s="2" t="s">
        <v>25</v>
      </c>
      <c r="D727" s="2" t="s">
        <v>80</v>
      </c>
      <c r="E727" s="3" t="s">
        <v>755</v>
      </c>
      <c r="F727" s="3" t="s">
        <v>2335</v>
      </c>
      <c r="G727" s="3" t="s">
        <v>2337</v>
      </c>
      <c r="H727" s="2" t="s">
        <v>55</v>
      </c>
      <c r="I727" s="2" t="s">
        <v>2338</v>
      </c>
      <c r="J727" s="3" t="str">
        <f>HYPERLINK("https://www.boe.es/gazeta/dias/1809/05/20/pdfs/GGB-1809-29E2.pdf#page=2","Abrir facsímil")</f>
        <v>Abrir facsímil</v>
      </c>
      <c r="K727" s="3" t="s">
        <v>57</v>
      </c>
    </row>
    <row r="728" spans="1:11" ht="42" customHeight="1">
      <c r="A728" s="2" t="s">
        <v>2339</v>
      </c>
      <c r="B728" s="2" t="s">
        <v>2340</v>
      </c>
      <c r="C728" s="2" t="s">
        <v>79</v>
      </c>
      <c r="D728" s="2" t="s">
        <v>18</v>
      </c>
      <c r="E728" s="3" t="s">
        <v>2341</v>
      </c>
      <c r="F728" s="3" t="s">
        <v>2342</v>
      </c>
      <c r="G728" s="3" t="s">
        <v>2343</v>
      </c>
      <c r="H728" s="2" t="s">
        <v>55</v>
      </c>
      <c r="I728" s="2" t="s">
        <v>2344</v>
      </c>
      <c r="J728" s="3" t="str">
        <f>HYPERLINK("https://www.boe.es/gazeta/dias/1809/03/09/pdfs/GMD-1809-68.pdf#page=1","Abrir facsímil")</f>
        <v>Abrir facsímil</v>
      </c>
      <c r="K728" s="3" t="s">
        <v>57</v>
      </c>
    </row>
    <row r="729" spans="1:11" ht="42" customHeight="1">
      <c r="A729" s="2" t="s">
        <v>2345</v>
      </c>
      <c r="B729" s="2" t="s">
        <v>2345</v>
      </c>
      <c r="C729" s="2" t="s">
        <v>25</v>
      </c>
      <c r="D729" s="2" t="s">
        <v>18</v>
      </c>
      <c r="E729" s="3" t="s">
        <v>2346</v>
      </c>
      <c r="F729" s="3" t="s">
        <v>2347</v>
      </c>
      <c r="G729" s="3" t="s">
        <v>29</v>
      </c>
      <c r="H729" s="2" t="s">
        <v>55</v>
      </c>
      <c r="I729" s="2" t="s">
        <v>2348</v>
      </c>
      <c r="J729" s="3" t="str">
        <f>HYPERLINK("https://www.boe.es/gazeta/dias/1809/05/02/pdfs/GMD-1809-122.pdf#page=3","Abrir facsímil")</f>
        <v>Abrir facsímil</v>
      </c>
      <c r="K729" s="3" t="s">
        <v>57</v>
      </c>
    </row>
    <row r="730" spans="1:11" ht="42" customHeight="1">
      <c r="A730" s="2" t="s">
        <v>2349</v>
      </c>
      <c r="B730" s="2" t="s">
        <v>2349</v>
      </c>
      <c r="C730" s="2" t="s">
        <v>25</v>
      </c>
      <c r="D730" s="2" t="s">
        <v>107</v>
      </c>
      <c r="E730" s="3" t="s">
        <v>1608</v>
      </c>
      <c r="F730" s="3" t="s">
        <v>2350</v>
      </c>
      <c r="G730" s="3" t="s">
        <v>270</v>
      </c>
      <c r="H730" s="2" t="s">
        <v>55</v>
      </c>
      <c r="I730" s="2" t="s">
        <v>2351</v>
      </c>
      <c r="J730" s="3" t="str">
        <f>HYPERLINK("https://www.boe.es/gazeta/dias/1809/04/15/pdfs/GMD-1809-105.pdf#page=3","Abrir facsímil")</f>
        <v>Abrir facsímil</v>
      </c>
      <c r="K730" s="3" t="s">
        <v>57</v>
      </c>
    </row>
    <row r="731" spans="1:11" ht="42" customHeight="1">
      <c r="A731" s="2" t="s">
        <v>2352</v>
      </c>
      <c r="B731" s="2" t="s">
        <v>2353</v>
      </c>
      <c r="C731" s="2" t="s">
        <v>131</v>
      </c>
      <c r="D731" s="2" t="s">
        <v>26</v>
      </c>
      <c r="E731" s="3" t="s">
        <v>515</v>
      </c>
      <c r="F731" s="3" t="s">
        <v>516</v>
      </c>
      <c r="G731" s="3" t="s">
        <v>120</v>
      </c>
      <c r="H731" s="2" t="s">
        <v>55</v>
      </c>
      <c r="I731" s="2" t="s">
        <v>2354</v>
      </c>
      <c r="J731" s="3" t="str">
        <f>HYPERLINK("https://www.boe.es/gazeta/dias/1809/09/02/pdfs/GMD-1809-246.pdf#page=2","Abrir facsímil")</f>
        <v>Abrir facsímil</v>
      </c>
      <c r="K731" s="3" t="s">
        <v>57</v>
      </c>
    </row>
    <row r="732" spans="1:11" ht="42" customHeight="1">
      <c r="A732" s="2" t="s">
        <v>2355</v>
      </c>
      <c r="B732" s="2" t="s">
        <v>2356</v>
      </c>
      <c r="C732" s="2" t="s">
        <v>288</v>
      </c>
      <c r="D732" s="2" t="s">
        <v>107</v>
      </c>
      <c r="E732" s="3" t="s">
        <v>500</v>
      </c>
      <c r="F732" s="3" t="s">
        <v>2357</v>
      </c>
      <c r="G732" s="3" t="s">
        <v>115</v>
      </c>
      <c r="H732" s="2" t="s">
        <v>55</v>
      </c>
      <c r="I732" s="2" t="s">
        <v>2358</v>
      </c>
      <c r="J732" s="3" t="str">
        <f>HYPERLINK("https://www.boe.es/gazeta/dias/1809/03/24/pdfs/GGB-1809-13.pdf#page=6","Abrir facsímil")</f>
        <v>Abrir facsímil</v>
      </c>
      <c r="K732" s="3" t="s">
        <v>57</v>
      </c>
    </row>
    <row r="733" spans="1:11" ht="42" customHeight="1">
      <c r="A733" s="2" t="s">
        <v>2359</v>
      </c>
      <c r="B733" s="2" t="s">
        <v>2360</v>
      </c>
      <c r="C733" s="2" t="s">
        <v>39</v>
      </c>
      <c r="D733" s="2" t="s">
        <v>80</v>
      </c>
      <c r="E733" s="3" t="s">
        <v>1891</v>
      </c>
      <c r="F733" s="3" t="s">
        <v>1892</v>
      </c>
      <c r="G733" s="3" t="s">
        <v>623</v>
      </c>
      <c r="H733" s="2" t="s">
        <v>55</v>
      </c>
      <c r="I733" s="2" t="s">
        <v>2361</v>
      </c>
      <c r="J733" s="3" t="str">
        <f>HYPERLINK("https://www.boe.es/gazeta/dias/1809/06/10/pdfs/GGB-1809-35E.pdf#page=6","Abrir facsímil")</f>
        <v>Abrir facsímil</v>
      </c>
      <c r="K733" s="3" t="s">
        <v>57</v>
      </c>
    </row>
    <row r="734" spans="1:11" ht="42" customHeight="1">
      <c r="A734" s="2" t="s">
        <v>2362</v>
      </c>
      <c r="B734" s="2" t="s">
        <v>2362</v>
      </c>
      <c r="C734" s="2" t="s">
        <v>17</v>
      </c>
      <c r="D734" s="2" t="s">
        <v>18</v>
      </c>
      <c r="E734" s="3" t="s">
        <v>1282</v>
      </c>
      <c r="F734" s="3" t="s">
        <v>1743</v>
      </c>
      <c r="G734" s="3" t="s">
        <v>2363</v>
      </c>
      <c r="H734" s="2" t="s">
        <v>55</v>
      </c>
      <c r="I734" s="2" t="s">
        <v>2364</v>
      </c>
      <c r="J734" s="3" t="str">
        <f>HYPERLINK("https://www.boe.es/gazeta/dias/1809/06/26/pdfs/GMD-1809-177.pdf#page=1","Abrir facsímil")</f>
        <v>Abrir facsímil</v>
      </c>
      <c r="K734" s="3" t="s">
        <v>57</v>
      </c>
    </row>
    <row r="735" spans="1:11" ht="42" customHeight="1">
      <c r="A735" s="2" t="s">
        <v>2365</v>
      </c>
      <c r="B735" s="2" t="s">
        <v>2366</v>
      </c>
      <c r="C735" s="2" t="s">
        <v>17</v>
      </c>
      <c r="D735" s="2" t="s">
        <v>18</v>
      </c>
      <c r="E735" s="3" t="s">
        <v>102</v>
      </c>
      <c r="F735" s="3" t="s">
        <v>103</v>
      </c>
      <c r="G735" s="3" t="s">
        <v>1091</v>
      </c>
      <c r="H735" s="2" t="s">
        <v>55</v>
      </c>
      <c r="I735" s="2" t="s">
        <v>2367</v>
      </c>
      <c r="J735" s="3" t="str">
        <f>HYPERLINK("https://www.boe.es/gazeta/dias/1809/09/28/pdfs/GGB-1809-252.pdf#page=6","Abrir facsímil")</f>
        <v>Abrir facsímil</v>
      </c>
      <c r="K735" s="3" t="s">
        <v>57</v>
      </c>
    </row>
    <row r="736" spans="1:11" ht="42" customHeight="1">
      <c r="A736" s="2" t="s">
        <v>2368</v>
      </c>
      <c r="B736" s="2" t="s">
        <v>2369</v>
      </c>
      <c r="C736" s="2" t="s">
        <v>25</v>
      </c>
      <c r="D736" s="2" t="s">
        <v>72</v>
      </c>
      <c r="E736" s="3" t="s">
        <v>1396</v>
      </c>
      <c r="F736" s="3" t="s">
        <v>2370</v>
      </c>
      <c r="G736" s="3" t="s">
        <v>239</v>
      </c>
      <c r="H736" s="2" t="s">
        <v>55</v>
      </c>
      <c r="I736" s="2" t="s">
        <v>2371</v>
      </c>
      <c r="J736" s="3" t="str">
        <f>HYPERLINK("https://www.boe.es/gazeta/dias/1809/11/28/pdfs/GGB-H-1809-512.pdf#page=6","Abrir facsímil")</f>
        <v>Abrir facsímil</v>
      </c>
      <c r="K736" s="3" t="s">
        <v>57</v>
      </c>
    </row>
    <row r="737" spans="1:11" ht="42" customHeight="1">
      <c r="A737" s="2" t="s">
        <v>2372</v>
      </c>
      <c r="B737" s="2" t="s">
        <v>2372</v>
      </c>
      <c r="C737" s="2" t="s">
        <v>17</v>
      </c>
      <c r="D737" s="2" t="s">
        <v>18</v>
      </c>
      <c r="E737" s="3" t="s">
        <v>925</v>
      </c>
      <c r="F737" s="3" t="s">
        <v>926</v>
      </c>
      <c r="G737" s="3" t="s">
        <v>595</v>
      </c>
      <c r="H737" s="2" t="s">
        <v>55</v>
      </c>
      <c r="I737" s="2" t="s">
        <v>2373</v>
      </c>
      <c r="J737" s="3" t="str">
        <f>HYPERLINK("https://www.boe.es/gazeta/dias/1809/01/11/pdfs/GGB-1809-2.pdf#page=7","Abrir facsímil")</f>
        <v>Abrir facsímil</v>
      </c>
      <c r="K737" s="3" t="s">
        <v>57</v>
      </c>
    </row>
    <row r="738" spans="1:11" ht="42" customHeight="1">
      <c r="A738" s="2" t="s">
        <v>2372</v>
      </c>
      <c r="B738" s="2" t="s">
        <v>2372</v>
      </c>
      <c r="C738" s="2" t="s">
        <v>47</v>
      </c>
      <c r="D738" s="2" t="s">
        <v>107</v>
      </c>
      <c r="E738" s="3" t="s">
        <v>720</v>
      </c>
      <c r="F738" s="3" t="s">
        <v>721</v>
      </c>
      <c r="G738" s="3" t="s">
        <v>439</v>
      </c>
      <c r="H738" s="2" t="s">
        <v>55</v>
      </c>
      <c r="I738" s="2" t="s">
        <v>2374</v>
      </c>
      <c r="J738" s="3" t="str">
        <f>HYPERLINK("https://www.boe.es/gazeta/dias/1809/01/27/pdfs/GGB-G-1809-5.pdf#page=3","Abrir facsímil")</f>
        <v>Abrir facsímil</v>
      </c>
      <c r="K738" s="3" t="s">
        <v>57</v>
      </c>
    </row>
    <row r="739" spans="1:11" ht="42" customHeight="1">
      <c r="A739" s="2" t="s">
        <v>2375</v>
      </c>
      <c r="B739" s="2" t="s">
        <v>2375</v>
      </c>
      <c r="C739" s="2" t="s">
        <v>369</v>
      </c>
      <c r="D739" s="2" t="s">
        <v>18</v>
      </c>
      <c r="E739" s="3" t="s">
        <v>523</v>
      </c>
      <c r="F739" s="3" t="s">
        <v>524</v>
      </c>
      <c r="G739" s="3" t="s">
        <v>914</v>
      </c>
      <c r="H739" s="2" t="s">
        <v>55</v>
      </c>
      <c r="I739" s="2" t="s">
        <v>2376</v>
      </c>
      <c r="J739" s="3" t="str">
        <f>HYPERLINK("https://www.boe.es/gazeta/dias/1809/02/14/pdfs/GMD-1809-45.pdf#page=4","Abrir facsímil")</f>
        <v>Abrir facsímil</v>
      </c>
      <c r="K739" s="3" t="s">
        <v>57</v>
      </c>
    </row>
    <row r="740" spans="1:11" ht="42" customHeight="1">
      <c r="A740" s="2" t="s">
        <v>2372</v>
      </c>
      <c r="B740" s="2" t="s">
        <v>2372</v>
      </c>
      <c r="C740" s="2" t="s">
        <v>25</v>
      </c>
      <c r="D740" s="2" t="s">
        <v>26</v>
      </c>
      <c r="E740" s="3" t="s">
        <v>258</v>
      </c>
      <c r="F740" s="3" t="s">
        <v>910</v>
      </c>
      <c r="G740" s="3" t="s">
        <v>693</v>
      </c>
      <c r="H740" s="2" t="s">
        <v>55</v>
      </c>
      <c r="I740" s="2" t="s">
        <v>2377</v>
      </c>
      <c r="J740" s="3" t="str">
        <f>HYPERLINK("https://www.boe.es/gazeta/dias/1809/03/17/pdfs/GGB-1809-12.pdf#page=9","Abrir facsímil")</f>
        <v>Abrir facsímil</v>
      </c>
      <c r="K740" s="3" t="s">
        <v>57</v>
      </c>
    </row>
    <row r="741" spans="1:11" ht="42" customHeight="1">
      <c r="A741" s="2" t="s">
        <v>2372</v>
      </c>
      <c r="B741" s="2" t="s">
        <v>2372</v>
      </c>
      <c r="C741" s="2" t="s">
        <v>25</v>
      </c>
      <c r="D741" s="2" t="s">
        <v>26</v>
      </c>
      <c r="E741" s="3" t="s">
        <v>1753</v>
      </c>
      <c r="F741" s="3" t="s">
        <v>1754</v>
      </c>
      <c r="G741" s="3" t="s">
        <v>154</v>
      </c>
      <c r="H741" s="2" t="s">
        <v>55</v>
      </c>
      <c r="I741" s="2" t="s">
        <v>2378</v>
      </c>
      <c r="J741" s="3" t="str">
        <f>HYPERLINK("https://www.boe.es/gazeta/dias/1809/04/25/pdfs/GMD-1809-115.pdf#page=3","Abrir facsímil")</f>
        <v>Abrir facsímil</v>
      </c>
      <c r="K741" s="3" t="s">
        <v>57</v>
      </c>
    </row>
    <row r="742" spans="1:11" ht="42" customHeight="1">
      <c r="A742" s="2" t="s">
        <v>2372</v>
      </c>
      <c r="B742" s="2" t="s">
        <v>2372</v>
      </c>
      <c r="C742" s="2" t="s">
        <v>25</v>
      </c>
      <c r="D742" s="2" t="s">
        <v>26</v>
      </c>
      <c r="E742" s="3" t="s">
        <v>739</v>
      </c>
      <c r="F742" s="3" t="s">
        <v>740</v>
      </c>
      <c r="G742" s="3" t="s">
        <v>21</v>
      </c>
      <c r="H742" s="2" t="s">
        <v>55</v>
      </c>
      <c r="I742" s="2" t="s">
        <v>2379</v>
      </c>
      <c r="J742" s="3" t="str">
        <f>HYPERLINK("https://www.boe.es/gazeta/dias/1809/05/08/pdfs/GMD-1809-128.pdf#page=3","Abrir facsímil")</f>
        <v>Abrir facsímil</v>
      </c>
      <c r="K742" s="3" t="s">
        <v>57</v>
      </c>
    </row>
    <row r="743" spans="1:11" ht="42" customHeight="1">
      <c r="A743" s="2" t="s">
        <v>2372</v>
      </c>
      <c r="B743" s="2" t="s">
        <v>2372</v>
      </c>
      <c r="C743" s="2" t="s">
        <v>25</v>
      </c>
      <c r="D743" s="2" t="s">
        <v>18</v>
      </c>
      <c r="E743" s="3" t="s">
        <v>1053</v>
      </c>
      <c r="F743" s="3" t="s">
        <v>1054</v>
      </c>
      <c r="G743" s="3" t="s">
        <v>426</v>
      </c>
      <c r="H743" s="2" t="s">
        <v>55</v>
      </c>
      <c r="I743" s="2" t="s">
        <v>2380</v>
      </c>
      <c r="J743" s="3" t="str">
        <f>HYPERLINK("https://www.boe.es/gazeta/dias/1809/05/13/pdfs/GMD-1809-133.pdf#page=5","Abrir facsímil")</f>
        <v>Abrir facsímil</v>
      </c>
      <c r="K743" s="3" t="s">
        <v>57</v>
      </c>
    </row>
    <row r="744" spans="1:11" ht="42" customHeight="1">
      <c r="A744" s="2" t="s">
        <v>2375</v>
      </c>
      <c r="B744" s="2" t="s">
        <v>2375</v>
      </c>
      <c r="C744" s="2" t="s">
        <v>25</v>
      </c>
      <c r="D744" s="2" t="s">
        <v>18</v>
      </c>
      <c r="E744" s="3" t="s">
        <v>2381</v>
      </c>
      <c r="F744" s="3" t="s">
        <v>2382</v>
      </c>
      <c r="G744" s="3" t="s">
        <v>2383</v>
      </c>
      <c r="H744" s="2" t="s">
        <v>55</v>
      </c>
      <c r="I744" s="2" t="s">
        <v>2384</v>
      </c>
      <c r="J744" s="3" t="str">
        <f>HYPERLINK("https://www.boe.es/gazeta/dias/1809/05/14/pdfs/GMD-1809-134.pdf#page=2","Abrir facsímil")</f>
        <v>Abrir facsímil</v>
      </c>
      <c r="K744" s="3" t="s">
        <v>57</v>
      </c>
    </row>
    <row r="745" spans="1:11" ht="42" customHeight="1">
      <c r="A745" s="2" t="s">
        <v>2375</v>
      </c>
      <c r="B745" s="2" t="s">
        <v>2375</v>
      </c>
      <c r="C745" s="2" t="s">
        <v>25</v>
      </c>
      <c r="D745" s="2" t="s">
        <v>26</v>
      </c>
      <c r="E745" s="3" t="s">
        <v>755</v>
      </c>
      <c r="F745" s="3" t="s">
        <v>2335</v>
      </c>
      <c r="G745" s="3" t="s">
        <v>2337</v>
      </c>
      <c r="H745" s="2" t="s">
        <v>55</v>
      </c>
      <c r="I745" s="2" t="s">
        <v>2385</v>
      </c>
      <c r="J745" s="3" t="str">
        <f>HYPERLINK("https://www.boe.es/gazeta/dias/1809/05/20/pdfs/GGB-1809-29E2.pdf#page=2","Abrir facsímil")</f>
        <v>Abrir facsímil</v>
      </c>
      <c r="K745" s="3" t="s">
        <v>57</v>
      </c>
    </row>
    <row r="746" spans="1:11" ht="42" customHeight="1">
      <c r="A746" s="2" t="s">
        <v>2372</v>
      </c>
      <c r="B746" s="2" t="s">
        <v>2372</v>
      </c>
      <c r="C746" s="2" t="s">
        <v>17</v>
      </c>
      <c r="D746" s="2" t="s">
        <v>18</v>
      </c>
      <c r="E746" s="3" t="s">
        <v>758</v>
      </c>
      <c r="F746" s="3" t="s">
        <v>759</v>
      </c>
      <c r="G746" s="3" t="s">
        <v>569</v>
      </c>
      <c r="H746" s="2" t="s">
        <v>55</v>
      </c>
      <c r="I746" s="2" t="s">
        <v>2386</v>
      </c>
      <c r="J746" s="3" t="str">
        <f>HYPERLINK("https://www.boe.es/gazeta/dias/1809/06/01/pdfs/GMD-1809-152.pdf#page=1","Abrir facsímil")</f>
        <v>Abrir facsímil</v>
      </c>
      <c r="K746" s="3" t="s">
        <v>57</v>
      </c>
    </row>
    <row r="747" spans="1:11" ht="42" customHeight="1">
      <c r="A747" s="2" t="s">
        <v>2372</v>
      </c>
      <c r="B747" s="2" t="s">
        <v>2372</v>
      </c>
      <c r="C747" s="2" t="s">
        <v>369</v>
      </c>
      <c r="D747" s="2" t="s">
        <v>107</v>
      </c>
      <c r="E747" s="3" t="s">
        <v>134</v>
      </c>
      <c r="F747" s="3" t="s">
        <v>135</v>
      </c>
      <c r="G747" s="3" t="s">
        <v>29</v>
      </c>
      <c r="H747" s="2" t="s">
        <v>55</v>
      </c>
      <c r="I747" s="2" t="s">
        <v>2387</v>
      </c>
      <c r="J747" s="3" t="str">
        <f>HYPERLINK("https://www.boe.es/gazeta/dias/1809/06/07/pdfs/GMD-1809-158.pdf#page=3","Abrir facsímil")</f>
        <v>Abrir facsímil</v>
      </c>
      <c r="K747" s="3" t="s">
        <v>57</v>
      </c>
    </row>
    <row r="748" spans="1:11" ht="42" customHeight="1">
      <c r="A748" s="2" t="s">
        <v>2375</v>
      </c>
      <c r="B748" s="2" t="s">
        <v>2375</v>
      </c>
      <c r="C748" s="2" t="s">
        <v>25</v>
      </c>
      <c r="D748" s="2" t="s">
        <v>107</v>
      </c>
      <c r="E748" s="3" t="s">
        <v>2388</v>
      </c>
      <c r="F748" s="3" t="s">
        <v>2389</v>
      </c>
      <c r="G748" s="3" t="s">
        <v>270</v>
      </c>
      <c r="H748" s="2" t="s">
        <v>55</v>
      </c>
      <c r="I748" s="2" t="s">
        <v>2390</v>
      </c>
      <c r="J748" s="3" t="str">
        <f>HYPERLINK("https://www.boe.es/gazeta/dias/1809/06/11/pdfs/GMD-1809-162.pdf#page=1","Abrir facsímil")</f>
        <v>Abrir facsímil</v>
      </c>
      <c r="K748" s="3" t="s">
        <v>57</v>
      </c>
    </row>
    <row r="749" spans="1:11" ht="42" customHeight="1">
      <c r="A749" s="2" t="s">
        <v>2372</v>
      </c>
      <c r="B749" s="2" t="s">
        <v>2372</v>
      </c>
      <c r="C749" s="2" t="s">
        <v>17</v>
      </c>
      <c r="D749" s="2" t="s">
        <v>18</v>
      </c>
      <c r="E749" s="3" t="s">
        <v>1560</v>
      </c>
      <c r="F749" s="3" t="s">
        <v>1561</v>
      </c>
      <c r="G749" s="3" t="s">
        <v>154</v>
      </c>
      <c r="H749" s="2" t="s">
        <v>55</v>
      </c>
      <c r="I749" s="2" t="s">
        <v>2391</v>
      </c>
      <c r="J749" s="3" t="str">
        <f>HYPERLINK("https://www.boe.es/gazeta/dias/1809/07/03/pdfs/GMD-1809-184.pdf#page=3","Abrir facsímil")</f>
        <v>Abrir facsímil</v>
      </c>
      <c r="K749" s="3" t="s">
        <v>57</v>
      </c>
    </row>
    <row r="750" spans="1:11" ht="42" customHeight="1">
      <c r="A750" s="2" t="s">
        <v>2375</v>
      </c>
      <c r="B750" s="2" t="s">
        <v>2375</v>
      </c>
      <c r="C750" s="2" t="s">
        <v>2176</v>
      </c>
      <c r="D750" s="2" t="s">
        <v>18</v>
      </c>
      <c r="E750" s="3" t="s">
        <v>512</v>
      </c>
      <c r="F750" s="3" t="s">
        <v>513</v>
      </c>
      <c r="G750" s="3" t="s">
        <v>110</v>
      </c>
      <c r="H750" s="2" t="s">
        <v>55</v>
      </c>
      <c r="I750" s="2" t="s">
        <v>2392</v>
      </c>
      <c r="J750" s="3" t="str">
        <f>HYPERLINK("https://www.boe.es/gazeta/dias/1809/07/06/pdfs/GMD-1809-187.pdf#page=4","Abrir facsímil")</f>
        <v>Abrir facsímil</v>
      </c>
      <c r="K750" s="3" t="s">
        <v>57</v>
      </c>
    </row>
    <row r="751" spans="1:11" ht="42" customHeight="1">
      <c r="A751" s="2" t="s">
        <v>2372</v>
      </c>
      <c r="B751" s="2" t="s">
        <v>2372</v>
      </c>
      <c r="C751" s="2" t="s">
        <v>369</v>
      </c>
      <c r="D751" s="2" t="s">
        <v>18</v>
      </c>
      <c r="E751" s="3" t="s">
        <v>904</v>
      </c>
      <c r="F751" s="3" t="s">
        <v>2393</v>
      </c>
      <c r="G751" s="3" t="s">
        <v>225</v>
      </c>
      <c r="H751" s="2" t="s">
        <v>55</v>
      </c>
      <c r="I751" s="2" t="s">
        <v>2394</v>
      </c>
      <c r="J751" s="3" t="str">
        <f>HYPERLINK("https://www.boe.es/gazeta/dias/1809/07/07/pdfs/GMD-1809-188.pdf#page=4","Abrir facsímil")</f>
        <v>Abrir facsímil</v>
      </c>
      <c r="K751" s="3" t="s">
        <v>57</v>
      </c>
    </row>
    <row r="752" spans="1:11" ht="42" customHeight="1">
      <c r="A752" s="2" t="s">
        <v>2372</v>
      </c>
      <c r="B752" s="2" t="s">
        <v>2372</v>
      </c>
      <c r="C752" s="2" t="s">
        <v>17</v>
      </c>
      <c r="D752" s="2" t="s">
        <v>107</v>
      </c>
      <c r="E752" s="3" t="s">
        <v>2395</v>
      </c>
      <c r="F752" s="3" t="s">
        <v>2396</v>
      </c>
      <c r="G752" s="3" t="s">
        <v>2397</v>
      </c>
      <c r="H752" s="2" t="s">
        <v>55</v>
      </c>
      <c r="I752" s="2" t="s">
        <v>2398</v>
      </c>
      <c r="J752" s="3" t="str">
        <f>HYPERLINK("https://www.boe.es/gazeta/dias/1809/07/14/pdfs/GMD-1809-195.pdf#page=2","Abrir facsímil")</f>
        <v>Abrir facsímil</v>
      </c>
      <c r="K752" s="3" t="s">
        <v>57</v>
      </c>
    </row>
    <row r="753" spans="1:11" ht="42" customHeight="1">
      <c r="A753" s="2" t="s">
        <v>2372</v>
      </c>
      <c r="B753" s="2" t="s">
        <v>2372</v>
      </c>
      <c r="C753" s="2" t="s">
        <v>25</v>
      </c>
      <c r="D753" s="2" t="s">
        <v>107</v>
      </c>
      <c r="E753" s="3" t="s">
        <v>248</v>
      </c>
      <c r="F753" s="3" t="s">
        <v>2399</v>
      </c>
      <c r="G753" s="3" t="s">
        <v>141</v>
      </c>
      <c r="H753" s="2" t="s">
        <v>55</v>
      </c>
      <c r="I753" s="2" t="s">
        <v>2400</v>
      </c>
      <c r="J753" s="3" t="str">
        <f>HYPERLINK("https://www.boe.es/gazeta/dias/1809/07/26/pdfs/GMD-1809-207.pdf#page=2","Abrir facsímil")</f>
        <v>Abrir facsímil</v>
      </c>
      <c r="K753" s="3" t="s">
        <v>57</v>
      </c>
    </row>
    <row r="754" spans="1:11" ht="42" customHeight="1">
      <c r="A754" s="2" t="s">
        <v>2372</v>
      </c>
      <c r="B754" s="2" t="s">
        <v>2372</v>
      </c>
      <c r="C754" s="2" t="s">
        <v>25</v>
      </c>
      <c r="D754" s="2" t="s">
        <v>107</v>
      </c>
      <c r="E754" s="3" t="s">
        <v>1288</v>
      </c>
      <c r="F754" s="3" t="s">
        <v>2401</v>
      </c>
      <c r="G754" s="3" t="s">
        <v>2402</v>
      </c>
      <c r="H754" s="2" t="s">
        <v>55</v>
      </c>
      <c r="I754" s="2" t="s">
        <v>2403</v>
      </c>
      <c r="J754" s="3" t="str">
        <f>HYPERLINK("https://www.boe.es/gazeta/dias/1809/07/28/pdfs/GMD-1809-210.pdf#page=2","Abrir facsímil")</f>
        <v>Abrir facsímil</v>
      </c>
      <c r="K754" s="3" t="s">
        <v>57</v>
      </c>
    </row>
    <row r="755" spans="1:11" ht="42" customHeight="1">
      <c r="A755" s="2" t="s">
        <v>2372</v>
      </c>
      <c r="B755" s="2" t="s">
        <v>2372</v>
      </c>
      <c r="C755" s="2" t="s">
        <v>17</v>
      </c>
      <c r="D755" s="2" t="s">
        <v>18</v>
      </c>
      <c r="E755" s="3" t="s">
        <v>1129</v>
      </c>
      <c r="F755" s="3" t="s">
        <v>1507</v>
      </c>
      <c r="G755" s="3" t="s">
        <v>1508</v>
      </c>
      <c r="H755" s="2" t="s">
        <v>55</v>
      </c>
      <c r="I755" s="2" t="s">
        <v>2404</v>
      </c>
      <c r="J755" s="3" t="str">
        <f>HYPERLINK("https://www.boe.es/gazeta/dias/1809/08/17/pdfs/GMD-1809-230.pdf#page=3","Abrir facsímil")</f>
        <v>Abrir facsímil</v>
      </c>
      <c r="K755" s="3" t="s">
        <v>57</v>
      </c>
    </row>
    <row r="756" spans="1:11" ht="42" customHeight="1">
      <c r="A756" s="2" t="s">
        <v>2372</v>
      </c>
      <c r="B756" s="2" t="s">
        <v>2372</v>
      </c>
      <c r="C756" s="2" t="s">
        <v>25</v>
      </c>
      <c r="D756" s="2" t="s">
        <v>26</v>
      </c>
      <c r="E756" s="3" t="s">
        <v>1779</v>
      </c>
      <c r="F756" s="3" t="s">
        <v>1780</v>
      </c>
      <c r="G756" s="3" t="s">
        <v>2405</v>
      </c>
      <c r="H756" s="2" t="s">
        <v>55</v>
      </c>
      <c r="I756" s="2" t="s">
        <v>2406</v>
      </c>
      <c r="J756" s="3" t="str">
        <f>HYPERLINK("https://www.boe.es/gazeta/dias/1809/08/22/pdfs/GGB-1809-92.pdf#page=4","Abrir facsímil")</f>
        <v>Abrir facsímil</v>
      </c>
      <c r="K756" s="3" t="s">
        <v>57</v>
      </c>
    </row>
    <row r="757" spans="1:11" ht="42" customHeight="1">
      <c r="A757" s="2" t="s">
        <v>2372</v>
      </c>
      <c r="B757" s="2" t="s">
        <v>2372</v>
      </c>
      <c r="C757" s="2" t="s">
        <v>25</v>
      </c>
      <c r="D757" s="2" t="s">
        <v>26</v>
      </c>
      <c r="E757" s="3" t="s">
        <v>152</v>
      </c>
      <c r="F757" s="3" t="s">
        <v>153</v>
      </c>
      <c r="G757" s="3" t="s">
        <v>362</v>
      </c>
      <c r="H757" s="2" t="s">
        <v>55</v>
      </c>
      <c r="I757" s="2" t="s">
        <v>2407</v>
      </c>
      <c r="J757" s="3" t="str">
        <f>HYPERLINK("https://www.boe.es/gazeta/dias/1809/08/26/pdfs/GGB-1809-112.pdf#page=3","Abrir facsímil")</f>
        <v>Abrir facsímil</v>
      </c>
      <c r="K757" s="3" t="s">
        <v>57</v>
      </c>
    </row>
    <row r="758" spans="1:11" ht="42" customHeight="1">
      <c r="A758" s="2" t="s">
        <v>2372</v>
      </c>
      <c r="B758" s="2" t="s">
        <v>2372</v>
      </c>
      <c r="C758" s="2" t="s">
        <v>47</v>
      </c>
      <c r="D758" s="2" t="s">
        <v>18</v>
      </c>
      <c r="E758" s="3" t="s">
        <v>2408</v>
      </c>
      <c r="F758" s="3" t="s">
        <v>2409</v>
      </c>
      <c r="G758" s="3" t="s">
        <v>1935</v>
      </c>
      <c r="H758" s="2" t="s">
        <v>55</v>
      </c>
      <c r="I758" s="2" t="s">
        <v>2410</v>
      </c>
      <c r="J758" s="3" t="str">
        <f>HYPERLINK("https://www.boe.es/gazeta/dias/1809/09/20/pdfs/GMD-1809-264.pdf#page=1","Abrir facsímil")</f>
        <v>Abrir facsímil</v>
      </c>
      <c r="K758" s="3" t="s">
        <v>57</v>
      </c>
    </row>
    <row r="759" spans="1:11" ht="42" customHeight="1">
      <c r="A759" s="2" t="s">
        <v>2372</v>
      </c>
      <c r="B759" s="2" t="s">
        <v>2372</v>
      </c>
      <c r="C759" s="2" t="s">
        <v>25</v>
      </c>
      <c r="D759" s="2" t="s">
        <v>26</v>
      </c>
      <c r="E759" s="3" t="s">
        <v>147</v>
      </c>
      <c r="F759" s="3" t="s">
        <v>2411</v>
      </c>
      <c r="G759" s="3" t="s">
        <v>110</v>
      </c>
      <c r="H759" s="2" t="s">
        <v>55</v>
      </c>
      <c r="I759" s="2" t="s">
        <v>2412</v>
      </c>
      <c r="J759" s="3" t="str">
        <f>HYPERLINK("https://www.boe.es/gazeta/dias/1809/10/07/pdfs/GMD-1809-281.pdf#page=3","Abrir facsímil")</f>
        <v>Abrir facsímil</v>
      </c>
      <c r="K759" s="3" t="s">
        <v>57</v>
      </c>
    </row>
    <row r="760" spans="1:11" ht="42" customHeight="1">
      <c r="A760" s="2" t="s">
        <v>2372</v>
      </c>
      <c r="B760" s="2" t="s">
        <v>2372</v>
      </c>
      <c r="C760" s="2" t="s">
        <v>25</v>
      </c>
      <c r="D760" s="2" t="s">
        <v>18</v>
      </c>
      <c r="E760" s="3" t="s">
        <v>211</v>
      </c>
      <c r="F760" s="3" t="s">
        <v>212</v>
      </c>
      <c r="G760" s="3" t="s">
        <v>29</v>
      </c>
      <c r="H760" s="2" t="s">
        <v>55</v>
      </c>
      <c r="I760" s="2" t="s">
        <v>2413</v>
      </c>
      <c r="J760" s="3" t="str">
        <f>HYPERLINK("https://www.boe.es/gazeta/dias/1809/10/27/pdfs/GMD-1809-301.pdf#page=3","Abrir facsímil")</f>
        <v>Abrir facsímil</v>
      </c>
      <c r="K760" s="3" t="s">
        <v>57</v>
      </c>
    </row>
    <row r="761" spans="1:11" ht="42" customHeight="1">
      <c r="A761" s="2" t="s">
        <v>2372</v>
      </c>
      <c r="B761" s="2" t="s">
        <v>2372</v>
      </c>
      <c r="C761" s="2" t="s">
        <v>25</v>
      </c>
      <c r="D761" s="2" t="s">
        <v>18</v>
      </c>
      <c r="E761" s="3" t="s">
        <v>2414</v>
      </c>
      <c r="F761" s="3" t="s">
        <v>2415</v>
      </c>
      <c r="G761" s="3" t="s">
        <v>110</v>
      </c>
      <c r="H761" s="2" t="s">
        <v>55</v>
      </c>
      <c r="I761" s="2" t="s">
        <v>2416</v>
      </c>
      <c r="J761" s="3" t="str">
        <f>HYPERLINK("https://www.boe.es/gazeta/dias/1809/11/18/pdfs/GMD-1809-323.pdf#page=4","Abrir facsímil")</f>
        <v>Abrir facsímil</v>
      </c>
      <c r="K761" s="3" t="s">
        <v>57</v>
      </c>
    </row>
    <row r="762" spans="1:11" ht="42" customHeight="1">
      <c r="A762" s="2" t="s">
        <v>2375</v>
      </c>
      <c r="B762" s="2" t="s">
        <v>2375</v>
      </c>
      <c r="C762" s="2" t="s">
        <v>25</v>
      </c>
      <c r="D762" s="2" t="s">
        <v>26</v>
      </c>
      <c r="E762" s="3" t="s">
        <v>216</v>
      </c>
      <c r="F762" s="3" t="s">
        <v>217</v>
      </c>
      <c r="G762" s="3" t="s">
        <v>587</v>
      </c>
      <c r="H762" s="2" t="s">
        <v>55</v>
      </c>
      <c r="I762" s="2" t="s">
        <v>2417</v>
      </c>
      <c r="J762" s="3" t="str">
        <f>HYPERLINK("https://www.boe.es/gazeta/dias/1809/12/05/pdfs/GGB-H-1809-542.pdf#page=4","Abrir facsímil")</f>
        <v>Abrir facsímil</v>
      </c>
      <c r="K762" s="3" t="s">
        <v>57</v>
      </c>
    </row>
    <row r="763" spans="1:11" ht="42" customHeight="1">
      <c r="A763" s="2" t="s">
        <v>2372</v>
      </c>
      <c r="B763" s="2" t="s">
        <v>2372</v>
      </c>
      <c r="C763" s="2" t="s">
        <v>25</v>
      </c>
      <c r="D763" s="2" t="s">
        <v>107</v>
      </c>
      <c r="E763" s="3" t="s">
        <v>179</v>
      </c>
      <c r="F763" s="3" t="s">
        <v>2418</v>
      </c>
      <c r="G763" s="3" t="s">
        <v>525</v>
      </c>
      <c r="H763" s="2" t="s">
        <v>55</v>
      </c>
      <c r="I763" s="2" t="s">
        <v>2419</v>
      </c>
      <c r="J763" s="3" t="str">
        <f>HYPERLINK("https://www.boe.es/gazeta/dias/1809/12/08/pdfs/GMD-1809-343.pdf#page=4","Abrir facsímil")</f>
        <v>Abrir facsímil</v>
      </c>
      <c r="K763" s="3" t="s">
        <v>57</v>
      </c>
    </row>
    <row r="764" spans="1:11" ht="42" customHeight="1">
      <c r="A764" s="2" t="s">
        <v>2372</v>
      </c>
      <c r="B764" s="2" t="s">
        <v>2372</v>
      </c>
      <c r="C764" s="2" t="s">
        <v>17</v>
      </c>
      <c r="D764" s="2" t="s">
        <v>18</v>
      </c>
      <c r="E764" s="3" t="s">
        <v>220</v>
      </c>
      <c r="F764" s="3" t="s">
        <v>221</v>
      </c>
      <c r="G764" s="3" t="s">
        <v>154</v>
      </c>
      <c r="H764" s="2" t="s">
        <v>55</v>
      </c>
      <c r="I764" s="2" t="s">
        <v>2420</v>
      </c>
      <c r="J764" s="3" t="str">
        <f>HYPERLINK("https://www.boe.es/gazeta/dias/1809/12/13/pdfs/GMD-1809-348.pdf#page=4","Abrir facsímil")</f>
        <v>Abrir facsímil</v>
      </c>
      <c r="K764" s="3" t="s">
        <v>57</v>
      </c>
    </row>
    <row r="765" spans="1:11" ht="42" customHeight="1">
      <c r="A765" s="2" t="s">
        <v>2372</v>
      </c>
      <c r="B765" s="2" t="s">
        <v>2372</v>
      </c>
      <c r="C765" s="2" t="s">
        <v>25</v>
      </c>
      <c r="D765" s="2" t="s">
        <v>26</v>
      </c>
      <c r="E765" s="3" t="s">
        <v>223</v>
      </c>
      <c r="F765" s="3" t="s">
        <v>224</v>
      </c>
      <c r="G765" s="3" t="s">
        <v>225</v>
      </c>
      <c r="H765" s="2" t="s">
        <v>55</v>
      </c>
      <c r="I765" s="2" t="s">
        <v>2421</v>
      </c>
      <c r="J765" s="3" t="str">
        <f>HYPERLINK("https://www.boe.es/gazeta/dias/1809/12/17/pdfs/GMD-1809-352.pdf#page=4","Abrir facsímil")</f>
        <v>Abrir facsímil</v>
      </c>
      <c r="K765" s="3" t="s">
        <v>57</v>
      </c>
    </row>
    <row r="766" spans="1:11" ht="42" customHeight="1">
      <c r="A766" s="2" t="s">
        <v>2372</v>
      </c>
      <c r="B766" s="2" t="s">
        <v>2372</v>
      </c>
      <c r="C766" s="2" t="s">
        <v>39</v>
      </c>
      <c r="D766" s="2" t="s">
        <v>18</v>
      </c>
      <c r="E766" s="3" t="s">
        <v>1213</v>
      </c>
      <c r="F766" s="3" t="s">
        <v>1214</v>
      </c>
      <c r="G766" s="3" t="s">
        <v>2422</v>
      </c>
      <c r="H766" s="2" t="s">
        <v>55</v>
      </c>
      <c r="I766" s="2" t="s">
        <v>2423</v>
      </c>
      <c r="J766" s="3" t="str">
        <f>HYPERLINK("https://www.boe.es/gazeta/dias/1809/12/20/pdfs/GMD-1809-355.pdf#page=1","Abrir facsímil")</f>
        <v>Abrir facsímil</v>
      </c>
      <c r="K766" s="3" t="s">
        <v>57</v>
      </c>
    </row>
    <row r="767" spans="1:11" ht="42" customHeight="1">
      <c r="A767" s="2" t="s">
        <v>2372</v>
      </c>
      <c r="B767" s="2" t="s">
        <v>2372</v>
      </c>
      <c r="C767" s="2" t="s">
        <v>17</v>
      </c>
      <c r="D767" s="2" t="s">
        <v>107</v>
      </c>
      <c r="E767" s="3" t="s">
        <v>743</v>
      </c>
      <c r="F767" s="3" t="s">
        <v>744</v>
      </c>
      <c r="G767" s="3" t="s">
        <v>270</v>
      </c>
      <c r="H767" s="2" t="s">
        <v>55</v>
      </c>
      <c r="I767" s="2" t="s">
        <v>2424</v>
      </c>
      <c r="J767" s="3" t="str">
        <f>HYPERLINK("https://www.boe.es/gazeta/dias/1809/12/25/pdfs/GMD-1809-360.pdf#page=2","Abrir facsímil")</f>
        <v>Abrir facsímil</v>
      </c>
      <c r="K767" s="3" t="s">
        <v>57</v>
      </c>
    </row>
    <row r="768" spans="1:11" ht="42" customHeight="1">
      <c r="A768" s="2" t="s">
        <v>2372</v>
      </c>
      <c r="B768" s="2" t="s">
        <v>2372</v>
      </c>
      <c r="C768" s="2" t="s">
        <v>17</v>
      </c>
      <c r="D768" s="2" t="s">
        <v>18</v>
      </c>
      <c r="E768" s="3" t="s">
        <v>473</v>
      </c>
      <c r="F768" s="3" t="s">
        <v>474</v>
      </c>
      <c r="G768" s="3" t="s">
        <v>234</v>
      </c>
      <c r="H768" s="2" t="s">
        <v>55</v>
      </c>
      <c r="I768" s="2" t="s">
        <v>2425</v>
      </c>
      <c r="J768" s="3" t="str">
        <f>HYPERLINK("https://www.boe.es/gazeta/dias/1809/12/28/pdfs/GMD-1809-363.pdf#page=3","Abrir facsímil")</f>
        <v>Abrir facsímil</v>
      </c>
      <c r="K768" s="3" t="s">
        <v>57</v>
      </c>
    </row>
    <row r="769" spans="1:11" ht="42" customHeight="1">
      <c r="A769" s="2" t="s">
        <v>2426</v>
      </c>
      <c r="B769" s="2" t="s">
        <v>2426</v>
      </c>
      <c r="C769" s="2" t="s">
        <v>17</v>
      </c>
      <c r="D769" s="2" t="s">
        <v>18</v>
      </c>
      <c r="E769" s="3" t="s">
        <v>1073</v>
      </c>
      <c r="F769" s="3" t="s">
        <v>1074</v>
      </c>
      <c r="G769" s="3" t="s">
        <v>2422</v>
      </c>
      <c r="H769" s="2" t="s">
        <v>55</v>
      </c>
      <c r="I769" s="2" t="s">
        <v>2427</v>
      </c>
      <c r="J769" s="3" t="str">
        <f>HYPERLINK("https://www.boe.es/gazeta/dias/1809/01/13/pdfs/GMD-1809-13.pdf#page=4","Abrir facsímil")</f>
        <v>Abrir facsímil</v>
      </c>
      <c r="K769" s="3" t="s">
        <v>57</v>
      </c>
    </row>
    <row r="770" spans="1:11" ht="42" customHeight="1">
      <c r="A770" s="2" t="s">
        <v>2426</v>
      </c>
      <c r="B770" s="2" t="s">
        <v>2426</v>
      </c>
      <c r="C770" s="2" t="s">
        <v>17</v>
      </c>
      <c r="D770" s="2" t="s">
        <v>18</v>
      </c>
      <c r="E770" s="3" t="s">
        <v>1076</v>
      </c>
      <c r="F770" s="3" t="s">
        <v>1074</v>
      </c>
      <c r="G770" s="3" t="s">
        <v>2422</v>
      </c>
      <c r="H770" s="2" t="s">
        <v>55</v>
      </c>
      <c r="I770" s="2" t="s">
        <v>2427</v>
      </c>
      <c r="J770" s="3" t="str">
        <f>HYPERLINK("https://www.boe.es/gazeta/dias/1809/04/13/pdfs/GMD-1809-13.pdf#page=4","Abrir facsímil")</f>
        <v>Abrir facsímil</v>
      </c>
      <c r="K770" s="3" t="s">
        <v>57</v>
      </c>
    </row>
    <row r="771" spans="1:11" ht="42" customHeight="1">
      <c r="A771" s="2" t="s">
        <v>2428</v>
      </c>
      <c r="B771" s="2" t="s">
        <v>2429</v>
      </c>
      <c r="C771" s="2" t="s">
        <v>131</v>
      </c>
      <c r="D771" s="2" t="s">
        <v>18</v>
      </c>
      <c r="E771" s="3" t="s">
        <v>599</v>
      </c>
      <c r="F771" s="3" t="s">
        <v>600</v>
      </c>
      <c r="G771" s="3" t="s">
        <v>379</v>
      </c>
      <c r="H771" s="2" t="s">
        <v>55</v>
      </c>
      <c r="I771" s="2" t="s">
        <v>2430</v>
      </c>
      <c r="J771" s="3" t="str">
        <f>HYPERLINK("https://www.boe.es/gazeta/dias/1809/01/19/pdfs/GMD-1809-19.pdf#page=1","Abrir facsímil")</f>
        <v>Abrir facsímil</v>
      </c>
      <c r="K771" s="3" t="s">
        <v>57</v>
      </c>
    </row>
    <row r="772" spans="1:11" ht="42" customHeight="1">
      <c r="A772" s="2" t="s">
        <v>2431</v>
      </c>
      <c r="B772" s="2" t="s">
        <v>2431</v>
      </c>
      <c r="C772" s="2" t="s">
        <v>25</v>
      </c>
      <c r="D772" s="2" t="s">
        <v>18</v>
      </c>
      <c r="E772" s="3" t="s">
        <v>48</v>
      </c>
      <c r="F772" s="3" t="s">
        <v>1718</v>
      </c>
      <c r="G772" s="3" t="s">
        <v>2010</v>
      </c>
      <c r="H772" s="2" t="s">
        <v>55</v>
      </c>
      <c r="I772" s="2" t="s">
        <v>2432</v>
      </c>
      <c r="J772" s="3" t="str">
        <f>HYPERLINK("https://www.boe.es/gazeta/dias/1809/10/03/pdfs/GGB-1809-272.pdf#page=4","Abrir facsímil")</f>
        <v>Abrir facsímil</v>
      </c>
      <c r="K772" s="3" t="s">
        <v>57</v>
      </c>
    </row>
    <row r="773" spans="1:11" ht="42" customHeight="1">
      <c r="A773" s="2" t="s">
        <v>2433</v>
      </c>
      <c r="B773" s="2" t="s">
        <v>2433</v>
      </c>
      <c r="C773" s="2" t="s">
        <v>25</v>
      </c>
      <c r="D773" s="2" t="s">
        <v>26</v>
      </c>
      <c r="E773" s="3" t="s">
        <v>410</v>
      </c>
      <c r="F773" s="3" t="s">
        <v>411</v>
      </c>
      <c r="G773" s="3" t="s">
        <v>110</v>
      </c>
      <c r="H773" s="2" t="s">
        <v>55</v>
      </c>
      <c r="I773" s="2" t="s">
        <v>2434</v>
      </c>
      <c r="J773" s="3" t="str">
        <f>HYPERLINK("https://www.boe.es/gazeta/dias/1809/03/04/pdfs/GMD-1809-63.pdf#page=1","Abrir facsímil")</f>
        <v>Abrir facsímil</v>
      </c>
      <c r="K773" s="3" t="s">
        <v>57</v>
      </c>
    </row>
    <row r="774" spans="1:11" ht="42" customHeight="1">
      <c r="A774" s="2" t="s">
        <v>2435</v>
      </c>
      <c r="B774" s="2" t="s">
        <v>2436</v>
      </c>
      <c r="C774" s="2" t="s">
        <v>288</v>
      </c>
      <c r="D774" s="2" t="s">
        <v>72</v>
      </c>
      <c r="E774" s="3" t="s">
        <v>243</v>
      </c>
      <c r="F774" s="3" t="s">
        <v>244</v>
      </c>
      <c r="G774" s="3" t="s">
        <v>541</v>
      </c>
      <c r="H774" s="2" t="s">
        <v>55</v>
      </c>
      <c r="I774" s="2" t="s">
        <v>2437</v>
      </c>
      <c r="J774" s="3" t="str">
        <f>HYPERLINK("https://www.boe.es/gazeta/dias/1809/02/17/pdfs/GGB-G-1809-8.pdf#page=8","Abrir facsímil")</f>
        <v>Abrir facsímil</v>
      </c>
      <c r="K774" s="3" t="s">
        <v>57</v>
      </c>
    </row>
    <row r="775" spans="1:11" ht="42" customHeight="1">
      <c r="A775" s="2" t="s">
        <v>2438</v>
      </c>
      <c r="B775" s="2" t="s">
        <v>2439</v>
      </c>
      <c r="C775" s="2" t="s">
        <v>25</v>
      </c>
      <c r="D775" s="2" t="s">
        <v>26</v>
      </c>
      <c r="E775" s="3" t="s">
        <v>216</v>
      </c>
      <c r="F775" s="3" t="s">
        <v>2440</v>
      </c>
      <c r="G775" s="3" t="s">
        <v>110</v>
      </c>
      <c r="H775" s="2" t="s">
        <v>55</v>
      </c>
      <c r="I775" s="2" t="s">
        <v>2441</v>
      </c>
      <c r="J775" s="3" t="str">
        <f>HYPERLINK("https://www.boe.es/gazeta/dias/1809/12/05/pdfs/GGB-1809-542.pdf#page=8","Abrir facsímil")</f>
        <v>Abrir facsímil</v>
      </c>
      <c r="K775" s="3" t="s">
        <v>57</v>
      </c>
    </row>
    <row r="776" spans="1:11" ht="42" customHeight="1">
      <c r="A776" s="2" t="s">
        <v>2442</v>
      </c>
      <c r="B776" s="2" t="s">
        <v>2443</v>
      </c>
      <c r="C776" s="2" t="s">
        <v>131</v>
      </c>
      <c r="D776" s="2" t="s">
        <v>72</v>
      </c>
      <c r="E776" s="3" t="s">
        <v>695</v>
      </c>
      <c r="F776" s="3" t="s">
        <v>1658</v>
      </c>
      <c r="G776" s="3" t="s">
        <v>2444</v>
      </c>
      <c r="H776" s="2" t="s">
        <v>55</v>
      </c>
      <c r="I776" s="2" t="s">
        <v>2445</v>
      </c>
      <c r="J776" s="3" t="str">
        <f>HYPERLINK("https://www.boe.es/gazeta/dias/1809/10/24/pdfs/GGB-H-1809-362.pdf#page=5","Abrir facsímil")</f>
        <v>Abrir facsímil</v>
      </c>
      <c r="K776" s="3" t="s">
        <v>57</v>
      </c>
    </row>
    <row r="777" spans="1:11" ht="42" customHeight="1">
      <c r="A777" s="2" t="s">
        <v>2446</v>
      </c>
      <c r="B777" s="2" t="s">
        <v>2447</v>
      </c>
      <c r="C777" s="2" t="s">
        <v>25</v>
      </c>
      <c r="D777" s="2" t="s">
        <v>26</v>
      </c>
      <c r="E777" s="3" t="s">
        <v>473</v>
      </c>
      <c r="F777" s="3" t="s">
        <v>1199</v>
      </c>
      <c r="G777" s="3" t="s">
        <v>75</v>
      </c>
      <c r="H777" s="2" t="s">
        <v>55</v>
      </c>
      <c r="I777" s="2" t="s">
        <v>2448</v>
      </c>
      <c r="J777" s="3" t="str">
        <f>HYPERLINK("https://www.boe.es/gazeta/dias/1809/12/28/pdfs/GGB-H-1809-642.pdf#page=8","Abrir facsímil")</f>
        <v>Abrir facsímil</v>
      </c>
      <c r="K777" s="3" t="s">
        <v>57</v>
      </c>
    </row>
    <row r="778" spans="1:11" ht="42" customHeight="1">
      <c r="A778" s="2" t="s">
        <v>2449</v>
      </c>
      <c r="B778" s="2" t="s">
        <v>2450</v>
      </c>
      <c r="C778" s="2" t="s">
        <v>17</v>
      </c>
      <c r="D778" s="2" t="s">
        <v>40</v>
      </c>
      <c r="E778" s="3" t="s">
        <v>925</v>
      </c>
      <c r="F778" s="3" t="s">
        <v>926</v>
      </c>
      <c r="G778" s="3" t="s">
        <v>595</v>
      </c>
      <c r="H778" s="2" t="s">
        <v>55</v>
      </c>
      <c r="I778" s="2" t="s">
        <v>2451</v>
      </c>
      <c r="J778" s="3" t="str">
        <f>HYPERLINK("https://www.boe.es/gazeta/dias/1809/01/11/pdfs/GGB-1809-2.pdf#page=7","Abrir facsímil")</f>
        <v>Abrir facsímil</v>
      </c>
      <c r="K778" s="3" t="s">
        <v>57</v>
      </c>
    </row>
    <row r="779" spans="1:11" ht="42" customHeight="1">
      <c r="A779" s="2" t="s">
        <v>2452</v>
      </c>
      <c r="B779" s="2" t="s">
        <v>2453</v>
      </c>
      <c r="C779" s="2" t="s">
        <v>25</v>
      </c>
      <c r="D779" s="2" t="s">
        <v>26</v>
      </c>
      <c r="E779" s="3" t="s">
        <v>1560</v>
      </c>
      <c r="F779" s="3" t="s">
        <v>1561</v>
      </c>
      <c r="G779" s="3" t="s">
        <v>154</v>
      </c>
      <c r="H779" s="2" t="s">
        <v>55</v>
      </c>
      <c r="I779" s="2" t="s">
        <v>2454</v>
      </c>
      <c r="J779" s="3" t="str">
        <f>HYPERLINK("https://www.boe.es/gazeta/dias/1809/07/03/pdfs/GMD-1809-184.pdf#page=3","Abrir facsímil")</f>
        <v>Abrir facsímil</v>
      </c>
      <c r="K779" s="3" t="s">
        <v>57</v>
      </c>
    </row>
    <row r="780" spans="1:11" ht="42" customHeight="1">
      <c r="A780" s="2" t="s">
        <v>2455</v>
      </c>
      <c r="B780" s="2" t="s">
        <v>2455</v>
      </c>
      <c r="C780" s="2" t="s">
        <v>17</v>
      </c>
      <c r="D780" s="2" t="s">
        <v>40</v>
      </c>
      <c r="E780" s="3" t="s">
        <v>503</v>
      </c>
      <c r="F780" s="3" t="s">
        <v>504</v>
      </c>
      <c r="G780" s="3" t="s">
        <v>154</v>
      </c>
      <c r="H780" s="2" t="s">
        <v>55</v>
      </c>
      <c r="I780" s="2" t="s">
        <v>2456</v>
      </c>
      <c r="J780" s="3" t="str">
        <f>HYPERLINK("https://www.boe.es/gazeta/dias/1809/09/01/pdfs/GMD-1809-245.pdf#page=2","Abrir facsímil")</f>
        <v>Abrir facsímil</v>
      </c>
      <c r="K780" s="3" t="s">
        <v>57</v>
      </c>
    </row>
    <row r="781" spans="1:11" ht="42" customHeight="1">
      <c r="A781" s="2" t="s">
        <v>2457</v>
      </c>
      <c r="B781" s="2" t="s">
        <v>2458</v>
      </c>
      <c r="C781" s="2" t="s">
        <v>25</v>
      </c>
      <c r="D781" s="2" t="s">
        <v>26</v>
      </c>
      <c r="E781" s="3" t="s">
        <v>1011</v>
      </c>
      <c r="F781" s="3" t="s">
        <v>1012</v>
      </c>
      <c r="G781" s="3" t="s">
        <v>75</v>
      </c>
      <c r="H781" s="2" t="s">
        <v>55</v>
      </c>
      <c r="I781" s="2" t="s">
        <v>2459</v>
      </c>
      <c r="J781" s="3" t="str">
        <f>HYPERLINK("https://www.boe.es/gazeta/dias/1809/08/01/pdfs/GGB-1809-50.pdf#page=6","Abrir facsímil")</f>
        <v>Abrir facsímil</v>
      </c>
      <c r="K781" s="3" t="s">
        <v>57</v>
      </c>
    </row>
    <row r="782" spans="1:11" ht="42" customHeight="1">
      <c r="A782" s="2" t="s">
        <v>2460</v>
      </c>
      <c r="B782" s="2" t="s">
        <v>2461</v>
      </c>
      <c r="C782" s="2" t="s">
        <v>17</v>
      </c>
      <c r="D782" s="2" t="s">
        <v>18</v>
      </c>
      <c r="E782" s="3" t="s">
        <v>1468</v>
      </c>
      <c r="F782" s="3" t="s">
        <v>1469</v>
      </c>
      <c r="G782" s="3" t="s">
        <v>104</v>
      </c>
      <c r="H782" s="2" t="s">
        <v>55</v>
      </c>
      <c r="I782" s="2" t="s">
        <v>2462</v>
      </c>
      <c r="J782" s="3" t="str">
        <f>HYPERLINK("https://www.boe.es/gazeta/dias/1809/02/12/pdfs/GMD-1809-43.pdf#page=6","Abrir facsímil")</f>
        <v>Abrir facsímil</v>
      </c>
      <c r="K782" s="3" t="s">
        <v>57</v>
      </c>
    </row>
    <row r="783" spans="1:11" ht="42" customHeight="1">
      <c r="A783" s="2" t="s">
        <v>2463</v>
      </c>
      <c r="B783" s="2" t="s">
        <v>2463</v>
      </c>
      <c r="C783" s="2" t="s">
        <v>25</v>
      </c>
      <c r="D783" s="2" t="s">
        <v>26</v>
      </c>
      <c r="E783" s="3" t="s">
        <v>868</v>
      </c>
      <c r="F783" s="3" t="s">
        <v>869</v>
      </c>
      <c r="G783" s="3" t="s">
        <v>234</v>
      </c>
      <c r="H783" s="2" t="s">
        <v>55</v>
      </c>
      <c r="I783" s="2" t="s">
        <v>2464</v>
      </c>
      <c r="J783" s="3" t="str">
        <f>HYPERLINK("https://www.boe.es/gazeta/dias/1809/09/22/pdfs/GMD-1809-266.pdf#page=1","Abrir facsímil")</f>
        <v>Abrir facsímil</v>
      </c>
      <c r="K783" s="3" t="s">
        <v>57</v>
      </c>
    </row>
    <row r="784" spans="1:11" ht="42" customHeight="1">
      <c r="A784" s="2" t="s">
        <v>2465</v>
      </c>
      <c r="B784" s="2" t="s">
        <v>2465</v>
      </c>
      <c r="C784" s="2" t="s">
        <v>25</v>
      </c>
      <c r="D784" s="2" t="s">
        <v>18</v>
      </c>
      <c r="E784" s="3" t="s">
        <v>868</v>
      </c>
      <c r="F784" s="3" t="s">
        <v>869</v>
      </c>
      <c r="G784" s="3" t="s">
        <v>234</v>
      </c>
      <c r="H784" s="2" t="s">
        <v>55</v>
      </c>
      <c r="I784" s="2" t="s">
        <v>2466</v>
      </c>
      <c r="J784" s="3" t="str">
        <f>HYPERLINK("https://www.boe.es/gazeta/dias/1809/09/22/pdfs/GMD-1809-266.pdf#page=1","Abrir facsímil")</f>
        <v>Abrir facsímil</v>
      </c>
      <c r="K784" s="3" t="s">
        <v>57</v>
      </c>
    </row>
    <row r="785" spans="1:11" ht="42" customHeight="1">
      <c r="A785" s="2" t="s">
        <v>2467</v>
      </c>
      <c r="B785" s="2" t="s">
        <v>2468</v>
      </c>
      <c r="C785" s="2" t="s">
        <v>25</v>
      </c>
      <c r="D785" s="2" t="s">
        <v>26</v>
      </c>
      <c r="E785" s="3" t="s">
        <v>263</v>
      </c>
      <c r="F785" s="3" t="s">
        <v>264</v>
      </c>
      <c r="G785" s="3" t="s">
        <v>154</v>
      </c>
      <c r="H785" s="2" t="s">
        <v>55</v>
      </c>
      <c r="I785" s="2" t="s">
        <v>2469</v>
      </c>
      <c r="J785" s="3" t="str">
        <f>HYPERLINK("https://www.boe.es/gazeta/dias/1809/11/21/pdfs/GGB-1809-482.pdf#page=7","Abrir facsímil")</f>
        <v>Abrir facsímil</v>
      </c>
      <c r="K785" s="3" t="s">
        <v>57</v>
      </c>
    </row>
    <row r="786" spans="1:11" ht="42" customHeight="1">
      <c r="A786" s="2" t="s">
        <v>2467</v>
      </c>
      <c r="B786" s="2" t="s">
        <v>2468</v>
      </c>
      <c r="C786" s="2" t="s">
        <v>25</v>
      </c>
      <c r="D786" s="2" t="s">
        <v>107</v>
      </c>
      <c r="E786" s="3" t="s">
        <v>263</v>
      </c>
      <c r="F786" s="3" t="s">
        <v>264</v>
      </c>
      <c r="G786" s="3" t="s">
        <v>234</v>
      </c>
      <c r="H786" s="2" t="s">
        <v>55</v>
      </c>
      <c r="I786" s="2" t="s">
        <v>2470</v>
      </c>
      <c r="J786" s="3" t="str">
        <f>HYPERLINK("https://www.boe.es/gazeta/dias/1809/11/21/pdfs/GGB-1809-482.pdf#page=8","Abrir facsímil")</f>
        <v>Abrir facsímil</v>
      </c>
      <c r="K786" s="3" t="s">
        <v>57</v>
      </c>
    </row>
    <row r="787" spans="1:11" ht="42" customHeight="1">
      <c r="A787" s="2" t="s">
        <v>2471</v>
      </c>
      <c r="B787" s="2" t="s">
        <v>2472</v>
      </c>
      <c r="C787" s="2" t="s">
        <v>131</v>
      </c>
      <c r="D787" s="2" t="s">
        <v>18</v>
      </c>
      <c r="E787" s="3" t="s">
        <v>2473</v>
      </c>
      <c r="F787" s="3" t="s">
        <v>2474</v>
      </c>
      <c r="G787" s="3" t="s">
        <v>29</v>
      </c>
      <c r="H787" s="2" t="s">
        <v>55</v>
      </c>
      <c r="I787" s="2" t="s">
        <v>2475</v>
      </c>
      <c r="J787" s="3" t="str">
        <f>HYPERLINK("https://www.boe.es/gazeta/dias/1809/02/16/pdfs/GMD-1809-47.pdf#page=3","Abrir facsímil")</f>
        <v>Abrir facsímil</v>
      </c>
      <c r="K787" s="3" t="s">
        <v>57</v>
      </c>
    </row>
    <row r="788" spans="1:11" ht="42" customHeight="1">
      <c r="A788" s="2" t="s">
        <v>2476</v>
      </c>
      <c r="B788" s="2" t="s">
        <v>2477</v>
      </c>
      <c r="C788" s="2" t="s">
        <v>17</v>
      </c>
      <c r="D788" s="2" t="s">
        <v>18</v>
      </c>
      <c r="E788" s="3" t="s">
        <v>893</v>
      </c>
      <c r="F788" s="3" t="s">
        <v>1348</v>
      </c>
      <c r="G788" s="3" t="s">
        <v>1349</v>
      </c>
      <c r="H788" s="2" t="s">
        <v>55</v>
      </c>
      <c r="I788" s="2" t="s">
        <v>2478</v>
      </c>
      <c r="J788" s="3" t="str">
        <f>HYPERLINK("https://www.boe.es/gazeta/dias/1809/11/02/pdfs/GGB-1809-402.pdf#page=4","Abrir facsímil")</f>
        <v>Abrir facsímil</v>
      </c>
      <c r="K788" s="3" t="s">
        <v>57</v>
      </c>
    </row>
    <row r="789" spans="1:11" ht="42" customHeight="1">
      <c r="A789" s="2" t="s">
        <v>2479</v>
      </c>
      <c r="B789" s="2" t="s">
        <v>2480</v>
      </c>
      <c r="C789" s="2" t="s">
        <v>288</v>
      </c>
      <c r="D789" s="2" t="s">
        <v>18</v>
      </c>
      <c r="E789" s="3" t="s">
        <v>599</v>
      </c>
      <c r="F789" s="3" t="s">
        <v>600</v>
      </c>
      <c r="G789" s="3" t="s">
        <v>601</v>
      </c>
      <c r="H789" s="2" t="s">
        <v>55</v>
      </c>
      <c r="I789" s="2" t="s">
        <v>2481</v>
      </c>
      <c r="J789" s="3" t="str">
        <f>HYPERLINK("https://www.boe.es/gazeta/dias/1809/01/19/pdfs/GMD-1809-19.pdf#page=4","Abrir facsímil")</f>
        <v>Abrir facsímil</v>
      </c>
      <c r="K789" s="3" t="s">
        <v>57</v>
      </c>
    </row>
    <row r="790" spans="1:11" ht="42" customHeight="1">
      <c r="A790" s="2" t="s">
        <v>2482</v>
      </c>
      <c r="B790" s="2" t="s">
        <v>2483</v>
      </c>
      <c r="C790" s="2" t="s">
        <v>25</v>
      </c>
      <c r="D790" s="2" t="s">
        <v>26</v>
      </c>
      <c r="E790" s="3" t="s">
        <v>442</v>
      </c>
      <c r="F790" s="3" t="s">
        <v>443</v>
      </c>
      <c r="G790" s="3" t="s">
        <v>2484</v>
      </c>
      <c r="H790" s="2" t="s">
        <v>55</v>
      </c>
      <c r="I790" s="2" t="s">
        <v>2485</v>
      </c>
      <c r="J790" s="3" t="str">
        <f>HYPERLINK("https://www.boe.es/gazeta/dias/1809/09/05/pdfs/GGB-1809-152.pdf#page=8","Abrir facsímil")</f>
        <v>Abrir facsímil</v>
      </c>
      <c r="K790" s="3" t="s">
        <v>57</v>
      </c>
    </row>
    <row r="791" spans="1:11" ht="42" customHeight="1">
      <c r="A791" s="2" t="s">
        <v>2486</v>
      </c>
      <c r="B791" s="2" t="s">
        <v>2486</v>
      </c>
      <c r="C791" s="2" t="s">
        <v>25</v>
      </c>
      <c r="D791" s="2" t="s">
        <v>18</v>
      </c>
      <c r="E791" s="3" t="s">
        <v>2159</v>
      </c>
      <c r="F791" s="3" t="s">
        <v>2160</v>
      </c>
      <c r="G791" s="3" t="s">
        <v>861</v>
      </c>
      <c r="H791" s="2" t="s">
        <v>55</v>
      </c>
      <c r="I791" s="2" t="s">
        <v>2487</v>
      </c>
      <c r="J791" s="3" t="str">
        <f>HYPERLINK("https://www.boe.es/gazeta/dias/1809/04/09/pdfs/GMD-1809-99.pdf#page=1","Abrir facsímil")</f>
        <v>Abrir facsímil</v>
      </c>
      <c r="K791" s="3" t="s">
        <v>57</v>
      </c>
    </row>
    <row r="792" spans="1:11" ht="42" customHeight="1">
      <c r="A792" s="2" t="s">
        <v>2488</v>
      </c>
      <c r="B792" s="2" t="s">
        <v>2489</v>
      </c>
      <c r="C792" s="2" t="s">
        <v>17</v>
      </c>
      <c r="D792" s="2" t="s">
        <v>18</v>
      </c>
      <c r="E792" s="3" t="s">
        <v>33</v>
      </c>
      <c r="F792" s="3" t="s">
        <v>34</v>
      </c>
      <c r="G792" s="3" t="s">
        <v>595</v>
      </c>
      <c r="H792" s="2" t="s">
        <v>55</v>
      </c>
      <c r="I792" s="2" t="s">
        <v>2490</v>
      </c>
      <c r="J792" s="3" t="str">
        <f>HYPERLINK("https://www.boe.es/gazeta/dias/1809/12/19/pdfs/GGB-1809-602.pdf#page=7","Abrir facsímil")</f>
        <v>Abrir facsímil</v>
      </c>
      <c r="K792" s="3" t="s">
        <v>57</v>
      </c>
    </row>
    <row r="793" spans="1:11" ht="42" customHeight="1">
      <c r="A793" s="2" t="s">
        <v>2491</v>
      </c>
      <c r="B793" s="2" t="s">
        <v>2492</v>
      </c>
      <c r="C793" s="2" t="s">
        <v>25</v>
      </c>
      <c r="D793" s="2" t="s">
        <v>26</v>
      </c>
      <c r="E793" s="3" t="s">
        <v>258</v>
      </c>
      <c r="F793" s="3" t="s">
        <v>910</v>
      </c>
      <c r="G793" s="3" t="s">
        <v>75</v>
      </c>
      <c r="H793" s="2" t="s">
        <v>55</v>
      </c>
      <c r="I793" s="2" t="s">
        <v>2493</v>
      </c>
      <c r="J793" s="3" t="str">
        <f>HYPERLINK("https://www.boe.es/gazeta/dias/1809/03/17/pdfs/GGB-1809-12.pdf#page=6","Abrir facsímil")</f>
        <v>Abrir facsímil</v>
      </c>
      <c r="K793" s="3" t="s">
        <v>57</v>
      </c>
    </row>
    <row r="794" spans="1:11" ht="42" customHeight="1">
      <c r="A794" s="2" t="s">
        <v>2494</v>
      </c>
      <c r="B794" s="2" t="s">
        <v>2494</v>
      </c>
      <c r="C794" s="2" t="s">
        <v>25</v>
      </c>
      <c r="D794" s="2" t="s">
        <v>26</v>
      </c>
      <c r="E794" s="3" t="s">
        <v>381</v>
      </c>
      <c r="F794" s="3" t="s">
        <v>382</v>
      </c>
      <c r="G794" s="3" t="s">
        <v>62</v>
      </c>
      <c r="H794" s="2" t="s">
        <v>55</v>
      </c>
      <c r="I794" s="2" t="s">
        <v>2495</v>
      </c>
      <c r="J794" s="3" t="str">
        <f>HYPERLINK("https://www.boe.es/gazeta/dias/1809/06/27/pdfs/GMD-1809-178.pdf#page=1","Abrir facsímil")</f>
        <v>Abrir facsímil</v>
      </c>
      <c r="K794" s="3" t="s">
        <v>57</v>
      </c>
    </row>
    <row r="795" spans="1:11" ht="42" customHeight="1">
      <c r="A795" s="2" t="s">
        <v>2496</v>
      </c>
      <c r="B795" s="2" t="s">
        <v>2497</v>
      </c>
      <c r="C795" s="2" t="s">
        <v>17</v>
      </c>
      <c r="D795" s="2" t="s">
        <v>18</v>
      </c>
      <c r="E795" s="3" t="s">
        <v>2060</v>
      </c>
      <c r="F795" s="3" t="s">
        <v>2061</v>
      </c>
      <c r="G795" s="3" t="s">
        <v>239</v>
      </c>
      <c r="H795" s="2" t="s">
        <v>55</v>
      </c>
      <c r="I795" s="2" t="s">
        <v>2498</v>
      </c>
      <c r="J795" s="3" t="str">
        <f>HYPERLINK("https://www.boe.es/gazeta/dias/1809/07/18/pdfs/GGB-1809-46.pdf#page=11","Abrir facsímil")</f>
        <v>Abrir facsímil</v>
      </c>
      <c r="K795" s="3" t="s">
        <v>57</v>
      </c>
    </row>
    <row r="796" spans="1:11" ht="42" customHeight="1">
      <c r="A796" s="2" t="s">
        <v>2499</v>
      </c>
      <c r="B796" s="2" t="s">
        <v>2500</v>
      </c>
      <c r="C796" s="2" t="s">
        <v>17</v>
      </c>
      <c r="D796" s="2" t="s">
        <v>18</v>
      </c>
      <c r="E796" s="3" t="s">
        <v>243</v>
      </c>
      <c r="F796" s="3" t="s">
        <v>735</v>
      </c>
      <c r="G796" s="3" t="s">
        <v>736</v>
      </c>
      <c r="H796" s="2" t="s">
        <v>55</v>
      </c>
      <c r="I796" s="2" t="s">
        <v>2501</v>
      </c>
      <c r="J796" s="3" t="str">
        <f>HYPERLINK("https://www.boe.es/gazeta/dias/1809/02/17/pdfs/GGB-1809-8.pdf#page=8","Abrir facsímil")</f>
        <v>Abrir facsímil</v>
      </c>
      <c r="K796" s="3" t="s">
        <v>57</v>
      </c>
    </row>
    <row r="797" spans="1:11" ht="42" customHeight="1">
      <c r="A797" s="2" t="s">
        <v>2502</v>
      </c>
      <c r="B797" s="2" t="s">
        <v>2502</v>
      </c>
      <c r="C797" s="2" t="s">
        <v>17</v>
      </c>
      <c r="D797" s="2" t="s">
        <v>18</v>
      </c>
      <c r="E797" s="3" t="s">
        <v>724</v>
      </c>
      <c r="F797" s="3" t="s">
        <v>725</v>
      </c>
      <c r="G797" s="3" t="s">
        <v>726</v>
      </c>
      <c r="H797" s="2" t="s">
        <v>55</v>
      </c>
      <c r="I797" s="2" t="s">
        <v>2503</v>
      </c>
      <c r="J797" s="3" t="str">
        <f>HYPERLINK("https://www.boe.es/gazeta/dias/1809/11/19/pdfs/GMD-1809-324.pdf#page=3","Abrir facsímil")</f>
        <v>Abrir facsímil</v>
      </c>
      <c r="K797" s="3" t="s">
        <v>57</v>
      </c>
    </row>
    <row r="798" spans="1:11" ht="42" customHeight="1">
      <c r="A798" s="2" t="s">
        <v>2504</v>
      </c>
      <c r="B798" s="2" t="s">
        <v>2505</v>
      </c>
      <c r="C798" s="2" t="s">
        <v>17</v>
      </c>
      <c r="D798" s="2" t="s">
        <v>18</v>
      </c>
      <c r="E798" s="3" t="s">
        <v>621</v>
      </c>
      <c r="F798" s="3" t="s">
        <v>622</v>
      </c>
      <c r="G798" s="3" t="s">
        <v>525</v>
      </c>
      <c r="H798" s="2" t="s">
        <v>55</v>
      </c>
      <c r="I798" s="2" t="s">
        <v>2506</v>
      </c>
      <c r="J798" s="3" t="str">
        <f>HYPERLINK("https://www.boe.es/gazeta/dias/1809/07/04/pdfs/GGB-1809-42.pdf#page=8","Abrir facsímil")</f>
        <v>Abrir facsímil</v>
      </c>
      <c r="K798" s="3" t="s">
        <v>57</v>
      </c>
    </row>
    <row r="799" spans="1:11" ht="42" customHeight="1">
      <c r="A799" s="2" t="s">
        <v>2507</v>
      </c>
      <c r="B799" s="2" t="s">
        <v>2508</v>
      </c>
      <c r="C799" s="2" t="s">
        <v>25</v>
      </c>
      <c r="D799" s="2" t="s">
        <v>26</v>
      </c>
      <c r="E799" s="3" t="s">
        <v>143</v>
      </c>
      <c r="F799" s="3" t="s">
        <v>705</v>
      </c>
      <c r="G799" s="3" t="s">
        <v>225</v>
      </c>
      <c r="H799" s="2" t="s">
        <v>55</v>
      </c>
      <c r="I799" s="2" t="s">
        <v>2509</v>
      </c>
      <c r="J799" s="3" t="str">
        <f>HYPERLINK("https://www.boe.es/gazeta/dias/1809/11/16/pdfs/GGB-H-1809-462.pdf#page=4","Abrir facsímil")</f>
        <v>Abrir facsímil</v>
      </c>
      <c r="K799" s="3" t="s">
        <v>57</v>
      </c>
    </row>
    <row r="800" spans="1:11" ht="42" customHeight="1">
      <c r="A800" s="2" t="s">
        <v>2510</v>
      </c>
      <c r="B800" s="2" t="s">
        <v>2511</v>
      </c>
      <c r="C800" s="2" t="s">
        <v>47</v>
      </c>
      <c r="D800" s="2" t="s">
        <v>18</v>
      </c>
      <c r="E800" s="3" t="s">
        <v>2512</v>
      </c>
      <c r="F800" s="3" t="s">
        <v>2513</v>
      </c>
      <c r="G800" s="3" t="s">
        <v>225</v>
      </c>
      <c r="H800" s="2" t="s">
        <v>55</v>
      </c>
      <c r="I800" s="2" t="s">
        <v>2514</v>
      </c>
      <c r="J800" s="3" t="str">
        <f>HYPERLINK("https://www.boe.es/gazeta/dias/1809/11/27/pdfs/GMD-1809-332.pdf#page=4","Abrir facsímil")</f>
        <v>Abrir facsímil</v>
      </c>
      <c r="K800" s="3" t="s">
        <v>57</v>
      </c>
    </row>
    <row r="801" spans="1:11" ht="42" customHeight="1">
      <c r="A801" s="2" t="s">
        <v>2515</v>
      </c>
      <c r="B801" s="2" t="s">
        <v>2516</v>
      </c>
      <c r="C801" s="2" t="s">
        <v>17</v>
      </c>
      <c r="D801" s="2" t="s">
        <v>18</v>
      </c>
      <c r="E801" s="3" t="s">
        <v>294</v>
      </c>
      <c r="F801" s="3" t="s">
        <v>1360</v>
      </c>
      <c r="G801" s="3" t="s">
        <v>2517</v>
      </c>
      <c r="H801" s="2" t="s">
        <v>55</v>
      </c>
      <c r="I801" s="2" t="s">
        <v>2518</v>
      </c>
      <c r="J801" s="3" t="str">
        <f>HYPERLINK("https://www.boe.es/gazeta/dias/1809/09/30/pdfs/GGB-1809-262.pdf#page=2","Abrir facsímil")</f>
        <v>Abrir facsímil</v>
      </c>
      <c r="K801" s="3" t="s">
        <v>57</v>
      </c>
    </row>
    <row r="802" spans="1:11" ht="42" customHeight="1">
      <c r="A802" s="2" t="s">
        <v>2519</v>
      </c>
      <c r="B802" s="2" t="s">
        <v>2520</v>
      </c>
      <c r="C802" s="2" t="s">
        <v>131</v>
      </c>
      <c r="D802" s="2" t="s">
        <v>18</v>
      </c>
      <c r="E802" s="3" t="s">
        <v>515</v>
      </c>
      <c r="F802" s="3" t="s">
        <v>516</v>
      </c>
      <c r="G802" s="3" t="s">
        <v>1380</v>
      </c>
      <c r="H802" s="2" t="s">
        <v>55</v>
      </c>
      <c r="I802" s="2" t="s">
        <v>2521</v>
      </c>
      <c r="J802" s="3" t="str">
        <f>HYPERLINK("https://www.boe.es/gazeta/dias/1809/09/02/pdfs/GMD-1809-246.pdf#page=3","Abrir facsímil")</f>
        <v>Abrir facsímil</v>
      </c>
      <c r="K802" s="3" t="s">
        <v>57</v>
      </c>
    </row>
    <row r="803" spans="1:11" ht="42" customHeight="1">
      <c r="A803" s="2" t="s">
        <v>2522</v>
      </c>
      <c r="B803" s="2" t="s">
        <v>2523</v>
      </c>
      <c r="C803" s="2" t="s">
        <v>17</v>
      </c>
      <c r="D803" s="2" t="s">
        <v>72</v>
      </c>
      <c r="E803" s="3" t="s">
        <v>53</v>
      </c>
      <c r="F803" s="3" t="s">
        <v>1456</v>
      </c>
      <c r="G803" s="3" t="s">
        <v>120</v>
      </c>
      <c r="H803" s="2" t="s">
        <v>55</v>
      </c>
      <c r="I803" s="2" t="s">
        <v>2524</v>
      </c>
      <c r="J803" s="3" t="str">
        <f>HYPERLINK("https://www.boe.es/gazeta/dias/1809/03/03/pdfs/GGB-G-1809-10.pdf#page=7","Abrir facsímil")</f>
        <v>Abrir facsímil</v>
      </c>
      <c r="K803" s="3" t="s">
        <v>57</v>
      </c>
    </row>
    <row r="804" spans="1:11" ht="42" customHeight="1">
      <c r="A804" s="2" t="s">
        <v>2525</v>
      </c>
      <c r="B804" s="2" t="s">
        <v>2526</v>
      </c>
      <c r="C804" s="2" t="s">
        <v>25</v>
      </c>
      <c r="D804" s="2" t="s">
        <v>80</v>
      </c>
      <c r="E804" s="3" t="s">
        <v>179</v>
      </c>
      <c r="F804" s="3" t="s">
        <v>180</v>
      </c>
      <c r="G804" s="3" t="s">
        <v>966</v>
      </c>
      <c r="H804" s="2" t="s">
        <v>55</v>
      </c>
      <c r="I804" s="2" t="s">
        <v>2527</v>
      </c>
      <c r="J804" s="3" t="str">
        <f>HYPERLINK("https://www.boe.es/gazeta/dias/1809/12/08/pdfs/GGB-1809-552E.pdf#page=3","Abrir facsímil")</f>
        <v>Abrir facsímil</v>
      </c>
      <c r="K804" s="3" t="s">
        <v>57</v>
      </c>
    </row>
    <row r="805" spans="1:11" ht="42" customHeight="1">
      <c r="A805" s="2" t="s">
        <v>2528</v>
      </c>
      <c r="B805" s="2" t="s">
        <v>2529</v>
      </c>
      <c r="C805" s="2" t="s">
        <v>17</v>
      </c>
      <c r="D805" s="2" t="s">
        <v>72</v>
      </c>
      <c r="E805" s="3" t="s">
        <v>394</v>
      </c>
      <c r="F805" s="3" t="s">
        <v>395</v>
      </c>
      <c r="G805" s="3" t="s">
        <v>396</v>
      </c>
      <c r="H805" s="2" t="s">
        <v>55</v>
      </c>
      <c r="I805" s="2" t="s">
        <v>2530</v>
      </c>
      <c r="J805" s="3" t="str">
        <f>HYPERLINK("https://www.boe.es/gazeta/dias/1809/12/14/pdfs/GGB-H-1809-582.pdf#page=2","Abrir facsímil")</f>
        <v>Abrir facsímil</v>
      </c>
      <c r="K805" s="3" t="s">
        <v>57</v>
      </c>
    </row>
    <row r="806" spans="1:11" ht="42" customHeight="1">
      <c r="A806" s="2" t="s">
        <v>2531</v>
      </c>
      <c r="B806" s="2" t="s">
        <v>2532</v>
      </c>
      <c r="C806" s="2" t="s">
        <v>17</v>
      </c>
      <c r="D806" s="2" t="s">
        <v>18</v>
      </c>
      <c r="E806" s="3" t="s">
        <v>33</v>
      </c>
      <c r="F806" s="3" t="s">
        <v>34</v>
      </c>
      <c r="G806" s="3" t="s">
        <v>493</v>
      </c>
      <c r="H806" s="2" t="s">
        <v>55</v>
      </c>
      <c r="I806" s="2" t="s">
        <v>2533</v>
      </c>
      <c r="J806" s="3" t="str">
        <f>HYPERLINK("https://www.boe.es/gazeta/dias/1809/12/19/pdfs/GGB-1809-602.pdf#page=6","Abrir facsímil")</f>
        <v>Abrir facsímil</v>
      </c>
      <c r="K806" s="3" t="s">
        <v>57</v>
      </c>
    </row>
    <row r="807" spans="1:11" ht="42" customHeight="1">
      <c r="A807" s="2" t="s">
        <v>2534</v>
      </c>
      <c r="B807" s="2" t="s">
        <v>2535</v>
      </c>
      <c r="C807" s="2" t="s">
        <v>17</v>
      </c>
      <c r="D807" s="2" t="s">
        <v>18</v>
      </c>
      <c r="E807" s="3" t="s">
        <v>102</v>
      </c>
      <c r="F807" s="3" t="s">
        <v>103</v>
      </c>
      <c r="G807" s="3" t="s">
        <v>830</v>
      </c>
      <c r="H807" s="2" t="s">
        <v>55</v>
      </c>
      <c r="I807" s="2" t="s">
        <v>2536</v>
      </c>
      <c r="J807" s="3" t="str">
        <f>HYPERLINK("https://www.boe.es/gazeta/dias/1809/09/28/pdfs/GGB-1809-252.pdf#page=7","Abrir facsímil")</f>
        <v>Abrir facsímil</v>
      </c>
      <c r="K807" s="3" t="s">
        <v>57</v>
      </c>
    </row>
    <row r="808" spans="1:11" ht="42" customHeight="1">
      <c r="A808" s="2" t="s">
        <v>2537</v>
      </c>
      <c r="B808" s="2" t="s">
        <v>2538</v>
      </c>
      <c r="C808" s="2" t="s">
        <v>25</v>
      </c>
      <c r="D808" s="2" t="s">
        <v>26</v>
      </c>
      <c r="E808" s="3" t="s">
        <v>248</v>
      </c>
      <c r="F808" s="3" t="s">
        <v>249</v>
      </c>
      <c r="G808" s="3" t="s">
        <v>192</v>
      </c>
      <c r="H808" s="2" t="s">
        <v>55</v>
      </c>
      <c r="I808" s="2" t="s">
        <v>2539</v>
      </c>
      <c r="J808" s="3" t="str">
        <f>HYPERLINK("https://www.boe.es/gazeta/dias/1809/07/26/pdfs/GGB-1809-48E.pdf#page=6","Abrir facsímil")</f>
        <v>Abrir facsímil</v>
      </c>
      <c r="K808" s="3" t="s">
        <v>57</v>
      </c>
    </row>
    <row r="809" spans="1:11" ht="42" customHeight="1">
      <c r="A809" s="2" t="s">
        <v>2540</v>
      </c>
      <c r="B809" s="2" t="s">
        <v>2541</v>
      </c>
      <c r="C809" s="2" t="s">
        <v>17</v>
      </c>
      <c r="D809" s="2" t="s">
        <v>72</v>
      </c>
      <c r="E809" s="3" t="s">
        <v>243</v>
      </c>
      <c r="F809" s="3" t="s">
        <v>244</v>
      </c>
      <c r="G809" s="3" t="s">
        <v>110</v>
      </c>
      <c r="H809" s="2" t="s">
        <v>55</v>
      </c>
      <c r="I809" s="2" t="s">
        <v>2542</v>
      </c>
      <c r="J809" s="3" t="str">
        <f>HYPERLINK("https://www.boe.es/gazeta/dias/1809/02/17/pdfs/GGB-G-1809-8.pdf#page=5","Abrir facsímil")</f>
        <v>Abrir facsímil</v>
      </c>
      <c r="K809" s="3" t="s">
        <v>57</v>
      </c>
    </row>
    <row r="810" spans="1:11" ht="42" customHeight="1">
      <c r="A810" s="2" t="s">
        <v>2543</v>
      </c>
      <c r="B810" s="2" t="s">
        <v>2544</v>
      </c>
      <c r="C810" s="2" t="s">
        <v>369</v>
      </c>
      <c r="D810" s="2" t="s">
        <v>72</v>
      </c>
      <c r="E810" s="3" t="s">
        <v>1206</v>
      </c>
      <c r="F810" s="3" t="s">
        <v>1207</v>
      </c>
      <c r="G810" s="3" t="s">
        <v>2545</v>
      </c>
      <c r="H810" s="2" t="s">
        <v>55</v>
      </c>
      <c r="I810" s="2" t="s">
        <v>2546</v>
      </c>
      <c r="J810" s="3" t="str">
        <f>HYPERLINK("https://www.boe.es/gazeta/dias/1809/09/23/pdfs/GGB-H-1809-232.pdf#page=6","Abrir facsímil")</f>
        <v>Abrir facsímil</v>
      </c>
      <c r="K810" s="3" t="s">
        <v>57</v>
      </c>
    </row>
    <row r="811" spans="1:11" ht="42" customHeight="1">
      <c r="A811" s="2" t="s">
        <v>2547</v>
      </c>
      <c r="B811" s="2" t="s">
        <v>2548</v>
      </c>
      <c r="C811" s="2" t="s">
        <v>17</v>
      </c>
      <c r="D811" s="2" t="s">
        <v>18</v>
      </c>
      <c r="E811" s="3" t="s">
        <v>925</v>
      </c>
      <c r="F811" s="3" t="s">
        <v>926</v>
      </c>
      <c r="G811" s="3" t="s">
        <v>62</v>
      </c>
      <c r="H811" s="2" t="s">
        <v>55</v>
      </c>
      <c r="I811" s="2" t="s">
        <v>2549</v>
      </c>
      <c r="J811" s="3" t="str">
        <f>HYPERLINK("https://www.boe.es/gazeta/dias/1809/01/11/pdfs/GGB-1809-2.pdf#page=6","Abrir facsímil")</f>
        <v>Abrir facsímil</v>
      </c>
      <c r="K811" s="3" t="s">
        <v>57</v>
      </c>
    </row>
    <row r="812" spans="1:11" ht="42" customHeight="1">
      <c r="A812" s="2" t="s">
        <v>2550</v>
      </c>
      <c r="B812" s="2" t="s">
        <v>2551</v>
      </c>
      <c r="C812" s="2" t="s">
        <v>17</v>
      </c>
      <c r="D812" s="2" t="s">
        <v>18</v>
      </c>
      <c r="E812" s="3" t="s">
        <v>2512</v>
      </c>
      <c r="F812" s="3" t="s">
        <v>2513</v>
      </c>
      <c r="G812" s="3" t="s">
        <v>110</v>
      </c>
      <c r="H812" s="2" t="s">
        <v>55</v>
      </c>
      <c r="I812" s="2" t="s">
        <v>2552</v>
      </c>
      <c r="J812" s="3" t="str">
        <f>HYPERLINK("https://www.boe.es/gazeta/dias/1809/11/27/pdfs/GMD-1809-332.pdf#page=3","Abrir facsímil")</f>
        <v>Abrir facsímil</v>
      </c>
      <c r="K812" s="3" t="s">
        <v>57</v>
      </c>
    </row>
    <row r="813" spans="1:11" ht="42" customHeight="1">
      <c r="A813" s="2" t="s">
        <v>2553</v>
      </c>
      <c r="B813" s="2" t="s">
        <v>2553</v>
      </c>
      <c r="C813" s="2" t="s">
        <v>25</v>
      </c>
      <c r="D813" s="2" t="s">
        <v>18</v>
      </c>
      <c r="E813" s="3" t="s">
        <v>1245</v>
      </c>
      <c r="F813" s="3" t="s">
        <v>1246</v>
      </c>
      <c r="G813" s="3" t="s">
        <v>129</v>
      </c>
      <c r="H813" s="2" t="s">
        <v>55</v>
      </c>
      <c r="I813" s="2" t="s">
        <v>2554</v>
      </c>
      <c r="J813" s="3" t="str">
        <f>HYPERLINK("https://www.boe.es/gazeta/dias/1809/01/12/pdfs/GMD-1809-12.pdf#page=2","Abrir facsímil")</f>
        <v>Abrir facsímil</v>
      </c>
      <c r="K813" s="3" t="s">
        <v>57</v>
      </c>
    </row>
    <row r="814" spans="1:11" ht="42" customHeight="1">
      <c r="A814" s="2" t="s">
        <v>2553</v>
      </c>
      <c r="B814" s="2" t="s">
        <v>2553</v>
      </c>
      <c r="C814" s="2" t="s">
        <v>25</v>
      </c>
      <c r="D814" s="2" t="s">
        <v>26</v>
      </c>
      <c r="E814" s="3" t="s">
        <v>1807</v>
      </c>
      <c r="F814" s="3" t="s">
        <v>1808</v>
      </c>
      <c r="G814" s="3" t="s">
        <v>2093</v>
      </c>
      <c r="H814" s="2" t="s">
        <v>55</v>
      </c>
      <c r="I814" s="2" t="s">
        <v>2555</v>
      </c>
      <c r="J814" s="3" t="str">
        <f>HYPERLINK("https://www.boe.es/gazeta/dias/1809/01/22/pdfs/GMD-1809-22.pdf#page=2","Abrir facsímil")</f>
        <v>Abrir facsímil</v>
      </c>
      <c r="K814" s="3" t="s">
        <v>57</v>
      </c>
    </row>
    <row r="815" spans="1:11" ht="42" customHeight="1">
      <c r="A815" s="2" t="s">
        <v>2553</v>
      </c>
      <c r="B815" s="2" t="s">
        <v>2553</v>
      </c>
      <c r="C815" s="2" t="s">
        <v>25</v>
      </c>
      <c r="D815" s="2" t="s">
        <v>26</v>
      </c>
      <c r="E815" s="3" t="s">
        <v>81</v>
      </c>
      <c r="F815" s="3" t="s">
        <v>1251</v>
      </c>
      <c r="G815" s="3" t="s">
        <v>129</v>
      </c>
      <c r="H815" s="2" t="s">
        <v>55</v>
      </c>
      <c r="I815" s="2" t="s">
        <v>2556</v>
      </c>
      <c r="J815" s="3" t="str">
        <f>HYPERLINK("https://www.boe.es/gazeta/dias/1809/04/11/pdfs/GMD-1809-101.pdf#page=2","Abrir facsímil")</f>
        <v>Abrir facsímil</v>
      </c>
      <c r="K815" s="3" t="s">
        <v>57</v>
      </c>
    </row>
    <row r="816" spans="1:11" ht="42" customHeight="1">
      <c r="A816" s="2" t="s">
        <v>2557</v>
      </c>
      <c r="B816" s="2" t="s">
        <v>2558</v>
      </c>
      <c r="C816" s="2" t="s">
        <v>17</v>
      </c>
      <c r="D816" s="2" t="s">
        <v>40</v>
      </c>
      <c r="E816" s="3" t="s">
        <v>1652</v>
      </c>
      <c r="F816" s="3" t="s">
        <v>1653</v>
      </c>
      <c r="G816" s="3" t="s">
        <v>2559</v>
      </c>
      <c r="H816" s="2" t="s">
        <v>55</v>
      </c>
      <c r="I816" s="2" t="s">
        <v>2560</v>
      </c>
      <c r="J816" s="3" t="str">
        <f>HYPERLINK("https://www.boe.es/gazeta/dias/1809/07/25/pdfs/GGB-1809-48.pdf#page=12","Abrir facsímil")</f>
        <v>Abrir facsímil</v>
      </c>
      <c r="K816" s="3" t="s">
        <v>57</v>
      </c>
    </row>
    <row r="817" spans="1:11" ht="42" customHeight="1">
      <c r="A817" s="2" t="s">
        <v>2561</v>
      </c>
      <c r="B817" s="2" t="s">
        <v>2562</v>
      </c>
      <c r="C817" s="2" t="s">
        <v>131</v>
      </c>
      <c r="D817" s="2" t="s">
        <v>18</v>
      </c>
      <c r="E817" s="3" t="s">
        <v>394</v>
      </c>
      <c r="F817" s="3" t="s">
        <v>2563</v>
      </c>
      <c r="G817" s="3" t="s">
        <v>110</v>
      </c>
      <c r="H817" s="2" t="s">
        <v>55</v>
      </c>
      <c r="I817" s="2" t="s">
        <v>2564</v>
      </c>
      <c r="J817" s="3" t="str">
        <f>HYPERLINK("https://www.boe.es/gazeta/dias/1809/12/14/pdfs/GMD-1809-349.pdf#page=3","Abrir facsímil")</f>
        <v>Abrir facsímil</v>
      </c>
      <c r="K817" s="3" t="s">
        <v>57</v>
      </c>
    </row>
    <row r="818" spans="1:11" ht="42" customHeight="1">
      <c r="A818" s="2" t="s">
        <v>2565</v>
      </c>
      <c r="B818" s="2" t="s">
        <v>2565</v>
      </c>
      <c r="C818" s="2" t="s">
        <v>25</v>
      </c>
      <c r="D818" s="2" t="s">
        <v>40</v>
      </c>
      <c r="E818" s="3" t="s">
        <v>1276</v>
      </c>
      <c r="F818" s="3" t="s">
        <v>2088</v>
      </c>
      <c r="G818" s="3" t="s">
        <v>234</v>
      </c>
      <c r="H818" s="2" t="s">
        <v>55</v>
      </c>
      <c r="I818" s="2" t="s">
        <v>2566</v>
      </c>
      <c r="J818" s="3" t="str">
        <f>HYPERLINK("https://www.boe.es/gazeta/dias/1809/01/03/pdfs/GMD-1809-3.pdf#page=4","Abrir facsímil")</f>
        <v>Abrir facsímil</v>
      </c>
      <c r="K818" s="3" t="s">
        <v>57</v>
      </c>
    </row>
    <row r="819" spans="1:11" ht="42" customHeight="1">
      <c r="A819" s="2" t="s">
        <v>2565</v>
      </c>
      <c r="B819" s="2" t="s">
        <v>2565</v>
      </c>
      <c r="C819" s="2" t="s">
        <v>25</v>
      </c>
      <c r="D819" s="2" t="s">
        <v>40</v>
      </c>
      <c r="E819" s="3" t="s">
        <v>1276</v>
      </c>
      <c r="F819" s="3" t="s">
        <v>2088</v>
      </c>
      <c r="G819" s="3" t="s">
        <v>396</v>
      </c>
      <c r="H819" s="2" t="s">
        <v>55</v>
      </c>
      <c r="I819" s="2" t="s">
        <v>2567</v>
      </c>
      <c r="J819" s="3" t="str">
        <f>HYPERLINK("https://www.boe.es/gazeta/dias/1809/01/03/pdfs/GMD-1809-3.pdf#page=8","Abrir facsímil")</f>
        <v>Abrir facsímil</v>
      </c>
      <c r="K819" s="3" t="s">
        <v>57</v>
      </c>
    </row>
    <row r="820" spans="1:11" ht="42" customHeight="1">
      <c r="A820" s="2" t="s">
        <v>2568</v>
      </c>
      <c r="B820" s="2" t="s">
        <v>2569</v>
      </c>
      <c r="C820" s="2" t="s">
        <v>17</v>
      </c>
      <c r="D820" s="2" t="s">
        <v>18</v>
      </c>
      <c r="E820" s="3" t="s">
        <v>33</v>
      </c>
      <c r="F820" s="3" t="s">
        <v>34</v>
      </c>
      <c r="G820" s="3" t="s">
        <v>493</v>
      </c>
      <c r="H820" s="2" t="s">
        <v>55</v>
      </c>
      <c r="I820" s="2" t="s">
        <v>2570</v>
      </c>
      <c r="J820" s="3" t="str">
        <f>HYPERLINK("https://www.boe.es/gazeta/dias/1809/12/19/pdfs/GGB-1809-602.pdf#page=6","Abrir facsímil")</f>
        <v>Abrir facsímil</v>
      </c>
      <c r="K820" s="3" t="s">
        <v>57</v>
      </c>
    </row>
    <row r="821" spans="1:11" ht="42" customHeight="1">
      <c r="A821" s="2" t="s">
        <v>2571</v>
      </c>
      <c r="B821" s="2" t="s">
        <v>2572</v>
      </c>
      <c r="C821" s="2" t="s">
        <v>25</v>
      </c>
      <c r="D821" s="2" t="s">
        <v>26</v>
      </c>
      <c r="E821" s="3" t="s">
        <v>243</v>
      </c>
      <c r="F821" s="3" t="s">
        <v>735</v>
      </c>
      <c r="G821" s="3" t="s">
        <v>736</v>
      </c>
      <c r="H821" s="2" t="s">
        <v>55</v>
      </c>
      <c r="I821" s="2" t="s">
        <v>2573</v>
      </c>
      <c r="J821" s="3" t="str">
        <f>HYPERLINK("https://www.boe.es/gazeta/dias/1809/02/17/pdfs/GGB-1809-8.pdf#page=8","Abrir facsímil")</f>
        <v>Abrir facsímil</v>
      </c>
      <c r="K821" s="3" t="s">
        <v>57</v>
      </c>
    </row>
    <row r="822" spans="1:11" ht="42" customHeight="1">
      <c r="A822" s="2" t="s">
        <v>2574</v>
      </c>
      <c r="B822" s="2" t="s">
        <v>2575</v>
      </c>
      <c r="C822" s="2" t="s">
        <v>25</v>
      </c>
      <c r="D822" s="2" t="s">
        <v>18</v>
      </c>
      <c r="E822" s="3" t="s">
        <v>243</v>
      </c>
      <c r="F822" s="3" t="s">
        <v>735</v>
      </c>
      <c r="G822" s="3" t="s">
        <v>736</v>
      </c>
      <c r="H822" s="2" t="s">
        <v>55</v>
      </c>
      <c r="I822" s="2" t="s">
        <v>2576</v>
      </c>
      <c r="J822" s="3" t="str">
        <f>HYPERLINK("https://www.boe.es/gazeta/dias/1809/02/17/pdfs/GGB-1809-8.pdf#page=8","Abrir facsímil")</f>
        <v>Abrir facsímil</v>
      </c>
      <c r="K822" s="3" t="s">
        <v>57</v>
      </c>
    </row>
    <row r="823" spans="1:11" ht="42" customHeight="1">
      <c r="A823" s="2" t="s">
        <v>2577</v>
      </c>
      <c r="B823" s="2" t="s">
        <v>2578</v>
      </c>
      <c r="C823" s="2" t="s">
        <v>369</v>
      </c>
      <c r="D823" s="2" t="s">
        <v>18</v>
      </c>
      <c r="E823" s="3" t="s">
        <v>278</v>
      </c>
      <c r="F823" s="3" t="s">
        <v>279</v>
      </c>
      <c r="G823" s="3" t="s">
        <v>1680</v>
      </c>
      <c r="H823" s="2" t="s">
        <v>55</v>
      </c>
      <c r="I823" s="2" t="s">
        <v>2579</v>
      </c>
      <c r="J823" s="3" t="str">
        <f>HYPERLINK("https://www.boe.es/gazeta/dias/1809/03/26/pdfs/GMD-1809-85.pdf#page=4","Abrir facsímil")</f>
        <v>Abrir facsímil</v>
      </c>
      <c r="K823" s="3" t="s">
        <v>57</v>
      </c>
    </row>
    <row r="824" spans="1:11" ht="42" customHeight="1">
      <c r="A824" s="2" t="s">
        <v>2580</v>
      </c>
      <c r="B824" s="2" t="s">
        <v>2581</v>
      </c>
      <c r="C824" s="2" t="s">
        <v>79</v>
      </c>
      <c r="D824" s="2" t="s">
        <v>26</v>
      </c>
      <c r="E824" s="3" t="s">
        <v>102</v>
      </c>
      <c r="F824" s="3" t="s">
        <v>103</v>
      </c>
      <c r="G824" s="3" t="s">
        <v>104</v>
      </c>
      <c r="H824" s="2" t="s">
        <v>55</v>
      </c>
      <c r="I824" s="2" t="s">
        <v>2582</v>
      </c>
      <c r="J824" s="3" t="str">
        <f>HYPERLINK("https://www.boe.es/gazeta/dias/1809/09/28/pdfs/GGB-1809-252.pdf#page=8","Abrir facsímil")</f>
        <v>Abrir facsímil</v>
      </c>
      <c r="K824" s="3" t="s">
        <v>57</v>
      </c>
    </row>
    <row r="825" spans="1:11" ht="42" customHeight="1">
      <c r="A825" s="2" t="s">
        <v>2583</v>
      </c>
      <c r="B825" s="2" t="s">
        <v>2583</v>
      </c>
      <c r="C825" s="2" t="s">
        <v>47</v>
      </c>
      <c r="D825" s="2" t="s">
        <v>18</v>
      </c>
      <c r="E825" s="3" t="s">
        <v>1276</v>
      </c>
      <c r="F825" s="3" t="s">
        <v>2088</v>
      </c>
      <c r="G825" s="3" t="s">
        <v>651</v>
      </c>
      <c r="H825" s="2" t="s">
        <v>55</v>
      </c>
      <c r="I825" s="2" t="s">
        <v>2584</v>
      </c>
      <c r="J825" s="3" t="str">
        <f>HYPERLINK("https://www.boe.es/gazeta/dias/1809/01/03/pdfs/GMD-1809-3.pdf#page=1","Abrir facsímil")</f>
        <v>Abrir facsímil</v>
      </c>
      <c r="K825" s="3" t="s">
        <v>57</v>
      </c>
    </row>
    <row r="826" spans="1:11" ht="42" customHeight="1">
      <c r="A826" s="2" t="s">
        <v>2583</v>
      </c>
      <c r="B826" s="2" t="s">
        <v>2583</v>
      </c>
      <c r="C826" s="2" t="s">
        <v>17</v>
      </c>
      <c r="D826" s="2" t="s">
        <v>107</v>
      </c>
      <c r="E826" s="3" t="s">
        <v>2249</v>
      </c>
      <c r="F826" s="3" t="s">
        <v>2250</v>
      </c>
      <c r="G826" s="3" t="s">
        <v>2585</v>
      </c>
      <c r="H826" s="2" t="s">
        <v>55</v>
      </c>
      <c r="I826" s="2" t="s">
        <v>2586</v>
      </c>
      <c r="J826" s="3" t="str">
        <f>HYPERLINK("https://www.boe.es/gazeta/dias/1809/06/08/pdfs/GMD-1809-159.pdf#page=1","Abrir facsímil")</f>
        <v>Abrir facsímil</v>
      </c>
      <c r="K826" s="3" t="s">
        <v>57</v>
      </c>
    </row>
    <row r="827" spans="1:11" ht="42" customHeight="1">
      <c r="A827" s="2" t="s">
        <v>2587</v>
      </c>
      <c r="B827" s="2" t="s">
        <v>2588</v>
      </c>
      <c r="C827" s="2" t="s">
        <v>25</v>
      </c>
      <c r="D827" s="2" t="s">
        <v>26</v>
      </c>
      <c r="E827" s="3" t="s">
        <v>589</v>
      </c>
      <c r="F827" s="3" t="s">
        <v>590</v>
      </c>
      <c r="G827" s="3" t="s">
        <v>1433</v>
      </c>
      <c r="H827" s="2" t="s">
        <v>55</v>
      </c>
      <c r="I827" s="2" t="s">
        <v>2589</v>
      </c>
      <c r="J827" s="3" t="str">
        <f>HYPERLINK("https://www.boe.es/gazeta/dias/1809/10/05/pdfs/GGB-1809-282.pdf#page=8","Abrir facsímil")</f>
        <v>Abrir facsímil</v>
      </c>
      <c r="K827" s="3" t="s">
        <v>57</v>
      </c>
    </row>
    <row r="828" spans="1:11" ht="42" customHeight="1">
      <c r="A828" s="2" t="s">
        <v>2590</v>
      </c>
      <c r="B828" s="2" t="s">
        <v>2590</v>
      </c>
      <c r="C828" s="2" t="s">
        <v>25</v>
      </c>
      <c r="D828" s="2" t="s">
        <v>18</v>
      </c>
      <c r="E828" s="3" t="s">
        <v>1954</v>
      </c>
      <c r="F828" s="3" t="s">
        <v>1955</v>
      </c>
      <c r="G828" s="3" t="s">
        <v>129</v>
      </c>
      <c r="H828" s="2" t="s">
        <v>55</v>
      </c>
      <c r="I828" s="2" t="s">
        <v>2591</v>
      </c>
      <c r="J828" s="3" t="str">
        <f>HYPERLINK("https://www.boe.es/gazeta/dias/1809/11/08/pdfs/GMD-1809-313.pdf#page=2","Abrir facsímil")</f>
        <v>Abrir facsímil</v>
      </c>
      <c r="K828" s="3" t="s">
        <v>57</v>
      </c>
    </row>
    <row r="829" spans="1:11" ht="42" customHeight="1">
      <c r="A829" s="2" t="s">
        <v>2592</v>
      </c>
      <c r="B829" s="2" t="s">
        <v>2592</v>
      </c>
      <c r="C829" s="2" t="s">
        <v>25</v>
      </c>
      <c r="D829" s="2" t="s">
        <v>40</v>
      </c>
      <c r="E829" s="3" t="s">
        <v>163</v>
      </c>
      <c r="F829" s="3" t="s">
        <v>478</v>
      </c>
      <c r="G829" s="3" t="s">
        <v>1729</v>
      </c>
      <c r="H829" s="2" t="s">
        <v>55</v>
      </c>
      <c r="I829" s="2" t="s">
        <v>2593</v>
      </c>
      <c r="J829" s="3" t="str">
        <f>HYPERLINK("https://www.boe.es/gazeta/dias/1809/03/10/pdfs/GGB-1809-11.pdf#page=13","Abrir facsímil")</f>
        <v>Abrir facsímil</v>
      </c>
      <c r="K829" s="3" t="s">
        <v>57</v>
      </c>
    </row>
    <row r="830" spans="1:11" ht="42" customHeight="1">
      <c r="A830" s="2" t="s">
        <v>2594</v>
      </c>
      <c r="B830" s="2" t="s">
        <v>2594</v>
      </c>
      <c r="C830" s="2" t="s">
        <v>25</v>
      </c>
      <c r="D830" s="2" t="s">
        <v>18</v>
      </c>
      <c r="E830" s="3" t="s">
        <v>2595</v>
      </c>
      <c r="F830" s="3" t="s">
        <v>2596</v>
      </c>
      <c r="G830" s="3" t="s">
        <v>426</v>
      </c>
      <c r="H830" s="2" t="s">
        <v>55</v>
      </c>
      <c r="I830" s="2" t="s">
        <v>2597</v>
      </c>
      <c r="J830" s="3" t="str">
        <f>HYPERLINK("https://www.boe.es/gazeta/dias/1809/06/16/pdfs/GMD-1809-167.pdf#page=2","Abrir facsímil")</f>
        <v>Abrir facsímil</v>
      </c>
      <c r="K830" s="3" t="s">
        <v>57</v>
      </c>
    </row>
    <row r="831" spans="1:11" ht="42" customHeight="1">
      <c r="A831" s="2" t="s">
        <v>2598</v>
      </c>
      <c r="B831" s="2" t="s">
        <v>2598</v>
      </c>
      <c r="C831" s="2" t="s">
        <v>17</v>
      </c>
      <c r="D831" s="2" t="s">
        <v>18</v>
      </c>
      <c r="E831" s="3" t="s">
        <v>2599</v>
      </c>
      <c r="F831" s="3" t="s">
        <v>2600</v>
      </c>
      <c r="G831" s="3" t="s">
        <v>21</v>
      </c>
      <c r="H831" s="2" t="s">
        <v>55</v>
      </c>
      <c r="I831" s="2" t="s">
        <v>2601</v>
      </c>
      <c r="J831" s="3" t="str">
        <f>HYPERLINK("https://www.boe.es/gazeta/dias/1809/05/11/pdfs/GMD-1809-131.pdf#page=4","Abrir facsímil")</f>
        <v>Abrir facsímil</v>
      </c>
      <c r="K831" s="3" t="s">
        <v>57</v>
      </c>
    </row>
    <row r="832" spans="1:11" ht="42" customHeight="1">
      <c r="A832" s="2" t="s">
        <v>2598</v>
      </c>
      <c r="B832" s="2" t="s">
        <v>2598</v>
      </c>
      <c r="C832" s="2" t="s">
        <v>39</v>
      </c>
      <c r="D832" s="2" t="s">
        <v>18</v>
      </c>
      <c r="E832" s="3" t="s">
        <v>2602</v>
      </c>
      <c r="F832" s="3" t="s">
        <v>2603</v>
      </c>
      <c r="G832" s="3" t="s">
        <v>89</v>
      </c>
      <c r="H832" s="2" t="s">
        <v>55</v>
      </c>
      <c r="I832" s="2" t="s">
        <v>2604</v>
      </c>
      <c r="J832" s="3" t="str">
        <f>HYPERLINK("https://www.boe.es/gazeta/dias/1809/11/15/pdfs/GMD-1809-320.pdf#page=4","Abrir facsímil")</f>
        <v>Abrir facsímil</v>
      </c>
      <c r="K832" s="3" t="s">
        <v>57</v>
      </c>
    </row>
    <row r="833" spans="1:11" ht="42" customHeight="1">
      <c r="A833" s="2" t="s">
        <v>2598</v>
      </c>
      <c r="B833" s="2" t="s">
        <v>2598</v>
      </c>
      <c r="C833" s="2" t="s">
        <v>25</v>
      </c>
      <c r="D833" s="2" t="s">
        <v>26</v>
      </c>
      <c r="E833" s="3" t="s">
        <v>223</v>
      </c>
      <c r="F833" s="3" t="s">
        <v>224</v>
      </c>
      <c r="G833" s="3" t="s">
        <v>225</v>
      </c>
      <c r="H833" s="2" t="s">
        <v>55</v>
      </c>
      <c r="I833" s="2" t="s">
        <v>2605</v>
      </c>
      <c r="J833" s="3" t="str">
        <f>HYPERLINK("https://www.boe.es/gazeta/dias/1809/12/17/pdfs/GMD-1809-352.pdf#page=4","Abrir facsímil")</f>
        <v>Abrir facsímil</v>
      </c>
      <c r="K833" s="3" t="s">
        <v>57</v>
      </c>
    </row>
    <row r="834" spans="1:11" ht="42" customHeight="1">
      <c r="A834" s="2" t="s">
        <v>2606</v>
      </c>
      <c r="B834" s="2" t="s">
        <v>2606</v>
      </c>
      <c r="C834" s="2" t="s">
        <v>25</v>
      </c>
      <c r="D834" s="2" t="s">
        <v>26</v>
      </c>
      <c r="E834" s="3" t="s">
        <v>2607</v>
      </c>
      <c r="F834" s="3" t="s">
        <v>2608</v>
      </c>
      <c r="G834" s="3" t="s">
        <v>426</v>
      </c>
      <c r="H834" s="2" t="s">
        <v>55</v>
      </c>
      <c r="I834" s="2" t="s">
        <v>2609</v>
      </c>
      <c r="J834" s="3" t="str">
        <f>HYPERLINK("https://www.boe.es/gazeta/dias/1809/04/30/pdfs/GMD-1809-120.pdf#page=4","Abrir facsímil")</f>
        <v>Abrir facsímil</v>
      </c>
      <c r="K834" s="3" t="s">
        <v>57</v>
      </c>
    </row>
    <row r="835" spans="1:11" ht="42" customHeight="1">
      <c r="A835" s="2" t="s">
        <v>2610</v>
      </c>
      <c r="B835" s="2" t="s">
        <v>2611</v>
      </c>
      <c r="C835" s="2" t="s">
        <v>25</v>
      </c>
      <c r="D835" s="2" t="s">
        <v>72</v>
      </c>
      <c r="E835" s="3" t="s">
        <v>258</v>
      </c>
      <c r="F835" s="3" t="s">
        <v>2612</v>
      </c>
      <c r="G835" s="3" t="s">
        <v>89</v>
      </c>
      <c r="H835" s="2" t="s">
        <v>55</v>
      </c>
      <c r="I835" s="2" t="s">
        <v>2613</v>
      </c>
      <c r="J835" s="3" t="str">
        <f>HYPERLINK("https://www.boe.es/gazeta/dias/1809/03/17/pdfs/GGB-H-1809-12.pdf#page=7","Abrir facsímil")</f>
        <v>Abrir facsímil</v>
      </c>
      <c r="K835" s="3" t="s">
        <v>57</v>
      </c>
    </row>
    <row r="836" spans="1:11" ht="42" customHeight="1">
      <c r="A836" s="2" t="s">
        <v>2614</v>
      </c>
      <c r="B836" s="2" t="s">
        <v>2615</v>
      </c>
      <c r="C836" s="2" t="s">
        <v>25</v>
      </c>
      <c r="D836" s="2" t="s">
        <v>18</v>
      </c>
      <c r="E836" s="3" t="s">
        <v>925</v>
      </c>
      <c r="F836" s="3" t="s">
        <v>926</v>
      </c>
      <c r="G836" s="3" t="s">
        <v>270</v>
      </c>
      <c r="H836" s="2" t="s">
        <v>55</v>
      </c>
      <c r="I836" s="2" t="s">
        <v>2616</v>
      </c>
      <c r="J836" s="3" t="str">
        <f>HYPERLINK("https://www.boe.es/gazeta/dias/1809/01/11/pdfs/GGB-1809-2.pdf#page=5","Abrir facsímil")</f>
        <v>Abrir facsímil</v>
      </c>
      <c r="K836" s="3" t="s">
        <v>57</v>
      </c>
    </row>
    <row r="837" spans="1:11" ht="42" customHeight="1">
      <c r="A837" s="2" t="s">
        <v>2617</v>
      </c>
      <c r="B837" s="2" t="s">
        <v>2618</v>
      </c>
      <c r="C837" s="2" t="s">
        <v>288</v>
      </c>
      <c r="D837" s="2" t="s">
        <v>40</v>
      </c>
      <c r="E837" s="3" t="s">
        <v>158</v>
      </c>
      <c r="F837" s="3" t="s">
        <v>159</v>
      </c>
      <c r="G837" s="3" t="s">
        <v>239</v>
      </c>
      <c r="H837" s="2" t="s">
        <v>55</v>
      </c>
      <c r="I837" s="2" t="s">
        <v>2619</v>
      </c>
      <c r="J837" s="3" t="str">
        <f>HYPERLINK("https://www.boe.es/gazeta/dias/1809/02/10/pdfs/GGB-1809-7.pdf#page=11","Abrir facsímil")</f>
        <v>Abrir facsímil</v>
      </c>
      <c r="K837" s="3" t="s">
        <v>57</v>
      </c>
    </row>
    <row r="838" spans="1:11" ht="42" customHeight="1">
      <c r="A838" s="2" t="s">
        <v>2620</v>
      </c>
      <c r="B838" s="2" t="s">
        <v>2620</v>
      </c>
      <c r="C838" s="2" t="s">
        <v>25</v>
      </c>
      <c r="D838" s="2" t="s">
        <v>26</v>
      </c>
      <c r="E838" s="3" t="s">
        <v>1608</v>
      </c>
      <c r="F838" s="3" t="s">
        <v>2350</v>
      </c>
      <c r="G838" s="3" t="s">
        <v>525</v>
      </c>
      <c r="H838" s="2" t="s">
        <v>55</v>
      </c>
      <c r="I838" s="2" t="s">
        <v>2621</v>
      </c>
      <c r="J838" s="3" t="str">
        <f>HYPERLINK("https://www.boe.es/gazeta/dias/1809/04/15/pdfs/GMD-1809-105.pdf#page=1","Abrir facsímil")</f>
        <v>Abrir facsímil</v>
      </c>
      <c r="K838" s="3" t="s">
        <v>57</v>
      </c>
    </row>
    <row r="839" spans="1:11" ht="42" customHeight="1">
      <c r="A839" s="2" t="s">
        <v>2622</v>
      </c>
      <c r="B839" s="2" t="s">
        <v>2623</v>
      </c>
      <c r="C839" s="2" t="s">
        <v>17</v>
      </c>
      <c r="D839" s="2" t="s">
        <v>18</v>
      </c>
      <c r="E839" s="3" t="s">
        <v>357</v>
      </c>
      <c r="F839" s="3" t="s">
        <v>358</v>
      </c>
      <c r="G839" s="3" t="s">
        <v>225</v>
      </c>
      <c r="H839" s="2" t="s">
        <v>55</v>
      </c>
      <c r="I839" s="2" t="s">
        <v>2624</v>
      </c>
      <c r="J839" s="3" t="str">
        <f>HYPERLINK("https://www.boe.es/gazeta/dias/1809/03/20/pdfs/GMD-1809-79.pdf#page=4","Abrir facsímil")</f>
        <v>Abrir facsímil</v>
      </c>
      <c r="K839" s="3" t="s">
        <v>57</v>
      </c>
    </row>
    <row r="840" spans="1:11" ht="42" customHeight="1">
      <c r="A840" s="2" t="s">
        <v>2625</v>
      </c>
      <c r="B840" s="2" t="s">
        <v>2625</v>
      </c>
      <c r="C840" s="2" t="s">
        <v>17</v>
      </c>
      <c r="D840" s="2" t="s">
        <v>18</v>
      </c>
      <c r="E840" s="3" t="s">
        <v>1898</v>
      </c>
      <c r="F840" s="3" t="s">
        <v>1899</v>
      </c>
      <c r="G840" s="3" t="s">
        <v>2626</v>
      </c>
      <c r="H840" s="2" t="s">
        <v>55</v>
      </c>
      <c r="I840" s="2" t="s">
        <v>2627</v>
      </c>
      <c r="J840" s="3" t="str">
        <f>HYPERLINK("https://www.boe.es/gazeta/dias/1809/12/02/pdfs/GGB-1809-532.pdf#page=7","Abrir facsímil")</f>
        <v>Abrir facsímil</v>
      </c>
      <c r="K840" s="3" t="s">
        <v>57</v>
      </c>
    </row>
    <row r="841" spans="1:11" ht="42" customHeight="1">
      <c r="A841" s="2" t="s">
        <v>2628</v>
      </c>
      <c r="B841" s="2" t="s">
        <v>2629</v>
      </c>
      <c r="C841" s="2" t="s">
        <v>25</v>
      </c>
      <c r="D841" s="2" t="s">
        <v>26</v>
      </c>
      <c r="E841" s="3" t="s">
        <v>712</v>
      </c>
      <c r="F841" s="3" t="s">
        <v>713</v>
      </c>
      <c r="G841" s="3" t="s">
        <v>154</v>
      </c>
      <c r="H841" s="2" t="s">
        <v>55</v>
      </c>
      <c r="I841" s="2" t="s">
        <v>2630</v>
      </c>
      <c r="J841" s="3" t="str">
        <f>HYPERLINK("https://www.boe.es/gazeta/dias/1809/09/10/pdfs/GMD-1809-254.pdf#page=3","Abrir facsímil")</f>
        <v>Abrir facsímil</v>
      </c>
      <c r="K841" s="3" t="s">
        <v>57</v>
      </c>
    </row>
    <row r="842" spans="1:11" ht="42" customHeight="1">
      <c r="A842" s="2" t="s">
        <v>2631</v>
      </c>
      <c r="B842" s="2" t="s">
        <v>2632</v>
      </c>
      <c r="C842" s="2" t="s">
        <v>17</v>
      </c>
      <c r="D842" s="2" t="s">
        <v>18</v>
      </c>
      <c r="E842" s="3" t="s">
        <v>442</v>
      </c>
      <c r="F842" s="3" t="s">
        <v>2171</v>
      </c>
      <c r="G842" s="3" t="s">
        <v>2172</v>
      </c>
      <c r="H842" s="2" t="s">
        <v>55</v>
      </c>
      <c r="I842" s="2" t="s">
        <v>2633</v>
      </c>
      <c r="J842" s="3" t="str">
        <f>HYPERLINK("https://www.boe.es/gazeta/dias/1809/09/05/pdfs/GMD-1809-249.pdf#page=4","Abrir facsímil")</f>
        <v>Abrir facsímil</v>
      </c>
      <c r="K842" s="3" t="s">
        <v>57</v>
      </c>
    </row>
    <row r="843" spans="1:11" ht="42" customHeight="1">
      <c r="A843" s="2" t="s">
        <v>2634</v>
      </c>
      <c r="B843" s="2" t="s">
        <v>2635</v>
      </c>
      <c r="C843" s="2" t="s">
        <v>288</v>
      </c>
      <c r="D843" s="2" t="s">
        <v>107</v>
      </c>
      <c r="E843" s="3" t="s">
        <v>2595</v>
      </c>
      <c r="F843" s="3" t="s">
        <v>2596</v>
      </c>
      <c r="G843" s="3" t="s">
        <v>2636</v>
      </c>
      <c r="H843" s="2" t="s">
        <v>55</v>
      </c>
      <c r="I843" s="2" t="s">
        <v>2637</v>
      </c>
      <c r="J843" s="3" t="str">
        <f>HYPERLINK("https://www.boe.es/gazeta/dias/1809/06/16/pdfs/GMD-1809-167.pdf#page=4","Abrir facsímil")</f>
        <v>Abrir facsímil</v>
      </c>
      <c r="K843" s="3" t="s">
        <v>57</v>
      </c>
    </row>
    <row r="844" spans="1:11" ht="42" customHeight="1">
      <c r="A844" s="2" t="s">
        <v>2638</v>
      </c>
      <c r="B844" s="2" t="s">
        <v>2638</v>
      </c>
      <c r="C844" s="2" t="s">
        <v>25</v>
      </c>
      <c r="D844" s="2" t="s">
        <v>26</v>
      </c>
      <c r="E844" s="3" t="s">
        <v>216</v>
      </c>
      <c r="F844" s="3" t="s">
        <v>217</v>
      </c>
      <c r="G844" s="3" t="s">
        <v>154</v>
      </c>
      <c r="H844" s="2" t="s">
        <v>55</v>
      </c>
      <c r="I844" s="2" t="s">
        <v>2639</v>
      </c>
      <c r="J844" s="3" t="str">
        <f>HYPERLINK("https://www.boe.es/gazeta/dias/1809/12/05/pdfs/GGB-H-1809-542.pdf#page=1","Abrir facsímil")</f>
        <v>Abrir facsímil</v>
      </c>
      <c r="K844" s="3" t="s">
        <v>57</v>
      </c>
    </row>
    <row r="845" spans="1:11" ht="42" customHeight="1">
      <c r="A845" s="2" t="s">
        <v>2640</v>
      </c>
      <c r="B845" s="2" t="s">
        <v>2640</v>
      </c>
      <c r="C845" s="2" t="s">
        <v>25</v>
      </c>
      <c r="D845" s="2" t="s">
        <v>26</v>
      </c>
      <c r="E845" s="3" t="s">
        <v>211</v>
      </c>
      <c r="F845" s="3" t="s">
        <v>212</v>
      </c>
      <c r="G845" s="3" t="s">
        <v>467</v>
      </c>
      <c r="H845" s="2" t="s">
        <v>55</v>
      </c>
      <c r="I845" s="2" t="s">
        <v>2641</v>
      </c>
      <c r="J845" s="3" t="str">
        <f>HYPERLINK("https://www.boe.es/gazeta/dias/1809/10/27/pdfs/GMD-1809-301.pdf#page=2","Abrir facsímil")</f>
        <v>Abrir facsímil</v>
      </c>
      <c r="K845" s="3" t="s">
        <v>57</v>
      </c>
    </row>
    <row r="846" spans="1:11" ht="42" customHeight="1">
      <c r="A846" s="2" t="s">
        <v>2642</v>
      </c>
      <c r="B846" s="2" t="s">
        <v>2642</v>
      </c>
      <c r="C846" s="2" t="s">
        <v>25</v>
      </c>
      <c r="D846" s="2" t="s">
        <v>18</v>
      </c>
      <c r="E846" s="3" t="s">
        <v>2643</v>
      </c>
      <c r="F846" s="3" t="s">
        <v>2644</v>
      </c>
      <c r="G846" s="3" t="s">
        <v>525</v>
      </c>
      <c r="H846" s="2" t="s">
        <v>55</v>
      </c>
      <c r="I846" s="2" t="s">
        <v>2645</v>
      </c>
      <c r="J846" s="3" t="str">
        <f>HYPERLINK("https://www.boe.es/gazeta/dias/1809/09/29/pdfs/GMD-1809-273.pdf#page=3","Abrir facsímil")</f>
        <v>Abrir facsímil</v>
      </c>
      <c r="K846" s="3" t="s">
        <v>57</v>
      </c>
    </row>
    <row r="847" spans="1:11" ht="42" customHeight="1">
      <c r="A847" s="2" t="s">
        <v>2646</v>
      </c>
      <c r="B847" s="2" t="s">
        <v>2646</v>
      </c>
      <c r="C847" s="2" t="s">
        <v>25</v>
      </c>
      <c r="D847" s="2" t="s">
        <v>107</v>
      </c>
      <c r="E847" s="3" t="s">
        <v>776</v>
      </c>
      <c r="F847" s="3" t="s">
        <v>1485</v>
      </c>
      <c r="G847" s="3" t="s">
        <v>623</v>
      </c>
      <c r="H847" s="2" t="s">
        <v>55</v>
      </c>
      <c r="I847" s="2" t="s">
        <v>2647</v>
      </c>
      <c r="J847" s="3" t="str">
        <f>HYPERLINK("https://www.boe.es/gazeta/dias/1809/05/28/pdfs/GGB-1809-31E2.pdf#page=6","Abrir facsímil")</f>
        <v>Abrir facsímil</v>
      </c>
      <c r="K847" s="3" t="s">
        <v>57</v>
      </c>
    </row>
    <row r="848" spans="1:11" ht="42" customHeight="1">
      <c r="A848" s="2" t="s">
        <v>2648</v>
      </c>
      <c r="B848" s="2" t="s">
        <v>2648</v>
      </c>
      <c r="C848" s="2" t="s">
        <v>25</v>
      </c>
      <c r="D848" s="2" t="s">
        <v>18</v>
      </c>
      <c r="E848" s="3" t="s">
        <v>211</v>
      </c>
      <c r="F848" s="3" t="s">
        <v>212</v>
      </c>
      <c r="G848" s="3" t="s">
        <v>29</v>
      </c>
      <c r="H848" s="2" t="s">
        <v>55</v>
      </c>
      <c r="I848" s="2" t="s">
        <v>2649</v>
      </c>
      <c r="J848" s="3" t="str">
        <f>HYPERLINK("https://www.boe.es/gazeta/dias/1809/10/27/pdfs/GMD-1809-301.pdf#page=3","Abrir facsímil")</f>
        <v>Abrir facsímil</v>
      </c>
      <c r="K848" s="3" t="s">
        <v>57</v>
      </c>
    </row>
    <row r="849" spans="1:11" ht="42" customHeight="1">
      <c r="A849" s="2" t="s">
        <v>2650</v>
      </c>
      <c r="B849" s="2" t="s">
        <v>2650</v>
      </c>
      <c r="C849" s="2" t="s">
        <v>25</v>
      </c>
      <c r="D849" s="2" t="s">
        <v>26</v>
      </c>
      <c r="E849" s="3" t="s">
        <v>216</v>
      </c>
      <c r="F849" s="3" t="s">
        <v>217</v>
      </c>
      <c r="G849" s="3" t="s">
        <v>587</v>
      </c>
      <c r="H849" s="2" t="s">
        <v>55</v>
      </c>
      <c r="I849" s="2" t="s">
        <v>2651</v>
      </c>
      <c r="J849" s="3" t="str">
        <f>HYPERLINK("https://www.boe.es/gazeta/dias/1809/12/05/pdfs/GGB-H-1809-542.pdf#page=4","Abrir facsímil")</f>
        <v>Abrir facsímil</v>
      </c>
      <c r="K849" s="3" t="s">
        <v>57</v>
      </c>
    </row>
    <row r="850" spans="1:11" ht="42" customHeight="1">
      <c r="A850" s="2" t="s">
        <v>2652</v>
      </c>
      <c r="B850" s="2" t="s">
        <v>2653</v>
      </c>
      <c r="C850" s="2" t="s">
        <v>288</v>
      </c>
      <c r="D850" s="2" t="s">
        <v>107</v>
      </c>
      <c r="E850" s="3" t="s">
        <v>500</v>
      </c>
      <c r="F850" s="3" t="s">
        <v>2357</v>
      </c>
      <c r="G850" s="3" t="s">
        <v>115</v>
      </c>
      <c r="H850" s="2" t="s">
        <v>55</v>
      </c>
      <c r="I850" s="2" t="s">
        <v>2654</v>
      </c>
      <c r="J850" s="3" t="str">
        <f>HYPERLINK("https://www.boe.es/gazeta/dias/1809/03/24/pdfs/GGB-1809-13.pdf#page=6","Abrir facsímil")</f>
        <v>Abrir facsímil</v>
      </c>
      <c r="K850" s="3" t="s">
        <v>57</v>
      </c>
    </row>
    <row r="851" spans="1:11" ht="42" customHeight="1">
      <c r="A851" s="2" t="s">
        <v>2655</v>
      </c>
      <c r="B851" s="2" t="s">
        <v>2655</v>
      </c>
      <c r="C851" s="2" t="s">
        <v>25</v>
      </c>
      <c r="D851" s="2" t="s">
        <v>18</v>
      </c>
      <c r="E851" s="3" t="s">
        <v>1616</v>
      </c>
      <c r="F851" s="3" t="s">
        <v>2656</v>
      </c>
      <c r="G851" s="3" t="s">
        <v>21</v>
      </c>
      <c r="H851" s="2" t="s">
        <v>55</v>
      </c>
      <c r="I851" s="2" t="s">
        <v>2657</v>
      </c>
      <c r="J851" s="3" t="str">
        <f>HYPERLINK("https://www.boe.es/gazeta/dias/1809/01/14/pdfs/GMD-1809-14.pdf#page=3","Abrir facsímil")</f>
        <v>Abrir facsímil</v>
      </c>
      <c r="K851" s="3" t="s">
        <v>57</v>
      </c>
    </row>
    <row r="852" spans="1:11" ht="42" customHeight="1">
      <c r="A852" s="2" t="s">
        <v>2658</v>
      </c>
      <c r="B852" s="2" t="s">
        <v>2659</v>
      </c>
      <c r="C852" s="2" t="s">
        <v>17</v>
      </c>
      <c r="D852" s="2" t="s">
        <v>18</v>
      </c>
      <c r="E852" s="3" t="s">
        <v>60</v>
      </c>
      <c r="F852" s="3" t="s">
        <v>61</v>
      </c>
      <c r="G852" s="3" t="s">
        <v>29</v>
      </c>
      <c r="H852" s="2" t="s">
        <v>55</v>
      </c>
      <c r="I852" s="2" t="s">
        <v>2660</v>
      </c>
      <c r="J852" s="3" t="str">
        <f>HYPERLINK("https://www.boe.es/gazeta/dias/1809/02/07/pdfs/GMD-1809-38.pdf#page=3","Abrir facsímil")</f>
        <v>Abrir facsímil</v>
      </c>
      <c r="K852" s="3" t="s">
        <v>57</v>
      </c>
    </row>
    <row r="853" spans="1:11" ht="42" customHeight="1">
      <c r="A853" s="2" t="s">
        <v>2661</v>
      </c>
      <c r="B853" s="2" t="s">
        <v>2662</v>
      </c>
      <c r="C853" s="2" t="s">
        <v>47</v>
      </c>
      <c r="D853" s="2" t="s">
        <v>18</v>
      </c>
      <c r="E853" s="3" t="s">
        <v>925</v>
      </c>
      <c r="F853" s="3" t="s">
        <v>926</v>
      </c>
      <c r="G853" s="3" t="s">
        <v>239</v>
      </c>
      <c r="H853" s="2" t="s">
        <v>55</v>
      </c>
      <c r="I853" s="2" t="s">
        <v>2663</v>
      </c>
      <c r="J853" s="3" t="str">
        <f>HYPERLINK("https://www.boe.es/gazeta/dias/1809/01/11/pdfs/GGB-1809-2.pdf#page=8","Abrir facsímil")</f>
        <v>Abrir facsímil</v>
      </c>
      <c r="K853" s="3" t="s">
        <v>57</v>
      </c>
    </row>
    <row r="854" spans="1:11" ht="42" customHeight="1">
      <c r="A854" s="2" t="s">
        <v>2664</v>
      </c>
      <c r="B854" s="2" t="s">
        <v>2665</v>
      </c>
      <c r="C854" s="2" t="s">
        <v>17</v>
      </c>
      <c r="D854" s="2" t="s">
        <v>40</v>
      </c>
      <c r="E854" s="3" t="s">
        <v>1460</v>
      </c>
      <c r="F854" s="3" t="s">
        <v>2666</v>
      </c>
      <c r="G854" s="3" t="s">
        <v>21</v>
      </c>
      <c r="H854" s="2" t="s">
        <v>55</v>
      </c>
      <c r="I854" s="2" t="s">
        <v>2667</v>
      </c>
      <c r="J854" s="3" t="str">
        <f>HYPERLINK("https://www.boe.es/gazeta/dias/1809/04/02/pdfs/GGB-1809-14E2.pdf#page=1","Abrir facsímil")</f>
        <v>Abrir facsímil</v>
      </c>
      <c r="K854" s="3" t="s">
        <v>57</v>
      </c>
    </row>
    <row r="855" spans="1:11" ht="42" customHeight="1">
      <c r="A855" s="2" t="s">
        <v>2664</v>
      </c>
      <c r="B855" s="2" t="s">
        <v>2665</v>
      </c>
      <c r="C855" s="2" t="s">
        <v>17</v>
      </c>
      <c r="D855" s="2" t="s">
        <v>80</v>
      </c>
      <c r="E855" s="3" t="s">
        <v>776</v>
      </c>
      <c r="F855" s="3" t="s">
        <v>1485</v>
      </c>
      <c r="G855" s="3" t="s">
        <v>225</v>
      </c>
      <c r="H855" s="2" t="s">
        <v>55</v>
      </c>
      <c r="I855" s="2" t="s">
        <v>2668</v>
      </c>
      <c r="J855" s="3" t="str">
        <f>HYPERLINK("https://www.boe.es/gazeta/dias/1809/05/28/pdfs/GGB-1809-31E2.pdf#page=4","Abrir facsímil")</f>
        <v>Abrir facsímil</v>
      </c>
      <c r="K855" s="3" t="s">
        <v>57</v>
      </c>
    </row>
    <row r="856" spans="1:11" ht="42" customHeight="1">
      <c r="A856" s="2" t="s">
        <v>2669</v>
      </c>
      <c r="B856" s="2" t="s">
        <v>2670</v>
      </c>
      <c r="C856" s="2" t="s">
        <v>25</v>
      </c>
      <c r="D856" s="2" t="s">
        <v>18</v>
      </c>
      <c r="E856" s="3" t="s">
        <v>1586</v>
      </c>
      <c r="F856" s="3" t="s">
        <v>1587</v>
      </c>
      <c r="G856" s="3" t="s">
        <v>270</v>
      </c>
      <c r="H856" s="2" t="s">
        <v>55</v>
      </c>
      <c r="I856" s="2" t="s">
        <v>2671</v>
      </c>
      <c r="J856" s="3" t="str">
        <f>HYPERLINK("https://www.boe.es/gazeta/dias/1809/02/20/pdfs/GMD-1809-51.pdf#page=3","Abrir facsímil")</f>
        <v>Abrir facsímil</v>
      </c>
      <c r="K856" s="3" t="s">
        <v>57</v>
      </c>
    </row>
    <row r="857" spans="1:11" ht="42" customHeight="1">
      <c r="A857" s="2" t="s">
        <v>2672</v>
      </c>
      <c r="B857" s="2" t="s">
        <v>2672</v>
      </c>
      <c r="C857" s="2" t="s">
        <v>25</v>
      </c>
      <c r="D857" s="2" t="s">
        <v>18</v>
      </c>
      <c r="E857" s="3" t="s">
        <v>2673</v>
      </c>
      <c r="F857" s="3" t="s">
        <v>2674</v>
      </c>
      <c r="G857" s="3" t="s">
        <v>2675</v>
      </c>
      <c r="H857" s="2" t="s">
        <v>55</v>
      </c>
      <c r="I857" s="2" t="s">
        <v>2676</v>
      </c>
      <c r="J857" s="3" t="str">
        <f>HYPERLINK("https://www.boe.es/gazeta/dias/1809/02/05/pdfs/GMD-1809-36.pdf#page=3","Abrir facsímil")</f>
        <v>Abrir facsímil</v>
      </c>
      <c r="K857" s="3" t="s">
        <v>57</v>
      </c>
    </row>
    <row r="858" spans="1:11" ht="42" customHeight="1">
      <c r="A858" s="2" t="s">
        <v>2677</v>
      </c>
      <c r="B858" s="2" t="s">
        <v>2677</v>
      </c>
      <c r="C858" s="2" t="s">
        <v>25</v>
      </c>
      <c r="D858" s="2" t="s">
        <v>18</v>
      </c>
      <c r="E858" s="3" t="s">
        <v>2673</v>
      </c>
      <c r="F858" s="3" t="s">
        <v>2674</v>
      </c>
      <c r="G858" s="3" t="s">
        <v>2675</v>
      </c>
      <c r="H858" s="2" t="s">
        <v>55</v>
      </c>
      <c r="I858" s="2" t="s">
        <v>2678</v>
      </c>
      <c r="J858" s="3" t="str">
        <f>HYPERLINK("https://www.boe.es/gazeta/dias/1809/02/05/pdfs/GMD-1809-36.pdf#page=3","Abrir facsímil")</f>
        <v>Abrir facsímil</v>
      </c>
      <c r="K858" s="3" t="s">
        <v>57</v>
      </c>
    </row>
    <row r="859" spans="1:11" ht="42" customHeight="1">
      <c r="A859" s="2" t="s">
        <v>2677</v>
      </c>
      <c r="B859" s="2" t="s">
        <v>2677</v>
      </c>
      <c r="C859" s="2" t="s">
        <v>25</v>
      </c>
      <c r="D859" s="2" t="s">
        <v>72</v>
      </c>
      <c r="E859" s="3" t="s">
        <v>258</v>
      </c>
      <c r="F859" s="3" t="s">
        <v>2612</v>
      </c>
      <c r="G859" s="3" t="s">
        <v>94</v>
      </c>
      <c r="H859" s="2" t="s">
        <v>55</v>
      </c>
      <c r="I859" s="2" t="s">
        <v>2679</v>
      </c>
      <c r="J859" s="3" t="str">
        <f>HYPERLINK("https://www.boe.es/gazeta/dias/1809/03/17/pdfs/GGB-H-1809-12.pdf#page=5","Abrir facsímil")</f>
        <v>Abrir facsímil</v>
      </c>
      <c r="K859" s="3" t="s">
        <v>57</v>
      </c>
    </row>
    <row r="860" spans="1:11" ht="42" customHeight="1">
      <c r="A860" s="2" t="s">
        <v>2680</v>
      </c>
      <c r="B860" s="2" t="s">
        <v>2680</v>
      </c>
      <c r="C860" s="2" t="s">
        <v>25</v>
      </c>
      <c r="D860" s="2" t="s">
        <v>26</v>
      </c>
      <c r="E860" s="3" t="s">
        <v>1551</v>
      </c>
      <c r="F860" s="3" t="s">
        <v>1552</v>
      </c>
      <c r="G860" s="3" t="s">
        <v>169</v>
      </c>
      <c r="H860" s="2" t="s">
        <v>55</v>
      </c>
      <c r="I860" s="2" t="s">
        <v>2681</v>
      </c>
      <c r="J860" s="3" t="str">
        <f>HYPERLINK("https://www.boe.es/gazeta/dias/1809/06/12/pdfs/GGB-1809-36.pdf#page=11","Abrir facsímil")</f>
        <v>Abrir facsímil</v>
      </c>
      <c r="K860" s="3" t="s">
        <v>57</v>
      </c>
    </row>
    <row r="861" spans="1:11" ht="42" customHeight="1">
      <c r="A861" s="2" t="s">
        <v>2682</v>
      </c>
      <c r="B861" s="2" t="s">
        <v>2683</v>
      </c>
      <c r="C861" s="2" t="s">
        <v>25</v>
      </c>
      <c r="D861" s="2" t="s">
        <v>18</v>
      </c>
      <c r="E861" s="3" t="s">
        <v>864</v>
      </c>
      <c r="F861" s="3" t="s">
        <v>2684</v>
      </c>
      <c r="G861" s="3" t="s">
        <v>2685</v>
      </c>
      <c r="H861" s="2" t="s">
        <v>55</v>
      </c>
      <c r="I861" s="2" t="s">
        <v>2686</v>
      </c>
      <c r="J861" s="3" t="str">
        <f>HYPERLINK("https://www.boe.es/gazeta/dias/1809/08/31/pdfs/GGB-1809-132.pdf#page=5","Abrir facsímil")</f>
        <v>Abrir facsímil</v>
      </c>
      <c r="K861" s="3" t="s">
        <v>57</v>
      </c>
    </row>
    <row r="862" spans="1:11" ht="42" customHeight="1">
      <c r="A862" s="2" t="s">
        <v>2687</v>
      </c>
      <c r="B862" s="2" t="s">
        <v>2687</v>
      </c>
      <c r="C862" s="2" t="s">
        <v>25</v>
      </c>
      <c r="D862" s="2" t="s">
        <v>18</v>
      </c>
      <c r="E862" s="3" t="s">
        <v>1829</v>
      </c>
      <c r="F862" s="3" t="s">
        <v>1830</v>
      </c>
      <c r="G862" s="3" t="s">
        <v>21</v>
      </c>
      <c r="H862" s="2" t="s">
        <v>55</v>
      </c>
      <c r="I862" s="2" t="s">
        <v>2688</v>
      </c>
      <c r="J862" s="3" t="str">
        <f>HYPERLINK("https://www.boe.es/gazeta/dias/1809/09/17/pdfs/GMD-1809-261.pdf#page=3","Abrir facsímil")</f>
        <v>Abrir facsímil</v>
      </c>
      <c r="K862" s="3" t="s">
        <v>57</v>
      </c>
    </row>
    <row r="863" spans="1:11" ht="42" customHeight="1">
      <c r="A863" s="2" t="s">
        <v>2687</v>
      </c>
      <c r="B863" s="2" t="s">
        <v>2687</v>
      </c>
      <c r="C863" s="2" t="s">
        <v>25</v>
      </c>
      <c r="D863" s="2" t="s">
        <v>18</v>
      </c>
      <c r="E863" s="3" t="s">
        <v>616</v>
      </c>
      <c r="F863" s="3" t="s">
        <v>617</v>
      </c>
      <c r="G863" s="3" t="s">
        <v>918</v>
      </c>
      <c r="H863" s="2" t="s">
        <v>55</v>
      </c>
      <c r="I863" s="2" t="s">
        <v>2689</v>
      </c>
      <c r="J863" s="3" t="str">
        <f>HYPERLINK("https://www.boe.es/gazeta/dias/1809/10/15/pdfs/GMD-1809-289.pdf#page=4","Abrir facsímil")</f>
        <v>Abrir facsímil</v>
      </c>
      <c r="K863" s="3" t="s">
        <v>57</v>
      </c>
    </row>
    <row r="864" spans="1:11" ht="42" customHeight="1">
      <c r="A864" s="2" t="s">
        <v>2690</v>
      </c>
      <c r="B864" s="2" t="s">
        <v>2690</v>
      </c>
      <c r="C864" s="2" t="s">
        <v>25</v>
      </c>
      <c r="D864" s="2" t="s">
        <v>18</v>
      </c>
      <c r="E864" s="3" t="s">
        <v>2691</v>
      </c>
      <c r="F864" s="3" t="s">
        <v>2692</v>
      </c>
      <c r="G864" s="3" t="s">
        <v>75</v>
      </c>
      <c r="H864" s="2" t="s">
        <v>55</v>
      </c>
      <c r="I864" s="2" t="s">
        <v>2693</v>
      </c>
      <c r="J864" s="3" t="str">
        <f>HYPERLINK("https://www.boe.es/gazeta/dias/1809/08/27/pdfs/GMD-1809-240.pdf#page=2","Abrir facsímil")</f>
        <v>Abrir facsímil</v>
      </c>
      <c r="K864" s="3" t="s">
        <v>57</v>
      </c>
    </row>
    <row r="865" spans="1:11" ht="42" customHeight="1">
      <c r="A865" s="2" t="s">
        <v>2694</v>
      </c>
      <c r="B865" s="2" t="s">
        <v>2694</v>
      </c>
      <c r="C865" s="2" t="s">
        <v>25</v>
      </c>
      <c r="D865" s="2" t="s">
        <v>26</v>
      </c>
      <c r="E865" s="3" t="s">
        <v>152</v>
      </c>
      <c r="F865" s="3" t="s">
        <v>2067</v>
      </c>
      <c r="G865" s="3" t="s">
        <v>75</v>
      </c>
      <c r="H865" s="2" t="s">
        <v>55</v>
      </c>
      <c r="I865" s="2" t="s">
        <v>2695</v>
      </c>
      <c r="J865" s="3" t="str">
        <f>HYPERLINK("https://www.boe.es/gazeta/dias/1809/08/26/pdfs/GMD-1809-239.pdf#page=2","Abrir facsímil")</f>
        <v>Abrir facsímil</v>
      </c>
      <c r="K865" s="3" t="s">
        <v>57</v>
      </c>
    </row>
    <row r="866" spans="1:11" ht="42" customHeight="1">
      <c r="A866" s="2" t="s">
        <v>2696</v>
      </c>
      <c r="B866" s="2" t="s">
        <v>2697</v>
      </c>
      <c r="C866" s="2" t="s">
        <v>25</v>
      </c>
      <c r="D866" s="2" t="s">
        <v>18</v>
      </c>
      <c r="E866" s="3" t="s">
        <v>635</v>
      </c>
      <c r="F866" s="3" t="s">
        <v>636</v>
      </c>
      <c r="G866" s="3" t="s">
        <v>21</v>
      </c>
      <c r="H866" s="2" t="s">
        <v>55</v>
      </c>
      <c r="I866" s="2" t="s">
        <v>2698</v>
      </c>
      <c r="J866" s="3" t="str">
        <f>HYPERLINK("https://www.boe.es/gazeta/dias/1809/12/16/pdfs/GGB-1809-592.pdf#page=7","Abrir facsímil")</f>
        <v>Abrir facsímil</v>
      </c>
      <c r="K866" s="3" t="s">
        <v>57</v>
      </c>
    </row>
    <row r="867" spans="1:11" ht="42" customHeight="1">
      <c r="A867" s="2" t="s">
        <v>2699</v>
      </c>
      <c r="B867" s="2" t="s">
        <v>2700</v>
      </c>
      <c r="C867" s="2" t="s">
        <v>17</v>
      </c>
      <c r="D867" s="2" t="s">
        <v>72</v>
      </c>
      <c r="E867" s="3" t="s">
        <v>163</v>
      </c>
      <c r="F867" s="3" t="s">
        <v>164</v>
      </c>
      <c r="G867" s="3" t="s">
        <v>21</v>
      </c>
      <c r="H867" s="2" t="s">
        <v>55</v>
      </c>
      <c r="I867" s="2" t="s">
        <v>2701</v>
      </c>
      <c r="J867" s="3" t="str">
        <f>HYPERLINK("https://www.boe.es/gazeta/dias/1809/03/10/pdfs/GGB-H-1809-11.pdf#page=8","Abrir facsímil")</f>
        <v>Abrir facsímil</v>
      </c>
      <c r="K867" s="3" t="s">
        <v>57</v>
      </c>
    </row>
    <row r="868" spans="1:11" ht="42" customHeight="1">
      <c r="A868" s="2" t="s">
        <v>2702</v>
      </c>
      <c r="B868" s="2" t="s">
        <v>2702</v>
      </c>
      <c r="C868" s="2" t="s">
        <v>39</v>
      </c>
      <c r="D868" s="2" t="s">
        <v>18</v>
      </c>
      <c r="E868" s="3" t="s">
        <v>893</v>
      </c>
      <c r="F868" s="3" t="s">
        <v>894</v>
      </c>
      <c r="G868" s="3" t="s">
        <v>1541</v>
      </c>
      <c r="H868" s="2" t="s">
        <v>55</v>
      </c>
      <c r="I868" s="2" t="s">
        <v>2703</v>
      </c>
      <c r="J868" s="3" t="str">
        <f>HYPERLINK("https://www.boe.es/gazeta/dias/1809/11/02/pdfs/GMD-1809-307.pdf#page=3","Abrir facsímil")</f>
        <v>Abrir facsímil</v>
      </c>
      <c r="K868" s="3" t="s">
        <v>57</v>
      </c>
    </row>
    <row r="869" spans="1:11" ht="42" customHeight="1">
      <c r="A869" s="2" t="s">
        <v>2704</v>
      </c>
      <c r="B869" s="2" t="s">
        <v>2704</v>
      </c>
      <c r="C869" s="2" t="s">
        <v>25</v>
      </c>
      <c r="D869" s="2" t="s">
        <v>26</v>
      </c>
      <c r="E869" s="3" t="s">
        <v>2705</v>
      </c>
      <c r="F869" s="3" t="s">
        <v>2706</v>
      </c>
      <c r="G869" s="3" t="s">
        <v>2707</v>
      </c>
      <c r="H869" s="2" t="s">
        <v>55</v>
      </c>
      <c r="I869" s="2" t="s">
        <v>2708</v>
      </c>
      <c r="J869" s="3" t="str">
        <f>HYPERLINK("https://www.boe.es/gazeta/dias/1809/08/05/pdfs/GMD-1809-218.pdf#page=1","Abrir facsímil")</f>
        <v>Abrir facsímil</v>
      </c>
      <c r="K869" s="3" t="s">
        <v>57</v>
      </c>
    </row>
    <row r="870" spans="1:11" ht="42" customHeight="1">
      <c r="A870" s="2" t="s">
        <v>2704</v>
      </c>
      <c r="B870" s="2" t="s">
        <v>2704</v>
      </c>
      <c r="C870" s="2" t="s">
        <v>17</v>
      </c>
      <c r="D870" s="2" t="s">
        <v>40</v>
      </c>
      <c r="E870" s="3" t="s">
        <v>2709</v>
      </c>
      <c r="F870" s="3" t="s">
        <v>2710</v>
      </c>
      <c r="G870" s="3" t="s">
        <v>21</v>
      </c>
      <c r="H870" s="2" t="s">
        <v>55</v>
      </c>
      <c r="I870" s="2" t="s">
        <v>2711</v>
      </c>
      <c r="J870" s="3" t="str">
        <f>HYPERLINK("https://www.boe.es/gazeta/dias/1809/11/17/pdfs/GMD-1809-322.pdf#page=3","Abrir facsímil")</f>
        <v>Abrir facsímil</v>
      </c>
      <c r="K870" s="3" t="s">
        <v>57</v>
      </c>
    </row>
    <row r="871" spans="1:11" ht="42" customHeight="1">
      <c r="A871" s="2" t="s">
        <v>2712</v>
      </c>
      <c r="B871" s="2" t="s">
        <v>2712</v>
      </c>
      <c r="C871" s="2" t="s">
        <v>17</v>
      </c>
      <c r="D871" s="2" t="s">
        <v>18</v>
      </c>
      <c r="E871" s="3" t="s">
        <v>1226</v>
      </c>
      <c r="F871" s="3" t="s">
        <v>1566</v>
      </c>
      <c r="G871" s="3" t="s">
        <v>1567</v>
      </c>
      <c r="H871" s="2" t="s">
        <v>55</v>
      </c>
      <c r="I871" s="2" t="s">
        <v>2713</v>
      </c>
      <c r="J871" s="3" t="str">
        <f>HYPERLINK("https://www.boe.es/gazeta/dias/1809/11/09/pdfs/GGB-1809-432.pdf#page=5","Abrir facsímil")</f>
        <v>Abrir facsímil</v>
      </c>
      <c r="K871" s="3" t="s">
        <v>57</v>
      </c>
    </row>
    <row r="872" spans="1:11" ht="42" customHeight="1">
      <c r="A872" s="2" t="s">
        <v>2714</v>
      </c>
      <c r="B872" s="2" t="s">
        <v>2714</v>
      </c>
      <c r="C872" s="2" t="s">
        <v>131</v>
      </c>
      <c r="D872" s="2" t="s">
        <v>18</v>
      </c>
      <c r="E872" s="3" t="s">
        <v>1948</v>
      </c>
      <c r="F872" s="3" t="s">
        <v>2055</v>
      </c>
      <c r="G872" s="3" t="s">
        <v>75</v>
      </c>
      <c r="H872" s="2" t="s">
        <v>55</v>
      </c>
      <c r="I872" s="2" t="s">
        <v>2715</v>
      </c>
      <c r="J872" s="3" t="str">
        <f>HYPERLINK("https://www.boe.es/gazeta/dias/1809/12/23/pdfs/GMD-1809-358.pdf#page=2","Abrir facsímil")</f>
        <v>Abrir facsímil</v>
      </c>
      <c r="K872" s="3" t="s">
        <v>57</v>
      </c>
    </row>
    <row r="873" spans="1:11" ht="42" customHeight="1">
      <c r="A873" s="2" t="s">
        <v>2716</v>
      </c>
      <c r="B873" s="2" t="s">
        <v>2716</v>
      </c>
      <c r="C873" s="2" t="s">
        <v>369</v>
      </c>
      <c r="D873" s="2" t="s">
        <v>18</v>
      </c>
      <c r="E873" s="3" t="s">
        <v>616</v>
      </c>
      <c r="F873" s="3" t="s">
        <v>617</v>
      </c>
      <c r="G873" s="3" t="s">
        <v>918</v>
      </c>
      <c r="H873" s="2" t="s">
        <v>55</v>
      </c>
      <c r="I873" s="2" t="s">
        <v>2717</v>
      </c>
      <c r="J873" s="3" t="str">
        <f>HYPERLINK("https://www.boe.es/gazeta/dias/1809/10/15/pdfs/GMD-1809-289.pdf#page=4","Abrir facsímil")</f>
        <v>Abrir facsímil</v>
      </c>
      <c r="K873" s="3" t="s">
        <v>57</v>
      </c>
    </row>
    <row r="874" spans="1:11" ht="42" customHeight="1">
      <c r="A874" s="2" t="s">
        <v>2718</v>
      </c>
      <c r="B874" s="2" t="s">
        <v>2719</v>
      </c>
      <c r="C874" s="2" t="s">
        <v>131</v>
      </c>
      <c r="D874" s="2" t="s">
        <v>26</v>
      </c>
      <c r="E874" s="3" t="s">
        <v>258</v>
      </c>
      <c r="F874" s="3" t="s">
        <v>910</v>
      </c>
      <c r="G874" s="3" t="s">
        <v>693</v>
      </c>
      <c r="H874" s="2" t="s">
        <v>55</v>
      </c>
      <c r="I874" s="2" t="s">
        <v>2720</v>
      </c>
      <c r="J874" s="3" t="str">
        <f>HYPERLINK("https://www.boe.es/gazeta/dias/1809/03/17/pdfs/GGB-1809-12.pdf#page=9","Abrir facsímil")</f>
        <v>Abrir facsímil</v>
      </c>
      <c r="K874" s="3" t="s">
        <v>57</v>
      </c>
    </row>
    <row r="875" spans="1:11" ht="42" customHeight="1">
      <c r="A875" s="2" t="s">
        <v>2721</v>
      </c>
      <c r="B875" s="2" t="s">
        <v>2721</v>
      </c>
      <c r="C875" s="2" t="s">
        <v>25</v>
      </c>
      <c r="D875" s="2" t="s">
        <v>18</v>
      </c>
      <c r="E875" s="3" t="s">
        <v>152</v>
      </c>
      <c r="F875" s="3" t="s">
        <v>2067</v>
      </c>
      <c r="G875" s="3" t="s">
        <v>75</v>
      </c>
      <c r="H875" s="2" t="s">
        <v>55</v>
      </c>
      <c r="I875" s="2" t="s">
        <v>2722</v>
      </c>
      <c r="J875" s="3" t="str">
        <f>HYPERLINK("https://www.boe.es/gazeta/dias/1809/08/26/pdfs/GMD-1809-239.pdf#page=2","Abrir facsímil")</f>
        <v>Abrir facsímil</v>
      </c>
      <c r="K875" s="3" t="s">
        <v>57</v>
      </c>
    </row>
    <row r="876" spans="1:11" ht="42" customHeight="1">
      <c r="A876" s="2" t="s">
        <v>2723</v>
      </c>
      <c r="B876" s="2" t="s">
        <v>2723</v>
      </c>
      <c r="C876" s="2" t="s">
        <v>25</v>
      </c>
      <c r="D876" s="2" t="s">
        <v>18</v>
      </c>
      <c r="E876" s="3" t="s">
        <v>1829</v>
      </c>
      <c r="F876" s="3" t="s">
        <v>1830</v>
      </c>
      <c r="G876" s="3" t="s">
        <v>21</v>
      </c>
      <c r="H876" s="2" t="s">
        <v>55</v>
      </c>
      <c r="I876" s="2" t="s">
        <v>2724</v>
      </c>
      <c r="J876" s="3" t="str">
        <f>HYPERLINK("https://www.boe.es/gazeta/dias/1809/09/17/pdfs/GMD-1809-261.pdf#page=3","Abrir facsímil")</f>
        <v>Abrir facsímil</v>
      </c>
      <c r="K876" s="3" t="s">
        <v>57</v>
      </c>
    </row>
    <row r="877" spans="1:11" ht="42" customHeight="1">
      <c r="A877" s="2" t="s">
        <v>2725</v>
      </c>
      <c r="B877" s="2" t="s">
        <v>2725</v>
      </c>
      <c r="C877" s="2" t="s">
        <v>25</v>
      </c>
      <c r="D877" s="2" t="s">
        <v>26</v>
      </c>
      <c r="E877" s="3" t="s">
        <v>2726</v>
      </c>
      <c r="F877" s="3" t="s">
        <v>2727</v>
      </c>
      <c r="G877" s="3" t="s">
        <v>154</v>
      </c>
      <c r="H877" s="2" t="s">
        <v>55</v>
      </c>
      <c r="I877" s="2" t="s">
        <v>2728</v>
      </c>
      <c r="J877" s="3" t="str">
        <f>HYPERLINK("https://www.boe.es/gazeta/dias/1809/08/23/pdfs/GMD-1809-236.pdf#page=2","Abrir facsímil")</f>
        <v>Abrir facsímil</v>
      </c>
      <c r="K877" s="3" t="s">
        <v>57</v>
      </c>
    </row>
    <row r="878" spans="1:11" ht="42" customHeight="1">
      <c r="A878" s="2" t="s">
        <v>2729</v>
      </c>
      <c r="B878" s="2" t="s">
        <v>2729</v>
      </c>
      <c r="C878" s="2" t="s">
        <v>25</v>
      </c>
      <c r="D878" s="2" t="s">
        <v>26</v>
      </c>
      <c r="E878" s="3" t="s">
        <v>656</v>
      </c>
      <c r="F878" s="3" t="s">
        <v>657</v>
      </c>
      <c r="G878" s="3" t="s">
        <v>658</v>
      </c>
      <c r="H878" s="2" t="s">
        <v>55</v>
      </c>
      <c r="I878" s="2" t="s">
        <v>2730</v>
      </c>
      <c r="J878" s="3" t="str">
        <f>HYPERLINK("https://www.boe.es/gazeta/dias/1809/07/22/pdfs/GMD-1809-203.pdf#page=3","Abrir facsímil")</f>
        <v>Abrir facsímil</v>
      </c>
      <c r="K878" s="3" t="s">
        <v>57</v>
      </c>
    </row>
    <row r="879" spans="1:11" ht="42" customHeight="1">
      <c r="A879" s="2" t="s">
        <v>2731</v>
      </c>
      <c r="B879" s="2" t="s">
        <v>2731</v>
      </c>
      <c r="C879" s="2" t="s">
        <v>25</v>
      </c>
      <c r="D879" s="2" t="s">
        <v>26</v>
      </c>
      <c r="E879" s="3" t="s">
        <v>1865</v>
      </c>
      <c r="F879" s="3" t="s">
        <v>1866</v>
      </c>
      <c r="G879" s="3" t="s">
        <v>587</v>
      </c>
      <c r="H879" s="2" t="s">
        <v>55</v>
      </c>
      <c r="I879" s="2" t="s">
        <v>2732</v>
      </c>
      <c r="J879" s="3" t="str">
        <f>HYPERLINK("https://www.boe.es/gazeta/dias/1809/08/08/pdfs/GGB-1809-32.pdf#page=2","Abrir facsímil")</f>
        <v>Abrir facsímil</v>
      </c>
      <c r="K879" s="3" t="s">
        <v>57</v>
      </c>
    </row>
    <row r="880" spans="1:11" ht="42" customHeight="1">
      <c r="A880" s="2" t="s">
        <v>2733</v>
      </c>
      <c r="B880" s="2" t="s">
        <v>2733</v>
      </c>
      <c r="C880" s="2" t="s">
        <v>25</v>
      </c>
      <c r="D880" s="2" t="s">
        <v>26</v>
      </c>
      <c r="E880" s="3" t="s">
        <v>1011</v>
      </c>
      <c r="F880" s="3" t="s">
        <v>1012</v>
      </c>
      <c r="G880" s="3" t="s">
        <v>120</v>
      </c>
      <c r="H880" s="2" t="s">
        <v>55</v>
      </c>
      <c r="I880" s="2" t="s">
        <v>2734</v>
      </c>
      <c r="J880" s="3" t="str">
        <f>HYPERLINK("https://www.boe.es/gazeta/dias/1809/08/01/pdfs/GGB-1809-50.pdf#page=3","Abrir facsímil")</f>
        <v>Abrir facsímil</v>
      </c>
      <c r="K880" s="3" t="s">
        <v>57</v>
      </c>
    </row>
    <row r="881" spans="1:11" ht="42" customHeight="1">
      <c r="A881" s="2" t="s">
        <v>2735</v>
      </c>
      <c r="B881" s="2" t="s">
        <v>2735</v>
      </c>
      <c r="C881" s="2" t="s">
        <v>25</v>
      </c>
      <c r="D881" s="2" t="s">
        <v>107</v>
      </c>
      <c r="E881" s="3" t="s">
        <v>167</v>
      </c>
      <c r="F881" s="3" t="s">
        <v>168</v>
      </c>
      <c r="G881" s="3" t="s">
        <v>1516</v>
      </c>
      <c r="H881" s="2" t="s">
        <v>55</v>
      </c>
      <c r="I881" s="2" t="s">
        <v>2736</v>
      </c>
      <c r="J881" s="3" t="str">
        <f>HYPERLINK("https://www.boe.es/gazeta/dias/1809/06/19/pdfs/GGB-1809-38.pdf#page=5","Abrir facsímil")</f>
        <v>Abrir facsímil</v>
      </c>
      <c r="K881" s="3" t="s">
        <v>57</v>
      </c>
    </row>
    <row r="882" spans="1:11" ht="42" customHeight="1">
      <c r="A882" s="2" t="s">
        <v>2737</v>
      </c>
      <c r="B882" s="2" t="s">
        <v>2737</v>
      </c>
      <c r="C882" s="2" t="s">
        <v>25</v>
      </c>
      <c r="D882" s="2" t="s">
        <v>107</v>
      </c>
      <c r="E882" s="3" t="s">
        <v>645</v>
      </c>
      <c r="F882" s="3" t="s">
        <v>646</v>
      </c>
      <c r="G882" s="3" t="s">
        <v>396</v>
      </c>
      <c r="H882" s="2" t="s">
        <v>55</v>
      </c>
      <c r="I882" s="2" t="s">
        <v>2738</v>
      </c>
      <c r="J882" s="3" t="str">
        <f>HYPERLINK("https://www.boe.es/gazeta/dias/1809/10/04/pdfs/GMD-1809-278.pdf#page=2","Abrir facsímil")</f>
        <v>Abrir facsímil</v>
      </c>
      <c r="K882" s="3" t="s">
        <v>57</v>
      </c>
    </row>
    <row r="883" spans="1:11" ht="42" customHeight="1">
      <c r="A883" s="2" t="s">
        <v>2737</v>
      </c>
      <c r="B883" s="2" t="s">
        <v>2737</v>
      </c>
      <c r="C883" s="2" t="s">
        <v>25</v>
      </c>
      <c r="D883" s="2" t="s">
        <v>107</v>
      </c>
      <c r="E883" s="3" t="s">
        <v>771</v>
      </c>
      <c r="F883" s="3" t="s">
        <v>772</v>
      </c>
      <c r="G883" s="3" t="s">
        <v>2739</v>
      </c>
      <c r="H883" s="2" t="s">
        <v>55</v>
      </c>
      <c r="I883" s="2" t="s">
        <v>2740</v>
      </c>
      <c r="J883" s="3" t="str">
        <f>HYPERLINK("https://www.boe.es/gazeta/dias/1809/10/31/pdfs/GGB-1809-392.pdf#page=3","Abrir facsímil")</f>
        <v>Abrir facsímil</v>
      </c>
      <c r="K883" s="3" t="s">
        <v>57</v>
      </c>
    </row>
    <row r="884" spans="1:11" ht="42" customHeight="1">
      <c r="A884" s="2" t="s">
        <v>2741</v>
      </c>
      <c r="B884" s="2" t="s">
        <v>2741</v>
      </c>
      <c r="C884" s="2" t="s">
        <v>25</v>
      </c>
      <c r="D884" s="2" t="s">
        <v>18</v>
      </c>
      <c r="E884" s="3" t="s">
        <v>2742</v>
      </c>
      <c r="F884" s="3" t="s">
        <v>2743</v>
      </c>
      <c r="G884" s="3" t="s">
        <v>192</v>
      </c>
      <c r="H884" s="2" t="s">
        <v>55</v>
      </c>
      <c r="I884" s="2" t="s">
        <v>2744</v>
      </c>
      <c r="J884" s="3" t="str">
        <f>HYPERLINK("https://www.boe.es/gazeta/dias/1809/06/24/pdfs/GMD-1809-175.pdf#page=2","Abrir facsímil")</f>
        <v>Abrir facsímil</v>
      </c>
      <c r="K884" s="3" t="s">
        <v>57</v>
      </c>
    </row>
    <row r="885" spans="1:11" ht="42" customHeight="1">
      <c r="A885" s="2" t="s">
        <v>2741</v>
      </c>
      <c r="B885" s="2" t="s">
        <v>2741</v>
      </c>
      <c r="C885" s="2" t="s">
        <v>25</v>
      </c>
      <c r="D885" s="2" t="s">
        <v>18</v>
      </c>
      <c r="E885" s="3" t="s">
        <v>1285</v>
      </c>
      <c r="F885" s="3" t="s">
        <v>1286</v>
      </c>
      <c r="G885" s="3" t="s">
        <v>2745</v>
      </c>
      <c r="H885" s="2" t="s">
        <v>55</v>
      </c>
      <c r="I885" s="2" t="s">
        <v>2746</v>
      </c>
      <c r="J885" s="3" t="str">
        <f>HYPERLINK("https://www.boe.es/gazeta/dias/1809/07/01/pdfs/GMD-1809-182.pdf#page=1","Abrir facsímil")</f>
        <v>Abrir facsímil</v>
      </c>
      <c r="K885" s="3" t="s">
        <v>57</v>
      </c>
    </row>
    <row r="886" spans="1:11" ht="42" customHeight="1">
      <c r="A886" s="2" t="s">
        <v>2741</v>
      </c>
      <c r="B886" s="2" t="s">
        <v>2741</v>
      </c>
      <c r="C886" s="2" t="s">
        <v>25</v>
      </c>
      <c r="D886" s="2" t="s">
        <v>107</v>
      </c>
      <c r="E886" s="3" t="s">
        <v>384</v>
      </c>
      <c r="F886" s="3" t="s">
        <v>385</v>
      </c>
      <c r="G886" s="3" t="s">
        <v>2747</v>
      </c>
      <c r="H886" s="2" t="s">
        <v>55</v>
      </c>
      <c r="I886" s="2" t="s">
        <v>2748</v>
      </c>
      <c r="J886" s="3" t="str">
        <f>HYPERLINK("https://www.boe.es/gazeta/dias/1809/07/27/pdfs/GMD-1809-208.pdf#page=2","Abrir facsímil")</f>
        <v>Abrir facsímil</v>
      </c>
      <c r="K886" s="3" t="s">
        <v>57</v>
      </c>
    </row>
    <row r="887" spans="1:11" ht="42" customHeight="1">
      <c r="A887" s="2" t="s">
        <v>2741</v>
      </c>
      <c r="B887" s="2" t="s">
        <v>2741</v>
      </c>
      <c r="C887" s="2" t="s">
        <v>25</v>
      </c>
      <c r="D887" s="2" t="s">
        <v>26</v>
      </c>
      <c r="E887" s="3" t="s">
        <v>442</v>
      </c>
      <c r="F887" s="3" t="s">
        <v>443</v>
      </c>
      <c r="G887" s="3" t="s">
        <v>374</v>
      </c>
      <c r="H887" s="2" t="s">
        <v>55</v>
      </c>
      <c r="I887" s="2" t="s">
        <v>2749</v>
      </c>
      <c r="J887" s="3" t="str">
        <f>HYPERLINK("https://www.boe.es/gazeta/dias/1809/09/05/pdfs/GGB-1809-152.pdf#page=4","Abrir facsímil")</f>
        <v>Abrir facsímil</v>
      </c>
      <c r="K887" s="3" t="s">
        <v>57</v>
      </c>
    </row>
    <row r="888" spans="1:11" ht="42" customHeight="1">
      <c r="A888" s="2" t="s">
        <v>2741</v>
      </c>
      <c r="B888" s="2" t="s">
        <v>2741</v>
      </c>
      <c r="C888" s="2" t="s">
        <v>25</v>
      </c>
      <c r="D888" s="2" t="s">
        <v>26</v>
      </c>
      <c r="E888" s="3" t="s">
        <v>118</v>
      </c>
      <c r="F888" s="3" t="s">
        <v>2125</v>
      </c>
      <c r="G888" s="3" t="s">
        <v>2126</v>
      </c>
      <c r="H888" s="2" t="s">
        <v>55</v>
      </c>
      <c r="I888" s="2" t="s">
        <v>2750</v>
      </c>
      <c r="J888" s="3" t="str">
        <f>HYPERLINK("https://www.boe.es/gazeta/dias/1809/09/07/pdfs/GGB-1809-162.pdf#page=2","Abrir facsímil")</f>
        <v>Abrir facsímil</v>
      </c>
      <c r="K888" s="3" t="s">
        <v>57</v>
      </c>
    </row>
    <row r="889" spans="1:11" ht="42" customHeight="1">
      <c r="A889" s="2" t="s">
        <v>2741</v>
      </c>
      <c r="B889" s="2" t="s">
        <v>2741</v>
      </c>
      <c r="C889" s="2" t="s">
        <v>25</v>
      </c>
      <c r="D889" s="2" t="s">
        <v>18</v>
      </c>
      <c r="E889" s="3" t="s">
        <v>118</v>
      </c>
      <c r="F889" s="3" t="s">
        <v>2125</v>
      </c>
      <c r="G889" s="3" t="s">
        <v>2751</v>
      </c>
      <c r="H889" s="2" t="s">
        <v>55</v>
      </c>
      <c r="I889" s="2" t="s">
        <v>2752</v>
      </c>
      <c r="J889" s="3" t="str">
        <f>HYPERLINK("https://www.boe.es/gazeta/dias/1809/09/07/pdfs/GGB-1809-162.pdf#page=3","Abrir facsímil")</f>
        <v>Abrir facsímil</v>
      </c>
      <c r="K889" s="3" t="s">
        <v>57</v>
      </c>
    </row>
    <row r="890" spans="1:11" ht="42" customHeight="1">
      <c r="A890" s="2" t="s">
        <v>2753</v>
      </c>
      <c r="B890" s="2" t="s">
        <v>2754</v>
      </c>
      <c r="C890" s="2" t="s">
        <v>17</v>
      </c>
      <c r="D890" s="2" t="s">
        <v>18</v>
      </c>
      <c r="E890" s="3" t="s">
        <v>1898</v>
      </c>
      <c r="F890" s="3" t="s">
        <v>1970</v>
      </c>
      <c r="G890" s="3" t="s">
        <v>154</v>
      </c>
      <c r="H890" s="2" t="s">
        <v>55</v>
      </c>
      <c r="I890" s="2" t="s">
        <v>2755</v>
      </c>
      <c r="J890" s="3" t="str">
        <f>HYPERLINK("https://www.boe.es/gazeta/dias/1809/12/02/pdfs/GMD-1809-337.pdf#page=4","Abrir facsímil")</f>
        <v>Abrir facsímil</v>
      </c>
      <c r="K890" s="3" t="s">
        <v>57</v>
      </c>
    </row>
    <row r="891" spans="1:11" ht="42" customHeight="1">
      <c r="A891" s="2" t="s">
        <v>2756</v>
      </c>
      <c r="B891" s="2" t="s">
        <v>2757</v>
      </c>
      <c r="C891" s="2" t="s">
        <v>25</v>
      </c>
      <c r="D891" s="2" t="s">
        <v>26</v>
      </c>
      <c r="E891" s="3" t="s">
        <v>635</v>
      </c>
      <c r="F891" s="3" t="s">
        <v>636</v>
      </c>
      <c r="G891" s="3" t="s">
        <v>637</v>
      </c>
      <c r="H891" s="2" t="s">
        <v>55</v>
      </c>
      <c r="I891" s="2" t="s">
        <v>2758</v>
      </c>
      <c r="J891" s="3" t="str">
        <f>HYPERLINK("https://www.boe.es/gazeta/dias/1809/12/16/pdfs/GGB-1809-592.pdf#page=6","Abrir facsímil")</f>
        <v>Abrir facsímil</v>
      </c>
      <c r="K891" s="3" t="s">
        <v>57</v>
      </c>
    </row>
    <row r="892" spans="1:11" ht="42" customHeight="1">
      <c r="A892" s="2" t="s">
        <v>2759</v>
      </c>
      <c r="B892" s="2" t="s">
        <v>2760</v>
      </c>
      <c r="C892" s="2" t="s">
        <v>25</v>
      </c>
      <c r="D892" s="2" t="s">
        <v>18</v>
      </c>
      <c r="E892" s="3" t="s">
        <v>883</v>
      </c>
      <c r="F892" s="3" t="s">
        <v>884</v>
      </c>
      <c r="G892" s="3" t="s">
        <v>21</v>
      </c>
      <c r="H892" s="2" t="s">
        <v>55</v>
      </c>
      <c r="I892" s="2" t="s">
        <v>2761</v>
      </c>
      <c r="J892" s="3" t="str">
        <f>HYPERLINK("https://www.boe.es/gazeta/dias/1809/12/21/pdfs/GMD-1809-356.pdf#page=3","Abrir facsímil")</f>
        <v>Abrir facsímil</v>
      </c>
      <c r="K892" s="3" t="s">
        <v>57</v>
      </c>
    </row>
    <row r="893" spans="1:11" ht="42" customHeight="1">
      <c r="A893" s="2" t="s">
        <v>2762</v>
      </c>
      <c r="B893" s="2" t="s">
        <v>2762</v>
      </c>
      <c r="C893" s="2" t="s">
        <v>25</v>
      </c>
      <c r="D893" s="2" t="s">
        <v>18</v>
      </c>
      <c r="E893" s="3" t="s">
        <v>1514</v>
      </c>
      <c r="F893" s="3" t="s">
        <v>1840</v>
      </c>
      <c r="G893" s="3" t="s">
        <v>62</v>
      </c>
      <c r="H893" s="2" t="s">
        <v>55</v>
      </c>
      <c r="I893" s="2" t="s">
        <v>2763</v>
      </c>
      <c r="J893" s="3" t="str">
        <f>HYPERLINK("https://www.boe.es/gazeta/dias/1809/04/17/pdfs/GGB-1809-19.pdf#page=2","Abrir facsímil")</f>
        <v>Abrir facsímil</v>
      </c>
      <c r="K893" s="3" t="s">
        <v>57</v>
      </c>
    </row>
    <row r="894" spans="1:11" ht="42" customHeight="1">
      <c r="A894" s="2" t="s">
        <v>2764</v>
      </c>
      <c r="B894" s="2" t="s">
        <v>2765</v>
      </c>
      <c r="C894" s="2" t="s">
        <v>17</v>
      </c>
      <c r="D894" s="2" t="s">
        <v>18</v>
      </c>
      <c r="E894" s="3" t="s">
        <v>33</v>
      </c>
      <c r="F894" s="3" t="s">
        <v>34</v>
      </c>
      <c r="G894" s="3" t="s">
        <v>493</v>
      </c>
      <c r="H894" s="2" t="s">
        <v>55</v>
      </c>
      <c r="I894" s="2" t="s">
        <v>2766</v>
      </c>
      <c r="J894" s="3" t="str">
        <f>HYPERLINK("https://www.boe.es/gazeta/dias/1809/12/19/pdfs/GGB-1809-602.pdf#page=6","Abrir facsímil")</f>
        <v>Abrir facsímil</v>
      </c>
      <c r="K894" s="3" t="s">
        <v>57</v>
      </c>
    </row>
    <row r="895" spans="1:11" ht="42" customHeight="1">
      <c r="A895" s="2" t="s">
        <v>2767</v>
      </c>
      <c r="B895" s="2" t="s">
        <v>2767</v>
      </c>
      <c r="C895" s="2" t="s">
        <v>25</v>
      </c>
      <c r="D895" s="2" t="s">
        <v>107</v>
      </c>
      <c r="E895" s="3" t="s">
        <v>268</v>
      </c>
      <c r="F895" s="3" t="s">
        <v>2768</v>
      </c>
      <c r="G895" s="3" t="s">
        <v>62</v>
      </c>
      <c r="H895" s="2" t="s">
        <v>55</v>
      </c>
      <c r="I895" s="2" t="s">
        <v>2769</v>
      </c>
      <c r="J895" s="3" t="str">
        <f>HYPERLINK("https://www.boe.es/gazeta/dias/1809/06/05/pdfs/GGB-1809-34.pdf#page=1","Abrir facsímil")</f>
        <v>Abrir facsímil</v>
      </c>
      <c r="K895" s="3" t="s">
        <v>57</v>
      </c>
    </row>
    <row r="896" spans="1:11" ht="42" customHeight="1">
      <c r="A896" s="2" t="s">
        <v>2770</v>
      </c>
      <c r="B896" s="2" t="s">
        <v>2771</v>
      </c>
      <c r="C896" s="2" t="s">
        <v>131</v>
      </c>
      <c r="D896" s="2" t="s">
        <v>40</v>
      </c>
      <c r="E896" s="3" t="s">
        <v>1954</v>
      </c>
      <c r="F896" s="3" t="s">
        <v>1955</v>
      </c>
      <c r="G896" s="3" t="s">
        <v>1956</v>
      </c>
      <c r="H896" s="2" t="s">
        <v>55</v>
      </c>
      <c r="I896" s="2" t="s">
        <v>2772</v>
      </c>
      <c r="J896" s="3" t="str">
        <f>HYPERLINK("https://www.boe.es/gazeta/dias/1809/11/08/pdfs/GMD-1809-313.pdf#page=4","Abrir facsímil")</f>
        <v>Abrir facsímil</v>
      </c>
      <c r="K896" s="3" t="s">
        <v>57</v>
      </c>
    </row>
    <row r="897" spans="1:11" ht="42" customHeight="1">
      <c r="A897" s="2" t="s">
        <v>2770</v>
      </c>
      <c r="B897" s="2" t="s">
        <v>2771</v>
      </c>
      <c r="C897" s="2" t="s">
        <v>17</v>
      </c>
      <c r="D897" s="2" t="s">
        <v>72</v>
      </c>
      <c r="E897" s="3" t="s">
        <v>216</v>
      </c>
      <c r="F897" s="3" t="s">
        <v>217</v>
      </c>
      <c r="G897" s="3" t="s">
        <v>439</v>
      </c>
      <c r="H897" s="2" t="s">
        <v>55</v>
      </c>
      <c r="I897" s="2" t="s">
        <v>2773</v>
      </c>
      <c r="J897" s="3" t="str">
        <f>HYPERLINK("https://www.boe.es/gazeta/dias/1809/12/05/pdfs/GGB-H-1809-542.pdf#page=7","Abrir facsímil")</f>
        <v>Abrir facsímil</v>
      </c>
      <c r="K897" s="3" t="s">
        <v>57</v>
      </c>
    </row>
    <row r="898" spans="1:11" ht="42" customHeight="1">
      <c r="A898" s="2" t="s">
        <v>2774</v>
      </c>
      <c r="B898" s="2" t="s">
        <v>2775</v>
      </c>
      <c r="C898" s="2" t="s">
        <v>25</v>
      </c>
      <c r="D898" s="2" t="s">
        <v>26</v>
      </c>
      <c r="E898" s="3" t="s">
        <v>1288</v>
      </c>
      <c r="F898" s="3" t="s">
        <v>1289</v>
      </c>
      <c r="G898" s="3" t="s">
        <v>270</v>
      </c>
      <c r="H898" s="2" t="s">
        <v>55</v>
      </c>
      <c r="I898" s="2" t="s">
        <v>2776</v>
      </c>
      <c r="J898" s="3" t="str">
        <f>HYPERLINK("https://www.boe.es/gazeta/dias/1809/07/28/pdfs/GGB-1809-49.pdf#page=9","Abrir facsímil")</f>
        <v>Abrir facsímil</v>
      </c>
      <c r="K898" s="3" t="s">
        <v>57</v>
      </c>
    </row>
    <row r="899" spans="1:11" ht="42" customHeight="1">
      <c r="A899" s="2" t="s">
        <v>2777</v>
      </c>
      <c r="B899" s="2" t="s">
        <v>2777</v>
      </c>
      <c r="C899" s="2" t="s">
        <v>25</v>
      </c>
      <c r="D899" s="2" t="s">
        <v>26</v>
      </c>
      <c r="E899" s="3" t="s">
        <v>147</v>
      </c>
      <c r="F899" s="3" t="s">
        <v>562</v>
      </c>
      <c r="G899" s="3" t="s">
        <v>2778</v>
      </c>
      <c r="H899" s="2" t="s">
        <v>55</v>
      </c>
      <c r="I899" s="2" t="s">
        <v>2779</v>
      </c>
      <c r="J899" s="3" t="str">
        <f>HYPERLINK("https://www.boe.es/gazeta/dias/1809/10/07/pdfs/GGB-H-1809-292.pdf#page=4","Abrir facsímil")</f>
        <v>Abrir facsímil</v>
      </c>
      <c r="K899" s="3" t="s">
        <v>57</v>
      </c>
    </row>
    <row r="900" spans="1:11" ht="42" customHeight="1">
      <c r="A900" s="2" t="s">
        <v>2780</v>
      </c>
      <c r="B900" s="2" t="s">
        <v>2781</v>
      </c>
      <c r="C900" s="2" t="s">
        <v>25</v>
      </c>
      <c r="D900" s="2" t="s">
        <v>72</v>
      </c>
      <c r="E900" s="3" t="s">
        <v>258</v>
      </c>
      <c r="F900" s="3" t="s">
        <v>2612</v>
      </c>
      <c r="G900" s="3" t="s">
        <v>94</v>
      </c>
      <c r="H900" s="2" t="s">
        <v>55</v>
      </c>
      <c r="I900" s="2" t="s">
        <v>2782</v>
      </c>
      <c r="J900" s="3" t="str">
        <f>HYPERLINK("https://www.boe.es/gazeta/dias/1809/03/17/pdfs/GGB-H-1809-12.pdf#page=5","Abrir facsímil")</f>
        <v>Abrir facsímil</v>
      </c>
      <c r="K900" s="3" t="s">
        <v>57</v>
      </c>
    </row>
    <row r="901" spans="1:11" ht="42" customHeight="1">
      <c r="A901" s="2" t="s">
        <v>2783</v>
      </c>
      <c r="B901" s="2" t="s">
        <v>2784</v>
      </c>
      <c r="C901" s="2" t="s">
        <v>39</v>
      </c>
      <c r="D901" s="2" t="s">
        <v>40</v>
      </c>
      <c r="E901" s="3" t="s">
        <v>2602</v>
      </c>
      <c r="F901" s="3" t="s">
        <v>2603</v>
      </c>
      <c r="G901" s="3" t="s">
        <v>89</v>
      </c>
      <c r="H901" s="2" t="s">
        <v>55</v>
      </c>
      <c r="I901" s="2" t="s">
        <v>2785</v>
      </c>
      <c r="J901" s="3" t="str">
        <f>HYPERLINK("https://www.boe.es/gazeta/dias/1809/11/15/pdfs/GMD-1809-320.pdf#page=4","Abrir facsímil")</f>
        <v>Abrir facsímil</v>
      </c>
      <c r="K901" s="3" t="s">
        <v>57</v>
      </c>
    </row>
    <row r="902" spans="1:11" ht="42" customHeight="1">
      <c r="A902" s="2" t="s">
        <v>2786</v>
      </c>
      <c r="B902" s="2" t="s">
        <v>2787</v>
      </c>
      <c r="C902" s="2" t="s">
        <v>25</v>
      </c>
      <c r="D902" s="2" t="s">
        <v>26</v>
      </c>
      <c r="E902" s="3" t="s">
        <v>1493</v>
      </c>
      <c r="F902" s="3" t="s">
        <v>1494</v>
      </c>
      <c r="G902" s="3" t="s">
        <v>234</v>
      </c>
      <c r="H902" s="2" t="s">
        <v>55</v>
      </c>
      <c r="I902" s="2" t="s">
        <v>2788</v>
      </c>
      <c r="J902" s="3" t="str">
        <f>HYPERLINK("https://www.boe.es/gazeta/dias/1809/08/25/pdfs/GMD-1809-238.pdf#page=4","Abrir facsímil")</f>
        <v>Abrir facsímil</v>
      </c>
      <c r="K902" s="3" t="s">
        <v>57</v>
      </c>
    </row>
    <row r="903" spans="1:11" ht="42" customHeight="1">
      <c r="A903" s="2" t="s">
        <v>2789</v>
      </c>
      <c r="B903" s="2" t="s">
        <v>2790</v>
      </c>
      <c r="C903" s="2" t="s">
        <v>25</v>
      </c>
      <c r="D903" s="2" t="s">
        <v>80</v>
      </c>
      <c r="E903" s="3" t="s">
        <v>755</v>
      </c>
      <c r="F903" s="3" t="s">
        <v>2335</v>
      </c>
      <c r="G903" s="3" t="s">
        <v>234</v>
      </c>
      <c r="H903" s="2" t="s">
        <v>55</v>
      </c>
      <c r="I903" s="2" t="s">
        <v>2791</v>
      </c>
      <c r="J903" s="3" t="str">
        <f>HYPERLINK("https://www.boe.es/gazeta/dias/1809/05/20/pdfs/GGB-1809-29E2.pdf#page=1","Abrir facsímil")</f>
        <v>Abrir facsímil</v>
      </c>
      <c r="K903" s="3" t="s">
        <v>57</v>
      </c>
    </row>
    <row r="904" spans="1:11" ht="42" customHeight="1">
      <c r="A904" s="2" t="s">
        <v>2792</v>
      </c>
      <c r="B904" s="2" t="s">
        <v>2793</v>
      </c>
      <c r="C904" s="2" t="s">
        <v>17</v>
      </c>
      <c r="D904" s="2" t="s">
        <v>18</v>
      </c>
      <c r="E904" s="3" t="s">
        <v>102</v>
      </c>
      <c r="F904" s="3" t="s">
        <v>103</v>
      </c>
      <c r="G904" s="3" t="s">
        <v>1706</v>
      </c>
      <c r="H904" s="2" t="s">
        <v>55</v>
      </c>
      <c r="I904" s="2" t="s">
        <v>2794</v>
      </c>
      <c r="J904" s="3" t="str">
        <f>HYPERLINK("https://www.boe.es/gazeta/dias/1809/09/28/pdfs/GGB-1809-252.pdf#page=5","Abrir facsímil")</f>
        <v>Abrir facsímil</v>
      </c>
      <c r="K904" s="3" t="s">
        <v>57</v>
      </c>
    </row>
    <row r="905" spans="1:11" ht="42" customHeight="1">
      <c r="A905" s="2" t="s">
        <v>2795</v>
      </c>
      <c r="B905" s="2" t="s">
        <v>2796</v>
      </c>
      <c r="C905" s="2" t="s">
        <v>17</v>
      </c>
      <c r="D905" s="2" t="s">
        <v>18</v>
      </c>
      <c r="E905" s="3" t="s">
        <v>1468</v>
      </c>
      <c r="F905" s="3" t="s">
        <v>1469</v>
      </c>
      <c r="G905" s="3" t="s">
        <v>104</v>
      </c>
      <c r="H905" s="2" t="s">
        <v>55</v>
      </c>
      <c r="I905" s="2" t="s">
        <v>2797</v>
      </c>
      <c r="J905" s="3" t="str">
        <f>HYPERLINK("https://www.boe.es/gazeta/dias/1809/02/12/pdfs/GMD-1809-43.pdf#page=6","Abrir facsímil")</f>
        <v>Abrir facsímil</v>
      </c>
      <c r="K905" s="3" t="s">
        <v>57</v>
      </c>
    </row>
    <row r="906" spans="1:11" ht="42" customHeight="1">
      <c r="A906" s="2" t="s">
        <v>2798</v>
      </c>
      <c r="B906" s="2" t="s">
        <v>2798</v>
      </c>
      <c r="C906" s="2" t="s">
        <v>25</v>
      </c>
      <c r="D906" s="2" t="s">
        <v>26</v>
      </c>
      <c r="E906" s="3" t="s">
        <v>211</v>
      </c>
      <c r="F906" s="3" t="s">
        <v>212</v>
      </c>
      <c r="G906" s="3" t="s">
        <v>467</v>
      </c>
      <c r="H906" s="2" t="s">
        <v>55</v>
      </c>
      <c r="I906" s="2" t="s">
        <v>2799</v>
      </c>
      <c r="J906" s="3" t="str">
        <f>HYPERLINK("https://www.boe.es/gazeta/dias/1809/10/27/pdfs/GMD-1809-301.pdf#page=2","Abrir facsímil")</f>
        <v>Abrir facsímil</v>
      </c>
      <c r="K906" s="3" t="s">
        <v>57</v>
      </c>
    </row>
    <row r="907" spans="1:11" ht="42" customHeight="1">
      <c r="A907" s="2" t="s">
        <v>2798</v>
      </c>
      <c r="B907" s="2" t="s">
        <v>2798</v>
      </c>
      <c r="C907" s="2" t="s">
        <v>25</v>
      </c>
      <c r="D907" s="2" t="s">
        <v>26</v>
      </c>
      <c r="E907" s="3" t="s">
        <v>216</v>
      </c>
      <c r="F907" s="3" t="s">
        <v>217</v>
      </c>
      <c r="G907" s="3" t="s">
        <v>270</v>
      </c>
      <c r="H907" s="2" t="s">
        <v>55</v>
      </c>
      <c r="I907" s="2" t="s">
        <v>2800</v>
      </c>
      <c r="J907" s="3" t="str">
        <f>HYPERLINK("https://www.boe.es/gazeta/dias/1809/12/05/pdfs/GGB-H-1809-542.pdf#page=3","Abrir facsímil")</f>
        <v>Abrir facsímil</v>
      </c>
      <c r="K907" s="3" t="s">
        <v>57</v>
      </c>
    </row>
    <row r="908" spans="1:11" ht="42" customHeight="1">
      <c r="A908" s="2" t="s">
        <v>2801</v>
      </c>
      <c r="B908" s="2" t="s">
        <v>2801</v>
      </c>
      <c r="C908" s="2" t="s">
        <v>288</v>
      </c>
      <c r="D908" s="2" t="s">
        <v>40</v>
      </c>
      <c r="E908" s="3" t="s">
        <v>2602</v>
      </c>
      <c r="F908" s="3" t="s">
        <v>2603</v>
      </c>
      <c r="G908" s="3" t="s">
        <v>89</v>
      </c>
      <c r="H908" s="2" t="s">
        <v>55</v>
      </c>
      <c r="I908" s="2" t="s">
        <v>2802</v>
      </c>
      <c r="J908" s="3" t="str">
        <f>HYPERLINK("https://www.boe.es/gazeta/dias/1809/11/15/pdfs/GMD-1809-320.pdf#page=4","Abrir facsímil")</f>
        <v>Abrir facsímil</v>
      </c>
      <c r="K908" s="3" t="s">
        <v>57</v>
      </c>
    </row>
    <row r="909" spans="1:11" ht="42" customHeight="1">
      <c r="A909" s="2" t="s">
        <v>2803</v>
      </c>
      <c r="B909" s="2" t="s">
        <v>2804</v>
      </c>
      <c r="C909" s="2" t="s">
        <v>25</v>
      </c>
      <c r="D909" s="2" t="s">
        <v>18</v>
      </c>
      <c r="E909" s="3" t="s">
        <v>2805</v>
      </c>
      <c r="F909" s="3" t="s">
        <v>2806</v>
      </c>
      <c r="G909" s="3" t="s">
        <v>234</v>
      </c>
      <c r="H909" s="2" t="s">
        <v>55</v>
      </c>
      <c r="I909" s="2" t="s">
        <v>2807</v>
      </c>
      <c r="J909" s="3" t="str">
        <f>HYPERLINK("https://www.boe.es/gazeta/dias/1809/09/24/pdfs/GMD-1809-268.pdf#page=1","Abrir facsímil")</f>
        <v>Abrir facsímil</v>
      </c>
      <c r="K909" s="3" t="s">
        <v>57</v>
      </c>
    </row>
    <row r="910" spans="1:11" ht="42" customHeight="1">
      <c r="A910" s="2" t="s">
        <v>2803</v>
      </c>
      <c r="B910" s="2" t="s">
        <v>2804</v>
      </c>
      <c r="C910" s="2" t="s">
        <v>25</v>
      </c>
      <c r="D910" s="2" t="s">
        <v>18</v>
      </c>
      <c r="E910" s="3" t="s">
        <v>2808</v>
      </c>
      <c r="F910" s="3" t="s">
        <v>2809</v>
      </c>
      <c r="G910" s="3" t="s">
        <v>1424</v>
      </c>
      <c r="H910" s="2" t="s">
        <v>55</v>
      </c>
      <c r="I910" s="2" t="s">
        <v>2810</v>
      </c>
      <c r="J910" s="3" t="str">
        <f>HYPERLINK("https://www.boe.es/gazeta/dias/1809/10/06/pdfs/GMD-1809-280.pdf#page=1","Abrir facsímil")</f>
        <v>Abrir facsímil</v>
      </c>
      <c r="K910" s="3" t="s">
        <v>57</v>
      </c>
    </row>
    <row r="911" spans="1:11" ht="42" customHeight="1">
      <c r="A911" s="2" t="s">
        <v>2811</v>
      </c>
      <c r="B911" s="2" t="s">
        <v>2812</v>
      </c>
      <c r="C911" s="2" t="s">
        <v>25</v>
      </c>
      <c r="D911" s="2" t="s">
        <v>107</v>
      </c>
      <c r="E911" s="3" t="s">
        <v>216</v>
      </c>
      <c r="F911" s="3" t="s">
        <v>2813</v>
      </c>
      <c r="G911" s="3" t="s">
        <v>2814</v>
      </c>
      <c r="H911" s="2" t="s">
        <v>55</v>
      </c>
      <c r="I911" s="2" t="s">
        <v>2815</v>
      </c>
      <c r="J911" s="3" t="str">
        <f>HYPERLINK("https://www.boe.es/gazeta/dias/1809/12/05/pdfs/GMD-1809-340.pdf#page=2","Abrir facsímil")</f>
        <v>Abrir facsímil</v>
      </c>
      <c r="K911" s="3" t="s">
        <v>57</v>
      </c>
    </row>
    <row r="912" spans="1:11" ht="42" customHeight="1">
      <c r="A912" s="2" t="s">
        <v>2816</v>
      </c>
      <c r="B912" s="2" t="s">
        <v>2817</v>
      </c>
      <c r="C912" s="2" t="s">
        <v>25</v>
      </c>
      <c r="D912" s="2" t="s">
        <v>18</v>
      </c>
      <c r="E912" s="3" t="s">
        <v>2818</v>
      </c>
      <c r="F912" s="3" t="s">
        <v>2819</v>
      </c>
      <c r="G912" s="3" t="s">
        <v>110</v>
      </c>
      <c r="H912" s="2" t="s">
        <v>55</v>
      </c>
      <c r="I912" s="2" t="s">
        <v>2820</v>
      </c>
      <c r="J912" s="3" t="str">
        <f>HYPERLINK("https://www.boe.es/gazeta/dias/1809/02/03/pdfs/GMD-1809-34.pdf#page=3","Abrir facsímil")</f>
        <v>Abrir facsímil</v>
      </c>
      <c r="K912" s="3" t="s">
        <v>57</v>
      </c>
    </row>
    <row r="913" spans="1:11" ht="42" customHeight="1">
      <c r="A913" s="2" t="s">
        <v>2821</v>
      </c>
      <c r="B913" s="2" t="s">
        <v>2822</v>
      </c>
      <c r="C913" s="2" t="s">
        <v>25</v>
      </c>
      <c r="D913" s="2" t="s">
        <v>26</v>
      </c>
      <c r="E913" s="3" t="s">
        <v>599</v>
      </c>
      <c r="F913" s="3" t="s">
        <v>600</v>
      </c>
      <c r="G913" s="3" t="s">
        <v>239</v>
      </c>
      <c r="H913" s="2" t="s">
        <v>55</v>
      </c>
      <c r="I913" s="2" t="s">
        <v>2823</v>
      </c>
      <c r="J913" s="3" t="str">
        <f>HYPERLINK("https://www.boe.es/gazeta/dias/1809/01/19/pdfs/GMD-1809-19.pdf#page=3","Abrir facsímil")</f>
        <v>Abrir facsímil</v>
      </c>
      <c r="K913" s="3" t="s">
        <v>57</v>
      </c>
    </row>
    <row r="914" spans="1:11" ht="42" customHeight="1">
      <c r="A914" s="2" t="s">
        <v>2821</v>
      </c>
      <c r="B914" s="2" t="s">
        <v>2822</v>
      </c>
      <c r="C914" s="2" t="s">
        <v>25</v>
      </c>
      <c r="D914" s="2" t="s">
        <v>26</v>
      </c>
      <c r="E914" s="3" t="s">
        <v>1872</v>
      </c>
      <c r="F914" s="3" t="s">
        <v>1873</v>
      </c>
      <c r="G914" s="3" t="s">
        <v>1876</v>
      </c>
      <c r="H914" s="2" t="s">
        <v>55</v>
      </c>
      <c r="I914" s="2" t="s">
        <v>2824</v>
      </c>
      <c r="J914" s="3" t="str">
        <f>HYPERLINK("https://www.boe.es/gazeta/dias/1809/11/07/pdfs/GGB-1809-422.pdf#page=6","Abrir facsímil")</f>
        <v>Abrir facsímil</v>
      </c>
      <c r="K914" s="3" t="s">
        <v>57</v>
      </c>
    </row>
    <row r="915" spans="1:11" ht="42" customHeight="1">
      <c r="A915" s="2" t="s">
        <v>2825</v>
      </c>
      <c r="B915" s="2" t="s">
        <v>2826</v>
      </c>
      <c r="C915" s="2" t="s">
        <v>17</v>
      </c>
      <c r="D915" s="2" t="s">
        <v>18</v>
      </c>
      <c r="E915" s="3" t="s">
        <v>33</v>
      </c>
      <c r="F915" s="3" t="s">
        <v>34</v>
      </c>
      <c r="G915" s="3" t="s">
        <v>493</v>
      </c>
      <c r="H915" s="2" t="s">
        <v>55</v>
      </c>
      <c r="I915" s="2" t="s">
        <v>2827</v>
      </c>
      <c r="J915" s="3" t="str">
        <f>HYPERLINK("https://www.boe.es/gazeta/dias/1809/12/19/pdfs/GGB-1809-602.pdf#page=6","Abrir facsímil")</f>
        <v>Abrir facsímil</v>
      </c>
      <c r="K915" s="3" t="s">
        <v>57</v>
      </c>
    </row>
    <row r="916" spans="1:11" ht="42" customHeight="1">
      <c r="A916" s="2" t="s">
        <v>2828</v>
      </c>
      <c r="B916" s="2" t="s">
        <v>2828</v>
      </c>
      <c r="C916" s="2" t="s">
        <v>25</v>
      </c>
      <c r="D916" s="2" t="s">
        <v>26</v>
      </c>
      <c r="E916" s="3" t="s">
        <v>134</v>
      </c>
      <c r="F916" s="3" t="s">
        <v>135</v>
      </c>
      <c r="G916" s="3" t="s">
        <v>234</v>
      </c>
      <c r="H916" s="2" t="s">
        <v>55</v>
      </c>
      <c r="I916" s="2" t="s">
        <v>2829</v>
      </c>
      <c r="J916" s="3" t="str">
        <f>HYPERLINK("https://www.boe.es/gazeta/dias/1809/06/07/pdfs/GMD-1809-158.pdf#page=2","Abrir facsímil")</f>
        <v>Abrir facsímil</v>
      </c>
      <c r="K916" s="3" t="s">
        <v>57</v>
      </c>
    </row>
    <row r="917" spans="1:11" ht="42" customHeight="1">
      <c r="A917" s="2" t="s">
        <v>2828</v>
      </c>
      <c r="B917" s="2" t="s">
        <v>2828</v>
      </c>
      <c r="C917" s="2" t="s">
        <v>25</v>
      </c>
      <c r="D917" s="2" t="s">
        <v>72</v>
      </c>
      <c r="E917" s="3" t="s">
        <v>1206</v>
      </c>
      <c r="F917" s="3" t="s">
        <v>1207</v>
      </c>
      <c r="G917" s="3" t="s">
        <v>595</v>
      </c>
      <c r="H917" s="2" t="s">
        <v>55</v>
      </c>
      <c r="I917" s="2" t="s">
        <v>2830</v>
      </c>
      <c r="J917" s="3" t="str">
        <f>HYPERLINK("https://www.boe.es/gazeta/dias/1809/09/23/pdfs/GGB-H-1809-232.pdf#page=7","Abrir facsímil")</f>
        <v>Abrir facsímil</v>
      </c>
      <c r="K917" s="3" t="s">
        <v>57</v>
      </c>
    </row>
    <row r="918" spans="1:11" ht="42" customHeight="1">
      <c r="A918" s="2" t="s">
        <v>2828</v>
      </c>
      <c r="B918" s="2" t="s">
        <v>2828</v>
      </c>
      <c r="C918" s="2" t="s">
        <v>47</v>
      </c>
      <c r="D918" s="2" t="s">
        <v>18</v>
      </c>
      <c r="E918" s="3" t="s">
        <v>147</v>
      </c>
      <c r="F918" s="3" t="s">
        <v>2411</v>
      </c>
      <c r="G918" s="3" t="s">
        <v>110</v>
      </c>
      <c r="H918" s="2" t="s">
        <v>55</v>
      </c>
      <c r="I918" s="2" t="s">
        <v>2831</v>
      </c>
      <c r="J918" s="3" t="str">
        <f>HYPERLINK("https://www.boe.es/gazeta/dias/1809/10/07/pdfs/GMD-1809-281.pdf#page=3","Abrir facsímil")</f>
        <v>Abrir facsímil</v>
      </c>
      <c r="K918" s="3" t="s">
        <v>57</v>
      </c>
    </row>
    <row r="919" spans="1:11" ht="42" customHeight="1">
      <c r="A919" s="2" t="s">
        <v>2828</v>
      </c>
      <c r="B919" s="2" t="s">
        <v>2828</v>
      </c>
      <c r="C919" s="2" t="s">
        <v>17</v>
      </c>
      <c r="D919" s="2" t="s">
        <v>18</v>
      </c>
      <c r="E919" s="3" t="s">
        <v>179</v>
      </c>
      <c r="F919" s="3" t="s">
        <v>2418</v>
      </c>
      <c r="G919" s="3" t="s">
        <v>525</v>
      </c>
      <c r="H919" s="2" t="s">
        <v>55</v>
      </c>
      <c r="I919" s="2" t="s">
        <v>2832</v>
      </c>
      <c r="J919" s="3" t="str">
        <f>HYPERLINK("https://www.boe.es/gazeta/dias/1809/12/08/pdfs/GMD-1809-343.pdf#page=4","Abrir facsímil")</f>
        <v>Abrir facsímil</v>
      </c>
      <c r="K919" s="3" t="s">
        <v>57</v>
      </c>
    </row>
    <row r="920" spans="1:11" ht="42" customHeight="1">
      <c r="A920" s="2" t="s">
        <v>2828</v>
      </c>
      <c r="B920" s="2" t="s">
        <v>2828</v>
      </c>
      <c r="C920" s="2" t="s">
        <v>25</v>
      </c>
      <c r="D920" s="2" t="s">
        <v>18</v>
      </c>
      <c r="E920" s="3" t="s">
        <v>223</v>
      </c>
      <c r="F920" s="3" t="s">
        <v>224</v>
      </c>
      <c r="G920" s="3" t="s">
        <v>225</v>
      </c>
      <c r="H920" s="2" t="s">
        <v>55</v>
      </c>
      <c r="I920" s="2" t="s">
        <v>2833</v>
      </c>
      <c r="J920" s="3" t="str">
        <f>HYPERLINK("https://www.boe.es/gazeta/dias/1809/12/17/pdfs/GMD-1809-352.pdf#page=4","Abrir facsímil")</f>
        <v>Abrir facsímil</v>
      </c>
      <c r="K920" s="3" t="s">
        <v>57</v>
      </c>
    </row>
    <row r="921" spans="1:11" ht="42" customHeight="1">
      <c r="A921" s="2" t="s">
        <v>2828</v>
      </c>
      <c r="B921" s="2" t="s">
        <v>2828</v>
      </c>
      <c r="C921" s="2" t="s">
        <v>25</v>
      </c>
      <c r="D921" s="2" t="s">
        <v>26</v>
      </c>
      <c r="E921" s="3" t="s">
        <v>473</v>
      </c>
      <c r="F921" s="3" t="s">
        <v>474</v>
      </c>
      <c r="G921" s="3" t="s">
        <v>234</v>
      </c>
      <c r="H921" s="2" t="s">
        <v>55</v>
      </c>
      <c r="I921" s="2" t="s">
        <v>2834</v>
      </c>
      <c r="J921" s="3" t="str">
        <f>HYPERLINK("https://www.boe.es/gazeta/dias/1809/12/28/pdfs/GMD-1809-363.pdf#page=3","Abrir facsímil")</f>
        <v>Abrir facsímil</v>
      </c>
      <c r="K921" s="3" t="s">
        <v>57</v>
      </c>
    </row>
    <row r="922" spans="1:11" ht="42" customHeight="1">
      <c r="A922" s="2" t="s">
        <v>2835</v>
      </c>
      <c r="B922" s="2" t="s">
        <v>2836</v>
      </c>
      <c r="C922" s="2" t="s">
        <v>131</v>
      </c>
      <c r="D922" s="2" t="s">
        <v>40</v>
      </c>
      <c r="E922" s="3" t="s">
        <v>268</v>
      </c>
      <c r="F922" s="3" t="s">
        <v>269</v>
      </c>
      <c r="G922" s="3" t="s">
        <v>234</v>
      </c>
      <c r="H922" s="2" t="s">
        <v>55</v>
      </c>
      <c r="I922" s="2" t="s">
        <v>2837</v>
      </c>
      <c r="J922" s="3" t="str">
        <f>HYPERLINK("https://www.boe.es/gazeta/dias/1809/06/05/pdfs/GMD-1809-156.pdf#page=4","Abrir facsímil")</f>
        <v>Abrir facsímil</v>
      </c>
      <c r="K922" s="3" t="s">
        <v>57</v>
      </c>
    </row>
    <row r="923" spans="1:11" ht="42" customHeight="1">
      <c r="A923" s="2" t="s">
        <v>2838</v>
      </c>
      <c r="B923" s="2" t="s">
        <v>2839</v>
      </c>
      <c r="C923" s="2" t="s">
        <v>25</v>
      </c>
      <c r="D923" s="2" t="s">
        <v>18</v>
      </c>
      <c r="E923" s="3" t="s">
        <v>2840</v>
      </c>
      <c r="F923" s="3" t="s">
        <v>2841</v>
      </c>
      <c r="G923" s="3" t="s">
        <v>62</v>
      </c>
      <c r="H923" s="2" t="s">
        <v>55</v>
      </c>
      <c r="I923" s="2" t="s">
        <v>2842</v>
      </c>
      <c r="J923" s="3" t="str">
        <f>HYPERLINK("https://www.boe.es/gazeta/dias/1809/11/30/pdfs/GMD-1809-335.pdf#page=4","Abrir facsímil")</f>
        <v>Abrir facsímil</v>
      </c>
      <c r="K923" s="3" t="s">
        <v>57</v>
      </c>
    </row>
    <row r="924" spans="1:11" ht="42" customHeight="1">
      <c r="A924" s="2" t="s">
        <v>2843</v>
      </c>
      <c r="B924" s="2" t="s">
        <v>2844</v>
      </c>
      <c r="C924" s="2" t="s">
        <v>17</v>
      </c>
      <c r="D924" s="2" t="s">
        <v>40</v>
      </c>
      <c r="E924" s="3" t="s">
        <v>2845</v>
      </c>
      <c r="F924" s="3" t="s">
        <v>2846</v>
      </c>
      <c r="G924" s="3" t="s">
        <v>154</v>
      </c>
      <c r="H924" s="2" t="s">
        <v>55</v>
      </c>
      <c r="I924" s="2" t="s">
        <v>2847</v>
      </c>
      <c r="J924" s="3" t="str">
        <f>HYPERLINK("https://www.boe.es/gazeta/dias/1809/11/23/pdfs/GGB-1809-492.pdf#page=3","Abrir facsímil")</f>
        <v>Abrir facsímil</v>
      </c>
      <c r="K924" s="3" t="s">
        <v>57</v>
      </c>
    </row>
    <row r="925" spans="1:11" ht="42" customHeight="1">
      <c r="A925" s="2" t="s">
        <v>2848</v>
      </c>
      <c r="B925" s="2" t="s">
        <v>2849</v>
      </c>
      <c r="C925" s="2" t="s">
        <v>17</v>
      </c>
      <c r="D925" s="2" t="s">
        <v>18</v>
      </c>
      <c r="E925" s="3" t="s">
        <v>1514</v>
      </c>
      <c r="F925" s="3" t="s">
        <v>1840</v>
      </c>
      <c r="G925" s="3" t="s">
        <v>94</v>
      </c>
      <c r="H925" s="2" t="s">
        <v>55</v>
      </c>
      <c r="I925" s="2" t="s">
        <v>2850</v>
      </c>
      <c r="J925" s="3" t="str">
        <f>HYPERLINK("https://www.boe.es/gazeta/dias/1809/04/17/pdfs/GGB-1809-19.pdf#page=5","Abrir facsímil")</f>
        <v>Abrir facsímil</v>
      </c>
      <c r="K925" s="3" t="s">
        <v>57</v>
      </c>
    </row>
    <row r="926" spans="1:11" ht="42" customHeight="1">
      <c r="A926" s="2" t="s">
        <v>2851</v>
      </c>
      <c r="B926" s="2" t="s">
        <v>2852</v>
      </c>
      <c r="C926" s="2" t="s">
        <v>17</v>
      </c>
      <c r="D926" s="2" t="s">
        <v>18</v>
      </c>
      <c r="E926" s="3" t="s">
        <v>1635</v>
      </c>
      <c r="F926" s="3" t="s">
        <v>1636</v>
      </c>
      <c r="G926" s="3" t="s">
        <v>914</v>
      </c>
      <c r="H926" s="2" t="s">
        <v>55</v>
      </c>
      <c r="I926" s="2" t="s">
        <v>2853</v>
      </c>
      <c r="J926" s="3" t="str">
        <f>HYPERLINK("https://www.boe.es/gazeta/dias/1809/09/15/pdfs/GMD-1809-259.pdf#page=4","Abrir facsímil")</f>
        <v>Abrir facsímil</v>
      </c>
      <c r="K926" s="3" t="s">
        <v>57</v>
      </c>
    </row>
    <row r="927" spans="1:11" ht="42" customHeight="1">
      <c r="A927" s="2" t="s">
        <v>2854</v>
      </c>
      <c r="B927" s="2" t="s">
        <v>2854</v>
      </c>
      <c r="C927" s="2" t="s">
        <v>25</v>
      </c>
      <c r="D927" s="2" t="s">
        <v>107</v>
      </c>
      <c r="E927" s="3" t="s">
        <v>1048</v>
      </c>
      <c r="F927" s="3" t="s">
        <v>1049</v>
      </c>
      <c r="G927" s="3" t="s">
        <v>736</v>
      </c>
      <c r="H927" s="2" t="s">
        <v>55</v>
      </c>
      <c r="I927" s="2" t="s">
        <v>2855</v>
      </c>
      <c r="J927" s="3" t="str">
        <f>HYPERLINK("https://www.boe.es/gazeta/dias/1809/08/10/pdfs/GGB-1809-42.pdf#page=2","Abrir facsímil")</f>
        <v>Abrir facsímil</v>
      </c>
      <c r="K927" s="3" t="s">
        <v>57</v>
      </c>
    </row>
    <row r="928" spans="1:11" ht="42" customHeight="1">
      <c r="A928" s="2" t="s">
        <v>2856</v>
      </c>
      <c r="B928" s="2" t="s">
        <v>2857</v>
      </c>
      <c r="C928" s="2" t="s">
        <v>39</v>
      </c>
      <c r="D928" s="2" t="s">
        <v>18</v>
      </c>
      <c r="E928" s="3" t="s">
        <v>390</v>
      </c>
      <c r="F928" s="3" t="s">
        <v>2858</v>
      </c>
      <c r="G928" s="3" t="s">
        <v>110</v>
      </c>
      <c r="H928" s="2" t="s">
        <v>55</v>
      </c>
      <c r="I928" s="2" t="s">
        <v>2859</v>
      </c>
      <c r="J928" s="3" t="str">
        <f>HYPERLINK("https://www.boe.es/gazeta/dias/1809/10/19/pdfs/GMD-1809-293.pdf#page=4","Abrir facsímil")</f>
        <v>Abrir facsímil</v>
      </c>
      <c r="K928" s="3" t="s">
        <v>57</v>
      </c>
    </row>
    <row r="929" spans="1:11" ht="42" customHeight="1">
      <c r="A929" s="2" t="s">
        <v>2860</v>
      </c>
      <c r="B929" s="2" t="s">
        <v>2860</v>
      </c>
      <c r="C929" s="2" t="s">
        <v>25</v>
      </c>
      <c r="D929" s="2" t="s">
        <v>18</v>
      </c>
      <c r="E929" s="3" t="s">
        <v>1282</v>
      </c>
      <c r="F929" s="3" t="s">
        <v>1743</v>
      </c>
      <c r="G929" s="3" t="s">
        <v>1516</v>
      </c>
      <c r="H929" s="2" t="s">
        <v>55</v>
      </c>
      <c r="I929" s="2" t="s">
        <v>2861</v>
      </c>
      <c r="J929" s="3" t="str">
        <f>HYPERLINK("https://www.boe.es/gazeta/dias/1809/06/26/pdfs/GMD-1809-177.pdf#page=3","Abrir facsímil")</f>
        <v>Abrir facsímil</v>
      </c>
      <c r="K929" s="3" t="s">
        <v>57</v>
      </c>
    </row>
    <row r="930" spans="1:11" ht="42" customHeight="1">
      <c r="A930" s="2" t="s">
        <v>2862</v>
      </c>
      <c r="B930" s="2" t="s">
        <v>2863</v>
      </c>
      <c r="C930" s="2" t="s">
        <v>17</v>
      </c>
      <c r="D930" s="2" t="s">
        <v>18</v>
      </c>
      <c r="E930" s="3" t="s">
        <v>207</v>
      </c>
      <c r="F930" s="3" t="s">
        <v>2864</v>
      </c>
      <c r="G930" s="3" t="s">
        <v>2865</v>
      </c>
      <c r="H930" s="2" t="s">
        <v>55</v>
      </c>
      <c r="I930" s="2" t="s">
        <v>2866</v>
      </c>
      <c r="J930" s="3" t="str">
        <f>HYPERLINK("https://www.boe.es/gazeta/dias/1809/09/16/pdfs/GGB-1809-202.pdf#page=6","Abrir facsímil")</f>
        <v>Abrir facsímil</v>
      </c>
      <c r="K930" s="3" t="s">
        <v>57</v>
      </c>
    </row>
    <row r="931" spans="1:11" ht="42" customHeight="1">
      <c r="A931" s="2" t="s">
        <v>2867</v>
      </c>
      <c r="B931" s="2" t="s">
        <v>2867</v>
      </c>
      <c r="C931" s="2" t="s">
        <v>25</v>
      </c>
      <c r="D931" s="2" t="s">
        <v>18</v>
      </c>
      <c r="E931" s="3" t="s">
        <v>113</v>
      </c>
      <c r="F931" s="3" t="s">
        <v>1982</v>
      </c>
      <c r="G931" s="3" t="s">
        <v>260</v>
      </c>
      <c r="H931" s="2" t="s">
        <v>55</v>
      </c>
      <c r="I931" s="2" t="s">
        <v>2868</v>
      </c>
      <c r="J931" s="3" t="str">
        <f>HYPERLINK("https://www.boe.es/gazeta/dias/1809/04/24/pdfs/GGB-1809-21.pdf#page=8","Abrir facsímil")</f>
        <v>Abrir facsímil</v>
      </c>
      <c r="K931" s="3" t="s">
        <v>57</v>
      </c>
    </row>
    <row r="932" spans="1:11" ht="42" customHeight="1">
      <c r="A932" s="2" t="s">
        <v>2869</v>
      </c>
      <c r="B932" s="2" t="s">
        <v>2870</v>
      </c>
      <c r="C932" s="2" t="s">
        <v>17</v>
      </c>
      <c r="D932" s="2" t="s">
        <v>72</v>
      </c>
      <c r="E932" s="3" t="s">
        <v>2244</v>
      </c>
      <c r="F932" s="3" t="s">
        <v>2871</v>
      </c>
      <c r="G932" s="3" t="s">
        <v>62</v>
      </c>
      <c r="H932" s="2" t="s">
        <v>55</v>
      </c>
      <c r="I932" s="2" t="s">
        <v>2872</v>
      </c>
      <c r="J932" s="3" t="str">
        <f>HYPERLINK("https://www.boe.es/gazeta/dias/1809/03/27/pdfs/GGB-G-1809-13B.pdf#page=3","Abrir facsímil")</f>
        <v>Abrir facsímil</v>
      </c>
      <c r="K932" s="3" t="s">
        <v>57</v>
      </c>
    </row>
    <row r="933" spans="1:11" ht="42" customHeight="1">
      <c r="A933" s="2" t="s">
        <v>2873</v>
      </c>
      <c r="B933" s="2" t="s">
        <v>2873</v>
      </c>
      <c r="C933" s="2" t="s">
        <v>25</v>
      </c>
      <c r="D933" s="2" t="s">
        <v>80</v>
      </c>
      <c r="E933" s="3" t="s">
        <v>248</v>
      </c>
      <c r="F933" s="3" t="s">
        <v>249</v>
      </c>
      <c r="G933" s="3" t="s">
        <v>94</v>
      </c>
      <c r="H933" s="2" t="s">
        <v>55</v>
      </c>
      <c r="I933" s="2" t="s">
        <v>2874</v>
      </c>
      <c r="J933" s="3" t="str">
        <f>HYPERLINK("https://www.boe.es/gazeta/dias/1809/07/26/pdfs/GGB-1809-48E.pdf#page=5","Abrir facsímil")</f>
        <v>Abrir facsímil</v>
      </c>
      <c r="K933" s="3" t="s">
        <v>57</v>
      </c>
    </row>
    <row r="934" spans="1:11" ht="42" customHeight="1">
      <c r="A934" s="2" t="s">
        <v>2875</v>
      </c>
      <c r="B934" s="2" t="s">
        <v>2876</v>
      </c>
      <c r="C934" s="2" t="s">
        <v>25</v>
      </c>
      <c r="D934" s="2" t="s">
        <v>18</v>
      </c>
      <c r="E934" s="3" t="s">
        <v>294</v>
      </c>
      <c r="F934" s="3" t="s">
        <v>1360</v>
      </c>
      <c r="G934" s="3" t="s">
        <v>2877</v>
      </c>
      <c r="H934" s="2" t="s">
        <v>55</v>
      </c>
      <c r="I934" s="2" t="s">
        <v>2878</v>
      </c>
      <c r="J934" s="3" t="str">
        <f>HYPERLINK("https://www.boe.es/gazeta/dias/1809/09/30/pdfs/GGB-1809-262.pdf#page=3","Abrir facsímil")</f>
        <v>Abrir facsímil</v>
      </c>
      <c r="K934" s="3" t="s">
        <v>57</v>
      </c>
    </row>
    <row r="935" spans="1:11" ht="42" customHeight="1">
      <c r="A935" s="2" t="s">
        <v>2879</v>
      </c>
      <c r="B935" s="2" t="s">
        <v>2880</v>
      </c>
      <c r="C935" s="2" t="s">
        <v>25</v>
      </c>
      <c r="D935" s="2" t="s">
        <v>72</v>
      </c>
      <c r="E935" s="3" t="s">
        <v>258</v>
      </c>
      <c r="F935" s="3" t="s">
        <v>1673</v>
      </c>
      <c r="G935" s="3" t="s">
        <v>239</v>
      </c>
      <c r="H935" s="2" t="s">
        <v>55</v>
      </c>
      <c r="I935" s="2" t="s">
        <v>2881</v>
      </c>
      <c r="J935" s="3" t="str">
        <f>HYPERLINK("https://www.boe.es/gazeta/dias/1809/03/17/pdfs/GGB-G-1809-12.pdf#page=5","Abrir facsímil")</f>
        <v>Abrir facsímil</v>
      </c>
      <c r="K935" s="3" t="s">
        <v>57</v>
      </c>
    </row>
    <row r="936" spans="1:11" ht="42" customHeight="1">
      <c r="A936" s="2" t="s">
        <v>2882</v>
      </c>
      <c r="B936" s="2" t="s">
        <v>2883</v>
      </c>
      <c r="C936" s="2" t="s">
        <v>17</v>
      </c>
      <c r="D936" s="2" t="s">
        <v>72</v>
      </c>
      <c r="E936" s="3" t="s">
        <v>147</v>
      </c>
      <c r="F936" s="3" t="s">
        <v>562</v>
      </c>
      <c r="G936" s="3" t="s">
        <v>563</v>
      </c>
      <c r="H936" s="2" t="s">
        <v>55</v>
      </c>
      <c r="I936" s="2" t="s">
        <v>2884</v>
      </c>
      <c r="J936" s="3" t="str">
        <f>HYPERLINK("https://www.boe.es/gazeta/dias/1809/10/07/pdfs/GGB-H-1809-292.pdf#page=8","Abrir facsímil")</f>
        <v>Abrir facsímil</v>
      </c>
      <c r="K936" s="3" t="s">
        <v>57</v>
      </c>
    </row>
    <row r="937" spans="1:11" ht="42" customHeight="1">
      <c r="A937" s="2" t="s">
        <v>2885</v>
      </c>
      <c r="B937" s="2" t="s">
        <v>2885</v>
      </c>
      <c r="C937" s="2" t="s">
        <v>25</v>
      </c>
      <c r="D937" s="2" t="s">
        <v>26</v>
      </c>
      <c r="E937" s="3" t="s">
        <v>2595</v>
      </c>
      <c r="F937" s="3" t="s">
        <v>2596</v>
      </c>
      <c r="G937" s="3" t="s">
        <v>426</v>
      </c>
      <c r="H937" s="2" t="s">
        <v>55</v>
      </c>
      <c r="I937" s="2" t="s">
        <v>2886</v>
      </c>
      <c r="J937" s="3" t="str">
        <f>HYPERLINK("https://www.boe.es/gazeta/dias/1809/06/16/pdfs/GMD-1809-167.pdf#page=2","Abrir facsímil")</f>
        <v>Abrir facsímil</v>
      </c>
      <c r="K937" s="3" t="s">
        <v>57</v>
      </c>
    </row>
    <row r="938" spans="1:11" ht="42" customHeight="1">
      <c r="A938" s="2" t="s">
        <v>2887</v>
      </c>
      <c r="B938" s="2" t="s">
        <v>2887</v>
      </c>
      <c r="C938" s="2" t="s">
        <v>25</v>
      </c>
      <c r="D938" s="2" t="s">
        <v>18</v>
      </c>
      <c r="E938" s="3" t="s">
        <v>2888</v>
      </c>
      <c r="F938" s="3" t="s">
        <v>2889</v>
      </c>
      <c r="G938" s="3" t="s">
        <v>234</v>
      </c>
      <c r="H938" s="2" t="s">
        <v>55</v>
      </c>
      <c r="I938" s="2" t="s">
        <v>2890</v>
      </c>
      <c r="J938" s="3" t="str">
        <f>HYPERLINK("https://www.boe.es/gazeta/dias/1809/06/25/pdfs/GMD-1809-176.pdf#page=3","Abrir facsímil")</f>
        <v>Abrir facsímil</v>
      </c>
      <c r="K938" s="3" t="s">
        <v>57</v>
      </c>
    </row>
    <row r="939" spans="1:11" ht="42" customHeight="1">
      <c r="A939" s="2" t="s">
        <v>2887</v>
      </c>
      <c r="B939" s="2" t="s">
        <v>2887</v>
      </c>
      <c r="C939" s="2" t="s">
        <v>25</v>
      </c>
      <c r="D939" s="2" t="s">
        <v>18</v>
      </c>
      <c r="E939" s="3" t="s">
        <v>1282</v>
      </c>
      <c r="F939" s="3" t="s">
        <v>1743</v>
      </c>
      <c r="G939" s="3" t="s">
        <v>234</v>
      </c>
      <c r="H939" s="2" t="s">
        <v>55</v>
      </c>
      <c r="I939" s="2" t="s">
        <v>2891</v>
      </c>
      <c r="J939" s="3" t="str">
        <f>HYPERLINK("https://www.boe.es/gazeta/dias/1809/06/26/pdfs/GMD-1809-177.pdf#page=2","Abrir facsímil")</f>
        <v>Abrir facsímil</v>
      </c>
      <c r="K939" s="3" t="s">
        <v>57</v>
      </c>
    </row>
    <row r="940" spans="1:11" ht="42" customHeight="1">
      <c r="A940" s="2" t="s">
        <v>2887</v>
      </c>
      <c r="B940" s="2" t="s">
        <v>2887</v>
      </c>
      <c r="C940" s="2" t="s">
        <v>25</v>
      </c>
      <c r="D940" s="2" t="s">
        <v>18</v>
      </c>
      <c r="E940" s="3" t="s">
        <v>1282</v>
      </c>
      <c r="F940" s="3" t="s">
        <v>1743</v>
      </c>
      <c r="G940" s="3" t="s">
        <v>1516</v>
      </c>
      <c r="H940" s="2" t="s">
        <v>55</v>
      </c>
      <c r="I940" s="2" t="s">
        <v>2892</v>
      </c>
      <c r="J940" s="3" t="str">
        <f>HYPERLINK("https://www.boe.es/gazeta/dias/1809/06/26/pdfs/GMD-1809-177.pdf#page=3","Abrir facsímil")</f>
        <v>Abrir facsímil</v>
      </c>
      <c r="K940" s="3" t="s">
        <v>57</v>
      </c>
    </row>
    <row r="941" spans="1:11" ht="42" customHeight="1">
      <c r="A941" s="2" t="s">
        <v>2893</v>
      </c>
      <c r="B941" s="2" t="s">
        <v>2894</v>
      </c>
      <c r="C941" s="2" t="s">
        <v>25</v>
      </c>
      <c r="D941" s="2" t="s">
        <v>18</v>
      </c>
      <c r="E941" s="3" t="s">
        <v>1011</v>
      </c>
      <c r="F941" s="3" t="s">
        <v>1012</v>
      </c>
      <c r="G941" s="3" t="s">
        <v>75</v>
      </c>
      <c r="H941" s="2" t="s">
        <v>55</v>
      </c>
      <c r="I941" s="2" t="s">
        <v>2895</v>
      </c>
      <c r="J941" s="3" t="str">
        <f>HYPERLINK("https://www.boe.es/gazeta/dias/1809/08/01/pdfs/GGB-1809-50.pdf#page=6","Abrir facsímil")</f>
        <v>Abrir facsímil</v>
      </c>
      <c r="K941" s="3" t="s">
        <v>57</v>
      </c>
    </row>
    <row r="942" spans="1:11" ht="42" customHeight="1">
      <c r="A942" s="2" t="s">
        <v>2896</v>
      </c>
      <c r="B942" s="2" t="s">
        <v>2897</v>
      </c>
      <c r="C942" s="2" t="s">
        <v>17</v>
      </c>
      <c r="D942" s="2" t="s">
        <v>72</v>
      </c>
      <c r="E942" s="3" t="s">
        <v>695</v>
      </c>
      <c r="F942" s="3" t="s">
        <v>1658</v>
      </c>
      <c r="G942" s="3" t="s">
        <v>2444</v>
      </c>
      <c r="H942" s="2" t="s">
        <v>55</v>
      </c>
      <c r="I942" s="2" t="s">
        <v>2898</v>
      </c>
      <c r="J942" s="3" t="str">
        <f>HYPERLINK("https://www.boe.es/gazeta/dias/1809/10/24/pdfs/GGB-H-1809-362.pdf#page=5","Abrir facsímil")</f>
        <v>Abrir facsímil</v>
      </c>
      <c r="K942" s="3" t="s">
        <v>57</v>
      </c>
    </row>
    <row r="943" spans="1:11" ht="42" customHeight="1">
      <c r="A943" s="2" t="s">
        <v>2899</v>
      </c>
      <c r="B943" s="2" t="s">
        <v>2900</v>
      </c>
      <c r="C943" s="2" t="s">
        <v>47</v>
      </c>
      <c r="D943" s="2" t="s">
        <v>18</v>
      </c>
      <c r="E943" s="3" t="s">
        <v>152</v>
      </c>
      <c r="F943" s="3" t="s">
        <v>153</v>
      </c>
      <c r="G943" s="3" t="s">
        <v>154</v>
      </c>
      <c r="H943" s="2" t="s">
        <v>55</v>
      </c>
      <c r="I943" s="2" t="s">
        <v>2901</v>
      </c>
      <c r="J943" s="3" t="str">
        <f>HYPERLINK("https://www.boe.es/gazeta/dias/1809/08/26/pdfs/GGB-1809-112.pdf#page=6","Abrir facsímil")</f>
        <v>Abrir facsímil</v>
      </c>
      <c r="K943" s="3" t="s">
        <v>57</v>
      </c>
    </row>
    <row r="944" spans="1:11" ht="42" customHeight="1">
      <c r="A944" s="2" t="s">
        <v>2902</v>
      </c>
      <c r="B944" s="2" t="s">
        <v>2902</v>
      </c>
      <c r="C944" s="2" t="s">
        <v>17</v>
      </c>
      <c r="D944" s="2" t="s">
        <v>18</v>
      </c>
      <c r="E944" s="3" t="s">
        <v>211</v>
      </c>
      <c r="F944" s="3" t="s">
        <v>212</v>
      </c>
      <c r="G944" s="3" t="s">
        <v>872</v>
      </c>
      <c r="H944" s="2" t="s">
        <v>55</v>
      </c>
      <c r="I944" s="2" t="s">
        <v>2903</v>
      </c>
      <c r="J944" s="3" t="str">
        <f>HYPERLINK("https://www.boe.es/gazeta/dias/1809/10/27/pdfs/GMD-1809-301.pdf#page=1","Abrir facsímil")</f>
        <v>Abrir facsímil</v>
      </c>
      <c r="K944" s="3" t="s">
        <v>57</v>
      </c>
    </row>
    <row r="945" spans="1:11" ht="42" customHeight="1">
      <c r="A945" s="2" t="s">
        <v>2904</v>
      </c>
      <c r="B945" s="2" t="s">
        <v>2904</v>
      </c>
      <c r="C945" s="2" t="s">
        <v>17</v>
      </c>
      <c r="D945" s="2" t="s">
        <v>72</v>
      </c>
      <c r="E945" s="3" t="s">
        <v>216</v>
      </c>
      <c r="F945" s="3" t="s">
        <v>217</v>
      </c>
      <c r="G945" s="3" t="s">
        <v>154</v>
      </c>
      <c r="H945" s="2" t="s">
        <v>55</v>
      </c>
      <c r="I945" s="2" t="s">
        <v>2905</v>
      </c>
      <c r="J945" s="3" t="str">
        <f>HYPERLINK("https://www.boe.es/gazeta/dias/1809/12/05/pdfs/GGB-H-1809-542.pdf#page=1","Abrir facsímil")</f>
        <v>Abrir facsímil</v>
      </c>
      <c r="K945" s="3" t="s">
        <v>57</v>
      </c>
    </row>
    <row r="946" spans="1:11" ht="42" customHeight="1">
      <c r="A946" s="2" t="s">
        <v>2906</v>
      </c>
      <c r="B946" s="2" t="s">
        <v>2906</v>
      </c>
      <c r="C946" s="2" t="s">
        <v>25</v>
      </c>
      <c r="D946" s="2" t="s">
        <v>18</v>
      </c>
      <c r="E946" s="3" t="s">
        <v>656</v>
      </c>
      <c r="F946" s="3" t="s">
        <v>657</v>
      </c>
      <c r="G946" s="3" t="s">
        <v>658</v>
      </c>
      <c r="H946" s="2" t="s">
        <v>55</v>
      </c>
      <c r="I946" s="2" t="s">
        <v>2907</v>
      </c>
      <c r="J946" s="3" t="str">
        <f>HYPERLINK("https://www.boe.es/gazeta/dias/1809/07/22/pdfs/GMD-1809-203.pdf#page=3","Abrir facsímil")</f>
        <v>Abrir facsímil</v>
      </c>
      <c r="K946" s="3" t="s">
        <v>57</v>
      </c>
    </row>
    <row r="947" spans="1:11" ht="42" customHeight="1">
      <c r="A947" s="2" t="s">
        <v>2908</v>
      </c>
      <c r="B947" s="2" t="s">
        <v>2908</v>
      </c>
      <c r="C947" s="2" t="s">
        <v>25</v>
      </c>
      <c r="D947" s="2" t="s">
        <v>18</v>
      </c>
      <c r="E947" s="3" t="s">
        <v>147</v>
      </c>
      <c r="F947" s="3" t="s">
        <v>148</v>
      </c>
      <c r="G947" s="3" t="s">
        <v>94</v>
      </c>
      <c r="H947" s="2" t="s">
        <v>55</v>
      </c>
      <c r="I947" s="2" t="s">
        <v>2909</v>
      </c>
      <c r="J947" s="3" t="str">
        <f>HYPERLINK("https://www.boe.es/gazeta/dias/1809/10/07/pdfs/GGB-1809-292.pdf#page=5","Abrir facsímil")</f>
        <v>Abrir facsímil</v>
      </c>
      <c r="K947" s="3" t="s">
        <v>57</v>
      </c>
    </row>
    <row r="948" spans="1:11" ht="42" customHeight="1">
      <c r="A948" s="2" t="s">
        <v>2910</v>
      </c>
      <c r="B948" s="2" t="s">
        <v>2911</v>
      </c>
      <c r="C948" s="2" t="s">
        <v>25</v>
      </c>
      <c r="D948" s="2" t="s">
        <v>18</v>
      </c>
      <c r="E948" s="3" t="s">
        <v>1396</v>
      </c>
      <c r="F948" s="3" t="s">
        <v>2912</v>
      </c>
      <c r="G948" s="3" t="s">
        <v>129</v>
      </c>
      <c r="H948" s="2" t="s">
        <v>55</v>
      </c>
      <c r="I948" s="2" t="s">
        <v>2913</v>
      </c>
      <c r="J948" s="3" t="str">
        <f>HYPERLINK("https://www.boe.es/gazeta/dias/1809/11/28/pdfs/GMD-1809-333.pdf#page=2","Abrir facsímil")</f>
        <v>Abrir facsímil</v>
      </c>
      <c r="K948" s="3" t="s">
        <v>57</v>
      </c>
    </row>
    <row r="949" spans="1:11" ht="42" customHeight="1">
      <c r="A949" s="2" t="s">
        <v>2914</v>
      </c>
      <c r="B949" s="2" t="s">
        <v>2915</v>
      </c>
      <c r="C949" s="2" t="s">
        <v>288</v>
      </c>
      <c r="D949" s="2" t="s">
        <v>80</v>
      </c>
      <c r="E949" s="3" t="s">
        <v>179</v>
      </c>
      <c r="F949" s="3" t="s">
        <v>180</v>
      </c>
      <c r="G949" s="3" t="s">
        <v>2814</v>
      </c>
      <c r="H949" s="2" t="s">
        <v>55</v>
      </c>
      <c r="I949" s="2" t="s">
        <v>2916</v>
      </c>
      <c r="J949" s="3" t="str">
        <f>HYPERLINK("https://www.boe.es/gazeta/dias/1809/12/08/pdfs/GGB-1809-552E.pdf#page=4","Abrir facsímil")</f>
        <v>Abrir facsímil</v>
      </c>
      <c r="K949" s="3" t="s">
        <v>57</v>
      </c>
    </row>
    <row r="950" spans="1:11" ht="42" customHeight="1">
      <c r="A950" s="2" t="s">
        <v>2917</v>
      </c>
      <c r="B950" s="2" t="s">
        <v>2918</v>
      </c>
      <c r="C950" s="2" t="s">
        <v>79</v>
      </c>
      <c r="D950" s="2" t="s">
        <v>40</v>
      </c>
      <c r="E950" s="3" t="s">
        <v>327</v>
      </c>
      <c r="F950" s="3" t="s">
        <v>328</v>
      </c>
      <c r="G950" s="3" t="s">
        <v>1765</v>
      </c>
      <c r="H950" s="2" t="s">
        <v>55</v>
      </c>
      <c r="I950" s="2" t="s">
        <v>2919</v>
      </c>
      <c r="J950" s="3" t="str">
        <f>HYPERLINK("https://www.boe.es/gazeta/dias/1809/09/14/pdfs/GGB-1809-192.pdf#page=7","Abrir facsímil")</f>
        <v>Abrir facsímil</v>
      </c>
      <c r="K950" s="3" t="s">
        <v>57</v>
      </c>
    </row>
    <row r="951" spans="1:11" ht="42" customHeight="1">
      <c r="A951" s="2" t="s">
        <v>2920</v>
      </c>
      <c r="B951" s="2" t="s">
        <v>2920</v>
      </c>
      <c r="C951" s="2" t="s">
        <v>17</v>
      </c>
      <c r="D951" s="2" t="s">
        <v>40</v>
      </c>
      <c r="E951" s="3" t="s">
        <v>925</v>
      </c>
      <c r="F951" s="3" t="s">
        <v>926</v>
      </c>
      <c r="G951" s="3" t="s">
        <v>62</v>
      </c>
      <c r="H951" s="2" t="s">
        <v>55</v>
      </c>
      <c r="I951" s="2" t="s">
        <v>2921</v>
      </c>
      <c r="J951" s="3" t="str">
        <f>HYPERLINK("https://www.boe.es/gazeta/dias/1809/01/11/pdfs/GGB-1809-2.pdf#page=6","Abrir facsímil")</f>
        <v>Abrir facsímil</v>
      </c>
      <c r="K951" s="3" t="s">
        <v>57</v>
      </c>
    </row>
    <row r="952" spans="1:11" ht="42" customHeight="1">
      <c r="A952" s="2" t="s">
        <v>2920</v>
      </c>
      <c r="B952" s="2" t="s">
        <v>2920</v>
      </c>
      <c r="C952" s="2" t="s">
        <v>17</v>
      </c>
      <c r="D952" s="2" t="s">
        <v>40</v>
      </c>
      <c r="E952" s="3" t="s">
        <v>925</v>
      </c>
      <c r="F952" s="3" t="s">
        <v>926</v>
      </c>
      <c r="G952" s="3" t="s">
        <v>595</v>
      </c>
      <c r="H952" s="2" t="s">
        <v>55</v>
      </c>
      <c r="I952" s="2" t="s">
        <v>2922</v>
      </c>
      <c r="J952" s="3" t="str">
        <f>HYPERLINK("https://www.boe.es/gazeta/dias/1809/01/11/pdfs/GGB-1809-2.pdf#page=7","Abrir facsímil")</f>
        <v>Abrir facsímil</v>
      </c>
      <c r="K952" s="3" t="s">
        <v>57</v>
      </c>
    </row>
    <row r="953" spans="1:11" ht="42" customHeight="1">
      <c r="A953" s="2" t="s">
        <v>2923</v>
      </c>
      <c r="B953" s="2" t="s">
        <v>2924</v>
      </c>
      <c r="C953" s="2" t="s">
        <v>17</v>
      </c>
      <c r="D953" s="2" t="s">
        <v>80</v>
      </c>
      <c r="E953" s="3" t="s">
        <v>179</v>
      </c>
      <c r="F953" s="3" t="s">
        <v>180</v>
      </c>
      <c r="G953" s="3" t="s">
        <v>239</v>
      </c>
      <c r="H953" s="2" t="s">
        <v>55</v>
      </c>
      <c r="I953" s="2" t="s">
        <v>2925</v>
      </c>
      <c r="J953" s="3" t="str">
        <f>HYPERLINK("https://www.boe.es/gazeta/dias/1809/12/08/pdfs/GGB-1809-552E.pdf#page=2","Abrir facsímil")</f>
        <v>Abrir facsímil</v>
      </c>
      <c r="K953" s="3" t="s">
        <v>57</v>
      </c>
    </row>
    <row r="954" spans="1:11" ht="42" customHeight="1">
      <c r="A954" s="2" t="s">
        <v>2926</v>
      </c>
      <c r="B954" s="2" t="s">
        <v>2927</v>
      </c>
      <c r="C954" s="2" t="s">
        <v>17</v>
      </c>
      <c r="D954" s="2" t="s">
        <v>18</v>
      </c>
      <c r="E954" s="3" t="s">
        <v>196</v>
      </c>
      <c r="F954" s="3" t="s">
        <v>197</v>
      </c>
      <c r="G954" s="3" t="s">
        <v>198</v>
      </c>
      <c r="H954" s="2" t="s">
        <v>55</v>
      </c>
      <c r="I954" s="2" t="s">
        <v>2928</v>
      </c>
      <c r="J954" s="3" t="str">
        <f>HYPERLINK("https://www.boe.es/gazeta/dias/1809/09/04/pdfs/GMD-1809-248.pdf#page=3","Abrir facsímil")</f>
        <v>Abrir facsímil</v>
      </c>
      <c r="K954" s="3" t="s">
        <v>57</v>
      </c>
    </row>
    <row r="955" spans="1:11" ht="42" customHeight="1">
      <c r="A955" s="2" t="s">
        <v>2929</v>
      </c>
      <c r="B955" s="2" t="s">
        <v>2929</v>
      </c>
      <c r="C955" s="2" t="s">
        <v>25</v>
      </c>
      <c r="D955" s="2" t="s">
        <v>26</v>
      </c>
      <c r="E955" s="3" t="s">
        <v>933</v>
      </c>
      <c r="F955" s="3" t="s">
        <v>934</v>
      </c>
      <c r="G955" s="3" t="s">
        <v>439</v>
      </c>
      <c r="H955" s="2" t="s">
        <v>55</v>
      </c>
      <c r="I955" s="2" t="s">
        <v>2930</v>
      </c>
      <c r="J955" s="3" t="str">
        <f>HYPERLINK("https://www.boe.es/gazeta/dias/1809/10/28/pdfs/GMD-1809-302.pdf#page=2","Abrir facsímil")</f>
        <v>Abrir facsímil</v>
      </c>
      <c r="K955" s="3" t="s">
        <v>57</v>
      </c>
    </row>
    <row r="956" spans="1:11" ht="42" customHeight="1">
      <c r="A956" s="2" t="s">
        <v>2931</v>
      </c>
      <c r="B956" s="2" t="s">
        <v>2932</v>
      </c>
      <c r="C956" s="2" t="s">
        <v>131</v>
      </c>
      <c r="D956" s="2" t="s">
        <v>40</v>
      </c>
      <c r="E956" s="3" t="s">
        <v>207</v>
      </c>
      <c r="F956" s="3" t="s">
        <v>208</v>
      </c>
      <c r="G956" s="3" t="s">
        <v>209</v>
      </c>
      <c r="H956" s="2" t="s">
        <v>55</v>
      </c>
      <c r="I956" s="2" t="s">
        <v>2933</v>
      </c>
      <c r="J956" s="3" t="str">
        <f>HYPERLINK("https://www.boe.es/gazeta/dias/1809/09/16/pdfs/GMD-1809-260.pdf#page=4","Abrir facsímil")</f>
        <v>Abrir facsímil</v>
      </c>
      <c r="K956" s="3" t="s">
        <v>57</v>
      </c>
    </row>
    <row r="957" spans="1:11" ht="42" customHeight="1">
      <c r="A957" s="2" t="s">
        <v>2934</v>
      </c>
      <c r="B957" s="2" t="s">
        <v>2934</v>
      </c>
      <c r="C957" s="2" t="s">
        <v>25</v>
      </c>
      <c r="D957" s="2" t="s">
        <v>26</v>
      </c>
      <c r="E957" s="3" t="s">
        <v>2818</v>
      </c>
      <c r="F957" s="3" t="s">
        <v>2819</v>
      </c>
      <c r="G957" s="3" t="s">
        <v>129</v>
      </c>
      <c r="H957" s="2" t="s">
        <v>55</v>
      </c>
      <c r="I957" s="2" t="s">
        <v>2935</v>
      </c>
      <c r="J957" s="3" t="str">
        <f>HYPERLINK("https://www.boe.es/gazeta/dias/1809/02/03/pdfs/GMD-1809-34.pdf#page=2","Abrir facsímil")</f>
        <v>Abrir facsímil</v>
      </c>
      <c r="K957" s="3" t="s">
        <v>57</v>
      </c>
    </row>
    <row r="958" spans="1:11" ht="42" customHeight="1">
      <c r="A958" s="2" t="s">
        <v>2936</v>
      </c>
      <c r="B958" s="2" t="s">
        <v>2936</v>
      </c>
      <c r="C958" s="2" t="s">
        <v>25</v>
      </c>
      <c r="D958" s="2" t="s">
        <v>18</v>
      </c>
      <c r="E958" s="3" t="s">
        <v>134</v>
      </c>
      <c r="F958" s="3" t="s">
        <v>135</v>
      </c>
      <c r="G958" s="3" t="s">
        <v>29</v>
      </c>
      <c r="H958" s="2" t="s">
        <v>55</v>
      </c>
      <c r="I958" s="2" t="s">
        <v>2937</v>
      </c>
      <c r="J958" s="3" t="str">
        <f>HYPERLINK("https://www.boe.es/gazeta/dias/1809/06/07/pdfs/GMD-1809-158.pdf#page=3","Abrir facsímil")</f>
        <v>Abrir facsímil</v>
      </c>
      <c r="K958" s="3" t="s">
        <v>57</v>
      </c>
    </row>
    <row r="959" spans="1:11" ht="42" customHeight="1">
      <c r="A959" s="2" t="s">
        <v>2934</v>
      </c>
      <c r="B959" s="2" t="s">
        <v>2934</v>
      </c>
      <c r="C959" s="2" t="s">
        <v>25</v>
      </c>
      <c r="D959" s="2" t="s">
        <v>26</v>
      </c>
      <c r="E959" s="3" t="s">
        <v>621</v>
      </c>
      <c r="F959" s="3" t="s">
        <v>913</v>
      </c>
      <c r="G959" s="3" t="s">
        <v>192</v>
      </c>
      <c r="H959" s="2" t="s">
        <v>55</v>
      </c>
      <c r="I959" s="2" t="s">
        <v>2938</v>
      </c>
      <c r="J959" s="3" t="str">
        <f>HYPERLINK("https://www.boe.es/gazeta/dias/1809/07/04/pdfs/GMD-1809-185.pdf#page=3","Abrir facsímil")</f>
        <v>Abrir facsímil</v>
      </c>
      <c r="K959" s="3" t="s">
        <v>57</v>
      </c>
    </row>
    <row r="960" spans="1:11" ht="42" customHeight="1">
      <c r="A960" s="2" t="s">
        <v>2939</v>
      </c>
      <c r="B960" s="2" t="s">
        <v>2939</v>
      </c>
      <c r="C960" s="2" t="s">
        <v>25</v>
      </c>
      <c r="D960" s="2" t="s">
        <v>26</v>
      </c>
      <c r="E960" s="3" t="s">
        <v>1872</v>
      </c>
      <c r="F960" s="3" t="s">
        <v>1873</v>
      </c>
      <c r="G960" s="3" t="s">
        <v>239</v>
      </c>
      <c r="H960" s="2" t="s">
        <v>55</v>
      </c>
      <c r="I960" s="2" t="s">
        <v>2940</v>
      </c>
      <c r="J960" s="3" t="str">
        <f>HYPERLINK("https://www.boe.es/gazeta/dias/1809/11/07/pdfs/GGB-1809-422.pdf#page=1","Abrir facsímil")</f>
        <v>Abrir facsímil</v>
      </c>
      <c r="K960" s="3" t="s">
        <v>57</v>
      </c>
    </row>
    <row r="961" spans="1:11" ht="42" customHeight="1">
      <c r="A961" s="2" t="s">
        <v>2941</v>
      </c>
      <c r="B961" s="2" t="s">
        <v>2942</v>
      </c>
      <c r="C961" s="2" t="s">
        <v>17</v>
      </c>
      <c r="D961" s="2" t="s">
        <v>18</v>
      </c>
      <c r="E961" s="3" t="s">
        <v>33</v>
      </c>
      <c r="F961" s="3" t="s">
        <v>34</v>
      </c>
      <c r="G961" s="3" t="s">
        <v>493</v>
      </c>
      <c r="H961" s="2" t="s">
        <v>55</v>
      </c>
      <c r="I961" s="2" t="s">
        <v>2943</v>
      </c>
      <c r="J961" s="3" t="str">
        <f>HYPERLINK("https://www.boe.es/gazeta/dias/1809/12/19/pdfs/GGB-1809-602.pdf#page=6","Abrir facsímil")</f>
        <v>Abrir facsímil</v>
      </c>
      <c r="K961" s="3" t="s">
        <v>57</v>
      </c>
    </row>
    <row r="962" spans="1:11" ht="42" customHeight="1">
      <c r="A962" s="2" t="s">
        <v>2944</v>
      </c>
      <c r="B962" s="2" t="s">
        <v>2945</v>
      </c>
      <c r="C962" s="2" t="s">
        <v>17</v>
      </c>
      <c r="D962" s="2" t="s">
        <v>80</v>
      </c>
      <c r="E962" s="3" t="s">
        <v>81</v>
      </c>
      <c r="F962" s="3" t="s">
        <v>82</v>
      </c>
      <c r="G962" s="3" t="s">
        <v>623</v>
      </c>
      <c r="H962" s="2" t="s">
        <v>55</v>
      </c>
      <c r="I962" s="2" t="s">
        <v>2946</v>
      </c>
      <c r="J962" s="3" t="str">
        <f>HYPERLINK("https://www.boe.es/gazeta/dias/1809/04/11/pdfs/GGB-1809-16E.pdf#page=6","Abrir facsímil")</f>
        <v>Abrir facsímil</v>
      </c>
      <c r="K962" s="3" t="s">
        <v>57</v>
      </c>
    </row>
    <row r="963" spans="1:11" ht="42" customHeight="1">
      <c r="A963" s="2" t="s">
        <v>2947</v>
      </c>
      <c r="B963" s="2" t="s">
        <v>2948</v>
      </c>
      <c r="C963" s="2" t="s">
        <v>131</v>
      </c>
      <c r="D963" s="2" t="s">
        <v>18</v>
      </c>
      <c r="E963" s="3" t="s">
        <v>1213</v>
      </c>
      <c r="F963" s="3" t="s">
        <v>1214</v>
      </c>
      <c r="G963" s="3" t="s">
        <v>2422</v>
      </c>
      <c r="H963" s="2" t="s">
        <v>55</v>
      </c>
      <c r="I963" s="2" t="s">
        <v>2949</v>
      </c>
      <c r="J963" s="3" t="str">
        <f>HYPERLINK("https://www.boe.es/gazeta/dias/1809/12/20/pdfs/GMD-1809-355.pdf#page=1","Abrir facsímil")</f>
        <v>Abrir facsímil</v>
      </c>
      <c r="K963" s="3" t="s">
        <v>57</v>
      </c>
    </row>
    <row r="964" spans="1:11" ht="42" customHeight="1">
      <c r="A964" s="2" t="s">
        <v>2950</v>
      </c>
      <c r="B964" s="2" t="s">
        <v>2951</v>
      </c>
      <c r="C964" s="2" t="s">
        <v>17</v>
      </c>
      <c r="D964" s="2" t="s">
        <v>18</v>
      </c>
      <c r="E964" s="3" t="s">
        <v>207</v>
      </c>
      <c r="F964" s="3" t="s">
        <v>2864</v>
      </c>
      <c r="G964" s="3" t="s">
        <v>2952</v>
      </c>
      <c r="H964" s="2" t="s">
        <v>55</v>
      </c>
      <c r="I964" s="2" t="s">
        <v>2953</v>
      </c>
      <c r="J964" s="3" t="str">
        <f>HYPERLINK("https://www.boe.es/gazeta/dias/1809/09/16/pdfs/GGB-1809-202.pdf#page=5","Abrir facsímil")</f>
        <v>Abrir facsímil</v>
      </c>
      <c r="K964" s="3" t="s">
        <v>57</v>
      </c>
    </row>
    <row r="965" spans="1:11" ht="42" customHeight="1">
      <c r="A965" s="2" t="s">
        <v>2954</v>
      </c>
      <c r="B965" s="2" t="s">
        <v>2955</v>
      </c>
      <c r="C965" s="2" t="s">
        <v>25</v>
      </c>
      <c r="D965" s="2" t="s">
        <v>18</v>
      </c>
      <c r="E965" s="3" t="s">
        <v>536</v>
      </c>
      <c r="F965" s="3" t="s">
        <v>537</v>
      </c>
      <c r="G965" s="3" t="s">
        <v>29</v>
      </c>
      <c r="H965" s="2" t="s">
        <v>55</v>
      </c>
      <c r="I965" s="2" t="s">
        <v>2956</v>
      </c>
      <c r="J965" s="3" t="str">
        <f>HYPERLINK("https://www.boe.es/gazeta/dias/1809/09/03/pdfs/GMD-1809-247.pdf#page=3","Abrir facsímil")</f>
        <v>Abrir facsímil</v>
      </c>
      <c r="K965" s="3" t="s">
        <v>57</v>
      </c>
    </row>
    <row r="966" spans="1:11" ht="42" customHeight="1">
      <c r="A966" s="2" t="s">
        <v>2957</v>
      </c>
      <c r="B966" s="2" t="s">
        <v>2958</v>
      </c>
      <c r="C966" s="2" t="s">
        <v>369</v>
      </c>
      <c r="D966" s="2" t="s">
        <v>18</v>
      </c>
      <c r="E966" s="3" t="s">
        <v>190</v>
      </c>
      <c r="F966" s="3" t="s">
        <v>191</v>
      </c>
      <c r="G966" s="3" t="s">
        <v>872</v>
      </c>
      <c r="H966" s="2" t="s">
        <v>55</v>
      </c>
      <c r="I966" s="2" t="s">
        <v>2959</v>
      </c>
      <c r="J966" s="3" t="str">
        <f>HYPERLINK("https://www.boe.es/gazeta/dias/1809/10/14/pdfs/GGB-1809-322.pdf#page=7","Abrir facsímil")</f>
        <v>Abrir facsímil</v>
      </c>
      <c r="K966" s="3" t="s">
        <v>57</v>
      </c>
    </row>
    <row r="967" spans="1:11" ht="42" customHeight="1">
      <c r="A967" s="2" t="s">
        <v>2960</v>
      </c>
      <c r="B967" s="2" t="s">
        <v>2961</v>
      </c>
      <c r="C967" s="2" t="s">
        <v>25</v>
      </c>
      <c r="D967" s="2" t="s">
        <v>26</v>
      </c>
      <c r="E967" s="3" t="s">
        <v>1608</v>
      </c>
      <c r="F967" s="3" t="s">
        <v>1609</v>
      </c>
      <c r="G967" s="3" t="s">
        <v>239</v>
      </c>
      <c r="H967" s="2" t="s">
        <v>55</v>
      </c>
      <c r="I967" s="2" t="s">
        <v>2962</v>
      </c>
      <c r="J967" s="3" t="str">
        <f>HYPERLINK("https://www.boe.es/gazeta/dias/1809/04/15/pdfs/GGB-1809-18E.pdf#page=2","Abrir facsímil")</f>
        <v>Abrir facsímil</v>
      </c>
      <c r="K967" s="3" t="s">
        <v>57</v>
      </c>
    </row>
    <row r="968" spans="1:11" ht="42" customHeight="1">
      <c r="A968" s="2" t="s">
        <v>2963</v>
      </c>
      <c r="B968" s="2" t="s">
        <v>2964</v>
      </c>
      <c r="C968" s="2" t="s">
        <v>79</v>
      </c>
      <c r="D968" s="2" t="s">
        <v>18</v>
      </c>
      <c r="E968" s="3" t="s">
        <v>327</v>
      </c>
      <c r="F968" s="3" t="s">
        <v>328</v>
      </c>
      <c r="G968" s="3" t="s">
        <v>329</v>
      </c>
      <c r="H968" s="2" t="s">
        <v>55</v>
      </c>
      <c r="I968" s="2" t="s">
        <v>2965</v>
      </c>
      <c r="J968" s="3" t="str">
        <f>HYPERLINK("https://www.boe.es/gazeta/dias/1809/09/14/pdfs/GGB-1809-192.pdf#page=8","Abrir facsímil")</f>
        <v>Abrir facsímil</v>
      </c>
      <c r="K968" s="3" t="s">
        <v>57</v>
      </c>
    </row>
    <row r="969" spans="1:11" ht="42" customHeight="1">
      <c r="A969" s="2" t="s">
        <v>2966</v>
      </c>
      <c r="B969" s="2" t="s">
        <v>2966</v>
      </c>
      <c r="C969" s="2" t="s">
        <v>17</v>
      </c>
      <c r="D969" s="2" t="s">
        <v>72</v>
      </c>
      <c r="E969" s="3" t="s">
        <v>864</v>
      </c>
      <c r="F969" s="3" t="s">
        <v>2291</v>
      </c>
      <c r="G969" s="3" t="s">
        <v>2292</v>
      </c>
      <c r="H969" s="2" t="s">
        <v>55</v>
      </c>
      <c r="I969" s="2" t="s">
        <v>2967</v>
      </c>
      <c r="J969" s="3" t="str">
        <f>HYPERLINK("https://www.boe.es/gazeta/dias/1809/08/31/pdfs/GGB-H-1809-132.pdf#page=3","Abrir facsímil")</f>
        <v>Abrir facsímil</v>
      </c>
      <c r="K969" s="3" t="s">
        <v>57</v>
      </c>
    </row>
    <row r="970" spans="1:11" ht="42" customHeight="1">
      <c r="A970" s="2" t="s">
        <v>2968</v>
      </c>
      <c r="B970" s="2" t="s">
        <v>2969</v>
      </c>
      <c r="C970" s="2" t="s">
        <v>39</v>
      </c>
      <c r="D970" s="2" t="s">
        <v>18</v>
      </c>
      <c r="E970" s="3" t="s">
        <v>2060</v>
      </c>
      <c r="F970" s="3" t="s">
        <v>2061</v>
      </c>
      <c r="G970" s="3" t="s">
        <v>239</v>
      </c>
      <c r="H970" s="2" t="s">
        <v>55</v>
      </c>
      <c r="I970" s="2" t="s">
        <v>2970</v>
      </c>
      <c r="J970" s="3" t="str">
        <f>HYPERLINK("https://www.boe.es/gazeta/dias/1809/07/18/pdfs/GGB-1809-46.pdf#page=11","Abrir facsímil")</f>
        <v>Abrir facsímil</v>
      </c>
      <c r="K970" s="3" t="s">
        <v>57</v>
      </c>
    </row>
    <row r="971" spans="1:11" ht="42" customHeight="1">
      <c r="A971" s="2" t="s">
        <v>2971</v>
      </c>
      <c r="B971" s="2" t="s">
        <v>2971</v>
      </c>
      <c r="C971" s="2" t="s">
        <v>25</v>
      </c>
      <c r="D971" s="2" t="s">
        <v>18</v>
      </c>
      <c r="E971" s="3" t="s">
        <v>387</v>
      </c>
      <c r="F971" s="3" t="s">
        <v>1847</v>
      </c>
      <c r="G971" s="3" t="s">
        <v>2972</v>
      </c>
      <c r="H971" s="2" t="s">
        <v>55</v>
      </c>
      <c r="I971" s="2" t="s">
        <v>2973</v>
      </c>
      <c r="J971" s="3" t="str">
        <f>HYPERLINK("https://www.boe.es/gazeta/dias/1809/09/26/pdfs/GGB-1809-242.pdf#page=2","Abrir facsímil")</f>
        <v>Abrir facsímil</v>
      </c>
      <c r="K971" s="3" t="s">
        <v>57</v>
      </c>
    </row>
    <row r="972" spans="1:11" ht="42" customHeight="1">
      <c r="A972" s="2" t="s">
        <v>2974</v>
      </c>
      <c r="B972" s="2" t="s">
        <v>2975</v>
      </c>
      <c r="C972" s="2" t="s">
        <v>39</v>
      </c>
      <c r="D972" s="2" t="s">
        <v>18</v>
      </c>
      <c r="E972" s="3" t="s">
        <v>2976</v>
      </c>
      <c r="F972" s="3" t="s">
        <v>2977</v>
      </c>
      <c r="G972" s="3" t="s">
        <v>62</v>
      </c>
      <c r="H972" s="2" t="s">
        <v>55</v>
      </c>
      <c r="I972" s="2" t="s">
        <v>2978</v>
      </c>
      <c r="J972" s="3" t="str">
        <f>HYPERLINK("https://www.boe.es/gazeta/dias/1809/05/05/pdfs/GGB-1809-24.pdf#page=7","Abrir facsímil")</f>
        <v>Abrir facsímil</v>
      </c>
      <c r="K972" s="3" t="s">
        <v>57</v>
      </c>
    </row>
    <row r="973" spans="1:11" ht="42" customHeight="1">
      <c r="A973" s="2" t="s">
        <v>2979</v>
      </c>
      <c r="B973" s="2" t="s">
        <v>2980</v>
      </c>
      <c r="C973" s="2" t="s">
        <v>25</v>
      </c>
      <c r="D973" s="2" t="s">
        <v>26</v>
      </c>
      <c r="E973" s="3" t="s">
        <v>173</v>
      </c>
      <c r="F973" s="3" t="s">
        <v>1885</v>
      </c>
      <c r="G973" s="3" t="s">
        <v>1886</v>
      </c>
      <c r="H973" s="2" t="s">
        <v>55</v>
      </c>
      <c r="I973" s="2" t="s">
        <v>2981</v>
      </c>
      <c r="J973" s="3" t="str">
        <f>HYPERLINK("https://www.boe.es/gazeta/dias/1809/09/12/pdfs/GGB-H-1809-182.pdf#page=1","Abrir facsímil")</f>
        <v>Abrir facsímil</v>
      </c>
      <c r="K973" s="3" t="s">
        <v>57</v>
      </c>
    </row>
    <row r="974" spans="1:11" ht="42" customHeight="1">
      <c r="A974" s="2" t="s">
        <v>2982</v>
      </c>
      <c r="B974" s="2" t="s">
        <v>2983</v>
      </c>
      <c r="C974" s="2" t="s">
        <v>25</v>
      </c>
      <c r="D974" s="2" t="s">
        <v>26</v>
      </c>
      <c r="E974" s="3" t="s">
        <v>147</v>
      </c>
      <c r="F974" s="3" t="s">
        <v>562</v>
      </c>
      <c r="G974" s="3" t="s">
        <v>2984</v>
      </c>
      <c r="H974" s="2" t="s">
        <v>55</v>
      </c>
      <c r="I974" s="2" t="s">
        <v>2985</v>
      </c>
      <c r="J974" s="3" t="str">
        <f>HYPERLINK("https://www.boe.es/gazeta/dias/1809/10/07/pdfs/GGB-H-1809-292.pdf#page=5","Abrir facsímil")</f>
        <v>Abrir facsímil</v>
      </c>
      <c r="K974" s="3" t="s">
        <v>57</v>
      </c>
    </row>
    <row r="975" spans="1:11" ht="42" customHeight="1">
      <c r="A975" s="2" t="s">
        <v>2982</v>
      </c>
      <c r="B975" s="2" t="s">
        <v>2983</v>
      </c>
      <c r="C975" s="2" t="s">
        <v>25</v>
      </c>
      <c r="D975" s="2" t="s">
        <v>40</v>
      </c>
      <c r="E975" s="3" t="s">
        <v>1898</v>
      </c>
      <c r="F975" s="3" t="s">
        <v>1899</v>
      </c>
      <c r="G975" s="3" t="s">
        <v>2626</v>
      </c>
      <c r="H975" s="2" t="s">
        <v>55</v>
      </c>
      <c r="I975" s="2" t="s">
        <v>2986</v>
      </c>
      <c r="J975" s="3" t="str">
        <f>HYPERLINK("https://www.boe.es/gazeta/dias/1809/12/02/pdfs/GGB-1809-532.pdf#page=7","Abrir facsímil")</f>
        <v>Abrir facsímil</v>
      </c>
      <c r="K975" s="3" t="s">
        <v>57</v>
      </c>
    </row>
    <row r="976" spans="1:11" ht="42" customHeight="1">
      <c r="A976" s="2" t="s">
        <v>2987</v>
      </c>
      <c r="B976" s="2" t="s">
        <v>2988</v>
      </c>
      <c r="C976" s="2" t="s">
        <v>47</v>
      </c>
      <c r="D976" s="2" t="s">
        <v>18</v>
      </c>
      <c r="E976" s="3" t="s">
        <v>1872</v>
      </c>
      <c r="F976" s="3" t="s">
        <v>2989</v>
      </c>
      <c r="G976" s="3" t="s">
        <v>225</v>
      </c>
      <c r="H976" s="2" t="s">
        <v>55</v>
      </c>
      <c r="I976" s="2" t="s">
        <v>2990</v>
      </c>
      <c r="J976" s="3" t="str">
        <f>HYPERLINK("https://www.boe.es/gazeta/dias/1809/11/07/pdfs/GMD-1809-312.pdf#page=4","Abrir facsímil")</f>
        <v>Abrir facsímil</v>
      </c>
      <c r="K976" s="3" t="s">
        <v>57</v>
      </c>
    </row>
    <row r="977" spans="1:11" ht="42" customHeight="1">
      <c r="A977" s="2" t="s">
        <v>2991</v>
      </c>
      <c r="B977" s="2" t="s">
        <v>2991</v>
      </c>
      <c r="C977" s="2" t="s">
        <v>25</v>
      </c>
      <c r="D977" s="2" t="s">
        <v>107</v>
      </c>
      <c r="E977" s="3" t="s">
        <v>139</v>
      </c>
      <c r="F977" s="3" t="s">
        <v>140</v>
      </c>
      <c r="G977" s="3" t="s">
        <v>120</v>
      </c>
      <c r="H977" s="2" t="s">
        <v>55</v>
      </c>
      <c r="I977" s="2" t="s">
        <v>2992</v>
      </c>
      <c r="J977" s="3" t="str">
        <f>HYPERLINK("https://www.boe.es/gazeta/dias/1809/05/06/pdfs/GMD-1809-126.pdf#page=2","Abrir facsímil")</f>
        <v>Abrir facsímil</v>
      </c>
      <c r="K977" s="3" t="s">
        <v>57</v>
      </c>
    </row>
    <row r="978" spans="1:11" ht="42" customHeight="1">
      <c r="A978" s="2" t="s">
        <v>2993</v>
      </c>
      <c r="B978" s="2" t="s">
        <v>2994</v>
      </c>
      <c r="C978" s="2" t="s">
        <v>17</v>
      </c>
      <c r="D978" s="2" t="s">
        <v>18</v>
      </c>
      <c r="E978" s="3" t="s">
        <v>33</v>
      </c>
      <c r="F978" s="3" t="s">
        <v>34</v>
      </c>
      <c r="G978" s="3" t="s">
        <v>493</v>
      </c>
      <c r="H978" s="2" t="s">
        <v>55</v>
      </c>
      <c r="I978" s="2" t="s">
        <v>2995</v>
      </c>
      <c r="J978" s="3" t="str">
        <f>HYPERLINK("https://www.boe.es/gazeta/dias/1809/12/19/pdfs/GGB-1809-602.pdf#page=6","Abrir facsímil")</f>
        <v>Abrir facsímil</v>
      </c>
      <c r="K978" s="3" t="s">
        <v>57</v>
      </c>
    </row>
    <row r="979" spans="1:11" ht="42" customHeight="1">
      <c r="A979" s="2" t="s">
        <v>2996</v>
      </c>
      <c r="B979" s="2" t="s">
        <v>2996</v>
      </c>
      <c r="C979" s="2" t="s">
        <v>25</v>
      </c>
      <c r="D979" s="2" t="s">
        <v>18</v>
      </c>
      <c r="E979" s="3" t="s">
        <v>739</v>
      </c>
      <c r="F979" s="3" t="s">
        <v>740</v>
      </c>
      <c r="G979" s="3" t="s">
        <v>62</v>
      </c>
      <c r="H979" s="2" t="s">
        <v>55</v>
      </c>
      <c r="I979" s="2" t="s">
        <v>2997</v>
      </c>
      <c r="J979" s="3" t="str">
        <f>HYPERLINK("https://www.boe.es/gazeta/dias/1809/05/08/pdfs/GMD-1809-128.pdf#page=2","Abrir facsímil")</f>
        <v>Abrir facsímil</v>
      </c>
      <c r="K979" s="3" t="s">
        <v>57</v>
      </c>
    </row>
    <row r="980" spans="1:11" ht="42" customHeight="1">
      <c r="A980" s="2" t="s">
        <v>2996</v>
      </c>
      <c r="B980" s="2" t="s">
        <v>2996</v>
      </c>
      <c r="C980" s="2" t="s">
        <v>25</v>
      </c>
      <c r="D980" s="2" t="s">
        <v>18</v>
      </c>
      <c r="E980" s="3" t="s">
        <v>616</v>
      </c>
      <c r="F980" s="3" t="s">
        <v>617</v>
      </c>
      <c r="G980" s="3" t="s">
        <v>918</v>
      </c>
      <c r="H980" s="2" t="s">
        <v>55</v>
      </c>
      <c r="I980" s="2" t="s">
        <v>2998</v>
      </c>
      <c r="J980" s="3" t="str">
        <f>HYPERLINK("https://www.boe.es/gazeta/dias/1809/10/15/pdfs/GMD-1809-289.pdf#page=4","Abrir facsímil")</f>
        <v>Abrir facsímil</v>
      </c>
      <c r="K980" s="3" t="s">
        <v>57</v>
      </c>
    </row>
    <row r="981" spans="1:11" ht="42" customHeight="1">
      <c r="A981" s="2" t="s">
        <v>2999</v>
      </c>
      <c r="B981" s="2" t="s">
        <v>3000</v>
      </c>
      <c r="C981" s="2" t="s">
        <v>131</v>
      </c>
      <c r="D981" s="2" t="s">
        <v>18</v>
      </c>
      <c r="E981" s="3" t="s">
        <v>102</v>
      </c>
      <c r="F981" s="3" t="s">
        <v>103</v>
      </c>
      <c r="G981" s="3" t="s">
        <v>1706</v>
      </c>
      <c r="H981" s="2" t="s">
        <v>55</v>
      </c>
      <c r="I981" s="2" t="s">
        <v>3001</v>
      </c>
      <c r="J981" s="3" t="str">
        <f>HYPERLINK("https://www.boe.es/gazeta/dias/1809/09/28/pdfs/GGB-1809-252.pdf#page=5","Abrir facsímil")</f>
        <v>Abrir facsímil</v>
      </c>
      <c r="K981" s="3" t="s">
        <v>57</v>
      </c>
    </row>
    <row r="982" spans="1:11" ht="42" customHeight="1">
      <c r="A982" s="2" t="s">
        <v>3002</v>
      </c>
      <c r="B982" s="2" t="s">
        <v>3002</v>
      </c>
      <c r="C982" s="2" t="s">
        <v>47</v>
      </c>
      <c r="D982" s="2" t="s">
        <v>72</v>
      </c>
      <c r="E982" s="3" t="s">
        <v>1073</v>
      </c>
      <c r="F982" s="3" t="s">
        <v>3003</v>
      </c>
      <c r="G982" s="3" t="s">
        <v>3004</v>
      </c>
      <c r="H982" s="2" t="s">
        <v>55</v>
      </c>
      <c r="I982" s="2" t="s">
        <v>3005</v>
      </c>
      <c r="J982" s="3" t="str">
        <f>HYPERLINK("https://www.boe.es/gazeta/dias/1809/01/13/pdfs/GMD-E-1809-13.pdf#page=1","Abrir facsímil")</f>
        <v>Abrir facsímil</v>
      </c>
      <c r="K982" s="3" t="s">
        <v>57</v>
      </c>
    </row>
    <row r="983" spans="1:11" ht="42" customHeight="1">
      <c r="A983" s="2" t="s">
        <v>3002</v>
      </c>
      <c r="B983" s="2" t="s">
        <v>3002</v>
      </c>
      <c r="C983" s="2" t="s">
        <v>47</v>
      </c>
      <c r="D983" s="2" t="s">
        <v>72</v>
      </c>
      <c r="E983" s="3" t="s">
        <v>1076</v>
      </c>
      <c r="F983" s="3" t="s">
        <v>3003</v>
      </c>
      <c r="G983" s="3" t="s">
        <v>3004</v>
      </c>
      <c r="H983" s="2" t="s">
        <v>55</v>
      </c>
      <c r="I983" s="2" t="s">
        <v>3005</v>
      </c>
      <c r="J983" s="3" t="str">
        <f>HYPERLINK("https://www.boe.es/gazeta/dias/1809/04/13/pdfs/GMD-E-1809-13.pdf#page=1","Abrir facsímil")</f>
        <v>Abrir facsímil</v>
      </c>
      <c r="K983" s="3" t="s">
        <v>57</v>
      </c>
    </row>
    <row r="984" spans="1:11" ht="42" customHeight="1">
      <c r="A984" s="2" t="s">
        <v>3006</v>
      </c>
      <c r="B984" s="2" t="s">
        <v>3006</v>
      </c>
      <c r="C984" s="2" t="s">
        <v>17</v>
      </c>
      <c r="D984" s="2" t="s">
        <v>72</v>
      </c>
      <c r="E984" s="3" t="s">
        <v>720</v>
      </c>
      <c r="F984" s="3" t="s">
        <v>721</v>
      </c>
      <c r="G984" s="3" t="s">
        <v>234</v>
      </c>
      <c r="H984" s="2" t="s">
        <v>55</v>
      </c>
      <c r="I984" s="2" t="s">
        <v>3007</v>
      </c>
      <c r="J984" s="3" t="str">
        <f>HYPERLINK("https://www.boe.es/gazeta/dias/1809/01/27/pdfs/GGB-G-1809-5.pdf#page=7","Abrir facsímil")</f>
        <v>Abrir facsímil</v>
      </c>
      <c r="K984" s="3" t="s">
        <v>57</v>
      </c>
    </row>
    <row r="985" spans="1:11" ht="42" customHeight="1">
      <c r="A985" s="2" t="s">
        <v>3008</v>
      </c>
      <c r="B985" s="2" t="s">
        <v>3009</v>
      </c>
      <c r="C985" s="2" t="s">
        <v>25</v>
      </c>
      <c r="D985" s="2" t="s">
        <v>72</v>
      </c>
      <c r="E985" s="3" t="s">
        <v>143</v>
      </c>
      <c r="F985" s="3" t="s">
        <v>705</v>
      </c>
      <c r="G985" s="3" t="s">
        <v>3010</v>
      </c>
      <c r="H985" s="2" t="s">
        <v>55</v>
      </c>
      <c r="I985" s="2" t="s">
        <v>3011</v>
      </c>
      <c r="J985" s="3" t="str">
        <f>HYPERLINK("https://www.boe.es/gazeta/dias/1809/11/16/pdfs/GGB-H-1809-462.pdf#page=5","Abrir facsímil")</f>
        <v>Abrir facsímil</v>
      </c>
      <c r="K985" s="3" t="s">
        <v>57</v>
      </c>
    </row>
    <row r="986" spans="1:11" ht="42" customHeight="1">
      <c r="A986" s="2" t="s">
        <v>3012</v>
      </c>
      <c r="B986" s="2" t="s">
        <v>3013</v>
      </c>
      <c r="C986" s="2" t="s">
        <v>25</v>
      </c>
      <c r="D986" s="2" t="s">
        <v>26</v>
      </c>
      <c r="E986" s="3" t="s">
        <v>173</v>
      </c>
      <c r="F986" s="3" t="s">
        <v>1885</v>
      </c>
      <c r="G986" s="3" t="s">
        <v>1886</v>
      </c>
      <c r="H986" s="2" t="s">
        <v>55</v>
      </c>
      <c r="I986" s="2" t="s">
        <v>3014</v>
      </c>
      <c r="J986" s="3" t="str">
        <f>HYPERLINK("https://www.boe.es/gazeta/dias/1809/09/12/pdfs/GGB-H-1809-182.pdf#page=1","Abrir facsímil")</f>
        <v>Abrir facsímil</v>
      </c>
      <c r="K986" s="3" t="s">
        <v>57</v>
      </c>
    </row>
    <row r="987" spans="1:11" ht="42" customHeight="1">
      <c r="A987" s="2" t="s">
        <v>3012</v>
      </c>
      <c r="B987" s="2" t="s">
        <v>3013</v>
      </c>
      <c r="C987" s="2" t="s">
        <v>25</v>
      </c>
      <c r="D987" s="2" t="s">
        <v>72</v>
      </c>
      <c r="E987" s="3" t="s">
        <v>147</v>
      </c>
      <c r="F987" s="3" t="s">
        <v>562</v>
      </c>
      <c r="G987" s="3" t="s">
        <v>3015</v>
      </c>
      <c r="H987" s="2" t="s">
        <v>55</v>
      </c>
      <c r="I987" s="2" t="s">
        <v>3016</v>
      </c>
      <c r="J987" s="3" t="str">
        <f>HYPERLINK("https://www.boe.es/gazeta/dias/1809/10/07/pdfs/GGB-H-1809-292.pdf#page=2","Abrir facsímil")</f>
        <v>Abrir facsímil</v>
      </c>
      <c r="K987" s="3" t="s">
        <v>57</v>
      </c>
    </row>
    <row r="988" spans="1:11" ht="42" customHeight="1">
      <c r="A988" s="2" t="s">
        <v>3012</v>
      </c>
      <c r="B988" s="2" t="s">
        <v>3013</v>
      </c>
      <c r="C988" s="2" t="s">
        <v>25</v>
      </c>
      <c r="D988" s="2" t="s">
        <v>18</v>
      </c>
      <c r="E988" s="3" t="s">
        <v>814</v>
      </c>
      <c r="F988" s="3" t="s">
        <v>2095</v>
      </c>
      <c r="G988" s="3" t="s">
        <v>62</v>
      </c>
      <c r="H988" s="2" t="s">
        <v>55</v>
      </c>
      <c r="I988" s="2" t="s">
        <v>3017</v>
      </c>
      <c r="J988" s="3" t="str">
        <f>HYPERLINK("https://www.boe.es/gazeta/dias/1809/12/09/pdfs/GMD-1809-344.pdf#page=4","Abrir facsímil")</f>
        <v>Abrir facsímil</v>
      </c>
      <c r="K988" s="3" t="s">
        <v>57</v>
      </c>
    </row>
    <row r="989" spans="1:11" ht="42" customHeight="1">
      <c r="A989" s="2" t="s">
        <v>3018</v>
      </c>
      <c r="B989" s="2" t="s">
        <v>3019</v>
      </c>
      <c r="C989" s="2" t="s">
        <v>25</v>
      </c>
      <c r="D989" s="2" t="s">
        <v>26</v>
      </c>
      <c r="E989" s="3" t="s">
        <v>173</v>
      </c>
      <c r="F989" s="3" t="s">
        <v>174</v>
      </c>
      <c r="G989" s="3" t="s">
        <v>3020</v>
      </c>
      <c r="H989" s="2" t="s">
        <v>55</v>
      </c>
      <c r="I989" s="2" t="s">
        <v>3021</v>
      </c>
      <c r="J989" s="3" t="str">
        <f>HYPERLINK("https://www.boe.es/gazeta/dias/1809/09/12/pdfs/GGB-1809-182.pdf#page=6","Abrir facsímil")</f>
        <v>Abrir facsímil</v>
      </c>
      <c r="K989" s="3" t="s">
        <v>57</v>
      </c>
    </row>
    <row r="990" spans="1:11" ht="42" customHeight="1">
      <c r="A990" s="2" t="s">
        <v>3018</v>
      </c>
      <c r="B990" s="2" t="s">
        <v>3019</v>
      </c>
      <c r="C990" s="2" t="s">
        <v>25</v>
      </c>
      <c r="D990" s="2" t="s">
        <v>26</v>
      </c>
      <c r="E990" s="3" t="s">
        <v>294</v>
      </c>
      <c r="F990" s="3" t="s">
        <v>1360</v>
      </c>
      <c r="G990" s="3" t="s">
        <v>2517</v>
      </c>
      <c r="H990" s="2" t="s">
        <v>55</v>
      </c>
      <c r="I990" s="2" t="s">
        <v>3022</v>
      </c>
      <c r="J990" s="3" t="str">
        <f>HYPERLINK("https://www.boe.es/gazeta/dias/1809/09/30/pdfs/GGB-1809-262.pdf#page=2","Abrir facsímil")</f>
        <v>Abrir facsímil</v>
      </c>
      <c r="K990" s="3" t="s">
        <v>57</v>
      </c>
    </row>
    <row r="991" spans="1:11" ht="42" customHeight="1">
      <c r="A991" s="2" t="s">
        <v>3023</v>
      </c>
      <c r="B991" s="2" t="s">
        <v>3024</v>
      </c>
      <c r="C991" s="2" t="s">
        <v>25</v>
      </c>
      <c r="D991" s="2" t="s">
        <v>107</v>
      </c>
      <c r="E991" s="3" t="s">
        <v>2595</v>
      </c>
      <c r="F991" s="3" t="s">
        <v>2596</v>
      </c>
      <c r="G991" s="3" t="s">
        <v>29</v>
      </c>
      <c r="H991" s="2" t="s">
        <v>55</v>
      </c>
      <c r="I991" s="2" t="s">
        <v>3025</v>
      </c>
      <c r="J991" s="3" t="str">
        <f>HYPERLINK("https://www.boe.es/gazeta/dias/1809/06/16/pdfs/GMD-1809-167.pdf#page=3","Abrir facsímil")</f>
        <v>Abrir facsímil</v>
      </c>
      <c r="K991" s="3" t="s">
        <v>57</v>
      </c>
    </row>
    <row r="992" spans="1:11" ht="42" customHeight="1">
      <c r="A992" s="2" t="s">
        <v>3026</v>
      </c>
      <c r="B992" s="2" t="s">
        <v>3027</v>
      </c>
      <c r="C992" s="2" t="s">
        <v>25</v>
      </c>
      <c r="D992" s="2" t="s">
        <v>18</v>
      </c>
      <c r="E992" s="3" t="s">
        <v>1736</v>
      </c>
      <c r="F992" s="3" t="s">
        <v>1737</v>
      </c>
      <c r="G992" s="3" t="s">
        <v>3028</v>
      </c>
      <c r="H992" s="2" t="s">
        <v>55</v>
      </c>
      <c r="I992" s="2" t="s">
        <v>3029</v>
      </c>
      <c r="J992" s="3" t="str">
        <f>HYPERLINK("https://www.boe.es/gazeta/dias/1809/02/28/pdfs/GMD-1809-59.pdf#page=4","Abrir facsímil")</f>
        <v>Abrir facsímil</v>
      </c>
      <c r="K992" s="3" t="s">
        <v>57</v>
      </c>
    </row>
    <row r="993" spans="1:11" ht="42" customHeight="1">
      <c r="A993" s="2" t="s">
        <v>3030</v>
      </c>
      <c r="B993" s="2" t="s">
        <v>3030</v>
      </c>
      <c r="C993" s="2" t="s">
        <v>25</v>
      </c>
      <c r="D993" s="2" t="s">
        <v>107</v>
      </c>
      <c r="E993" s="3" t="s">
        <v>3031</v>
      </c>
      <c r="F993" s="3" t="s">
        <v>3032</v>
      </c>
      <c r="G993" s="3" t="s">
        <v>467</v>
      </c>
      <c r="H993" s="2" t="s">
        <v>55</v>
      </c>
      <c r="I993" s="2" t="s">
        <v>3033</v>
      </c>
      <c r="J993" s="3" t="str">
        <f>HYPERLINK("https://www.boe.es/gazeta/dias/1809/08/18/pdfs/GMD-1809-231.pdf#page=3","Abrir facsímil")</f>
        <v>Abrir facsímil</v>
      </c>
      <c r="K993" s="3" t="s">
        <v>57</v>
      </c>
    </row>
    <row r="994" spans="1:11" ht="42" customHeight="1">
      <c r="A994" s="2" t="s">
        <v>3034</v>
      </c>
      <c r="B994" s="2" t="s">
        <v>3034</v>
      </c>
      <c r="C994" s="2" t="s">
        <v>25</v>
      </c>
      <c r="D994" s="2" t="s">
        <v>18</v>
      </c>
      <c r="E994" s="3" t="s">
        <v>1343</v>
      </c>
      <c r="F994" s="3" t="s">
        <v>1344</v>
      </c>
      <c r="G994" s="3" t="s">
        <v>75</v>
      </c>
      <c r="H994" s="2" t="s">
        <v>55</v>
      </c>
      <c r="I994" s="2" t="s">
        <v>3035</v>
      </c>
      <c r="J994" s="3" t="str">
        <f>HYPERLINK("https://www.boe.es/gazeta/dias/1809/07/24/pdfs/GMD-1809-205.pdf#page=3","Abrir facsímil")</f>
        <v>Abrir facsímil</v>
      </c>
      <c r="K994" s="3" t="s">
        <v>57</v>
      </c>
    </row>
    <row r="995" spans="1:11" ht="42" customHeight="1">
      <c r="A995" s="2" t="s">
        <v>3036</v>
      </c>
      <c r="B995" s="2" t="s">
        <v>3036</v>
      </c>
      <c r="C995" s="2" t="s">
        <v>25</v>
      </c>
      <c r="D995" s="2" t="s">
        <v>26</v>
      </c>
      <c r="E995" s="3" t="s">
        <v>904</v>
      </c>
      <c r="F995" s="3" t="s">
        <v>2393</v>
      </c>
      <c r="G995" s="3" t="s">
        <v>396</v>
      </c>
      <c r="H995" s="2" t="s">
        <v>55</v>
      </c>
      <c r="I995" s="2" t="s">
        <v>3037</v>
      </c>
      <c r="J995" s="3" t="str">
        <f>HYPERLINK("https://www.boe.es/gazeta/dias/1809/07/07/pdfs/GMD-1809-188.pdf#page=2","Abrir facsímil")</f>
        <v>Abrir facsímil</v>
      </c>
      <c r="K995" s="3" t="s">
        <v>57</v>
      </c>
    </row>
    <row r="996" spans="1:11" ht="42" customHeight="1">
      <c r="A996" s="2" t="s">
        <v>3036</v>
      </c>
      <c r="B996" s="2" t="s">
        <v>3036</v>
      </c>
      <c r="C996" s="2" t="s">
        <v>47</v>
      </c>
      <c r="D996" s="2" t="s">
        <v>18</v>
      </c>
      <c r="E996" s="3" t="s">
        <v>1496</v>
      </c>
      <c r="F996" s="3" t="s">
        <v>1497</v>
      </c>
      <c r="G996" s="3" t="s">
        <v>2343</v>
      </c>
      <c r="H996" s="2" t="s">
        <v>55</v>
      </c>
      <c r="I996" s="2" t="s">
        <v>3038</v>
      </c>
      <c r="J996" s="3" t="str">
        <f>HYPERLINK("https://www.boe.es/gazeta/dias/1809/11/06/pdfs/GMD-1809-311.pdf#page=1","Abrir facsímil")</f>
        <v>Abrir facsímil</v>
      </c>
      <c r="K996" s="3" t="s">
        <v>57</v>
      </c>
    </row>
    <row r="997" spans="1:11" ht="42" customHeight="1">
      <c r="A997" s="2" t="s">
        <v>3039</v>
      </c>
      <c r="B997" s="2" t="s">
        <v>3040</v>
      </c>
      <c r="C997" s="2" t="s">
        <v>25</v>
      </c>
      <c r="D997" s="2" t="s">
        <v>26</v>
      </c>
      <c r="E997" s="3" t="s">
        <v>2709</v>
      </c>
      <c r="F997" s="3" t="s">
        <v>2710</v>
      </c>
      <c r="G997" s="3" t="s">
        <v>426</v>
      </c>
      <c r="H997" s="2" t="s">
        <v>55</v>
      </c>
      <c r="I997" s="2" t="s">
        <v>3041</v>
      </c>
      <c r="J997" s="3" t="str">
        <f>HYPERLINK("https://www.boe.es/gazeta/dias/1809/11/17/pdfs/GMD-1809-322.pdf#page=1","Abrir facsímil")</f>
        <v>Abrir facsímil</v>
      </c>
      <c r="K997" s="3" t="s">
        <v>57</v>
      </c>
    </row>
    <row r="998" spans="1:11" ht="42" customHeight="1">
      <c r="A998" s="2" t="s">
        <v>3042</v>
      </c>
      <c r="B998" s="2" t="s">
        <v>3042</v>
      </c>
      <c r="C998" s="2" t="s">
        <v>39</v>
      </c>
      <c r="D998" s="2" t="s">
        <v>107</v>
      </c>
      <c r="E998" s="3" t="s">
        <v>1007</v>
      </c>
      <c r="F998" s="3" t="s">
        <v>3043</v>
      </c>
      <c r="G998" s="3" t="s">
        <v>914</v>
      </c>
      <c r="H998" s="2" t="s">
        <v>55</v>
      </c>
      <c r="I998" s="2" t="s">
        <v>3044</v>
      </c>
      <c r="J998" s="3" t="str">
        <f>HYPERLINK("https://www.boe.es/gazeta/dias/1809/04/14/pdfs/GGB-1809-17.pdf#page=4","Abrir facsímil")</f>
        <v>Abrir facsímil</v>
      </c>
      <c r="K998" s="3" t="s">
        <v>57</v>
      </c>
    </row>
    <row r="999" spans="1:11" ht="42" customHeight="1">
      <c r="A999" s="2" t="s">
        <v>3045</v>
      </c>
      <c r="B999" s="2" t="s">
        <v>3045</v>
      </c>
      <c r="C999" s="2" t="s">
        <v>47</v>
      </c>
      <c r="D999" s="2" t="s">
        <v>107</v>
      </c>
      <c r="E999" s="3" t="s">
        <v>1687</v>
      </c>
      <c r="F999" s="3" t="s">
        <v>1688</v>
      </c>
      <c r="G999" s="3" t="s">
        <v>1689</v>
      </c>
      <c r="H999" s="2" t="s">
        <v>55</v>
      </c>
      <c r="I999" s="2" t="s">
        <v>3046</v>
      </c>
      <c r="J999" s="3" t="str">
        <f>HYPERLINK("https://www.boe.es/gazeta/dias/1809/02/25/pdfs/GMD-1809-56.pdf#page=1","Abrir facsímil")</f>
        <v>Abrir facsímil</v>
      </c>
      <c r="K999" s="3" t="s">
        <v>57</v>
      </c>
    </row>
    <row r="1000" spans="1:11" ht="42" customHeight="1">
      <c r="A1000" s="2" t="s">
        <v>3045</v>
      </c>
      <c r="B1000" s="2" t="s">
        <v>3045</v>
      </c>
      <c r="C1000" s="2" t="s">
        <v>25</v>
      </c>
      <c r="D1000" s="2" t="s">
        <v>26</v>
      </c>
      <c r="E1000" s="3" t="s">
        <v>496</v>
      </c>
      <c r="F1000" s="3" t="s">
        <v>497</v>
      </c>
      <c r="G1000" s="3" t="s">
        <v>3047</v>
      </c>
      <c r="H1000" s="2" t="s">
        <v>55</v>
      </c>
      <c r="I1000" s="2" t="s">
        <v>3048</v>
      </c>
      <c r="J1000" s="3" t="str">
        <f>HYPERLINK("https://www.boe.es/gazeta/dias/1809/03/13/pdfs/GMD-1809-72.pdf#page=1","Abrir facsímil")</f>
        <v>Abrir facsímil</v>
      </c>
      <c r="K1000" s="3" t="s">
        <v>57</v>
      </c>
    </row>
    <row r="1001" spans="1:11" ht="42" customHeight="1">
      <c r="A1001" s="2" t="s">
        <v>3045</v>
      </c>
      <c r="B1001" s="2" t="s">
        <v>3045</v>
      </c>
      <c r="C1001" s="2" t="s">
        <v>47</v>
      </c>
      <c r="D1001" s="2" t="s">
        <v>18</v>
      </c>
      <c r="E1001" s="3" t="s">
        <v>1007</v>
      </c>
      <c r="F1001" s="3" t="s">
        <v>3043</v>
      </c>
      <c r="G1001" s="3" t="s">
        <v>914</v>
      </c>
      <c r="H1001" s="2" t="s">
        <v>55</v>
      </c>
      <c r="I1001" s="2" t="s">
        <v>3049</v>
      </c>
      <c r="J1001" s="3" t="str">
        <f>HYPERLINK("https://www.boe.es/gazeta/dias/1809/04/14/pdfs/GGB-1809-17.pdf#page=4","Abrir facsímil")</f>
        <v>Abrir facsímil</v>
      </c>
      <c r="K1001" s="3" t="s">
        <v>57</v>
      </c>
    </row>
    <row r="1002" spans="1:11" ht="42" customHeight="1">
      <c r="A1002" s="2" t="s">
        <v>3045</v>
      </c>
      <c r="B1002" s="2" t="s">
        <v>3045</v>
      </c>
      <c r="C1002" s="2" t="s">
        <v>25</v>
      </c>
      <c r="D1002" s="2" t="s">
        <v>18</v>
      </c>
      <c r="E1002" s="3" t="s">
        <v>2038</v>
      </c>
      <c r="F1002" s="3" t="s">
        <v>2039</v>
      </c>
      <c r="G1002" s="3" t="s">
        <v>270</v>
      </c>
      <c r="H1002" s="2" t="s">
        <v>55</v>
      </c>
      <c r="I1002" s="2" t="s">
        <v>3050</v>
      </c>
      <c r="J1002" s="3" t="str">
        <f>HYPERLINK("https://www.boe.es/gazeta/dias/1809/05/07/pdfs/GMD-1809-127.pdf#page=1","Abrir facsímil")</f>
        <v>Abrir facsímil</v>
      </c>
      <c r="K1002" s="3" t="s">
        <v>57</v>
      </c>
    </row>
    <row r="1003" spans="1:11" ht="42" customHeight="1">
      <c r="A1003" s="2" t="s">
        <v>3045</v>
      </c>
      <c r="B1003" s="2" t="s">
        <v>3045</v>
      </c>
      <c r="C1003" s="2" t="s">
        <v>25</v>
      </c>
      <c r="D1003" s="2" t="s">
        <v>26</v>
      </c>
      <c r="E1003" s="3" t="s">
        <v>3051</v>
      </c>
      <c r="F1003" s="3" t="s">
        <v>3052</v>
      </c>
      <c r="G1003" s="3" t="s">
        <v>239</v>
      </c>
      <c r="H1003" s="2" t="s">
        <v>55</v>
      </c>
      <c r="I1003" s="2" t="s">
        <v>3053</v>
      </c>
      <c r="J1003" s="3" t="str">
        <f>HYPERLINK("https://www.boe.es/gazeta/dias/1809/06/06/pdfs/GMD-1809-157.pdf#page=2","Abrir facsímil")</f>
        <v>Abrir facsímil</v>
      </c>
      <c r="K1003" s="3" t="s">
        <v>57</v>
      </c>
    </row>
    <row r="1004" spans="1:11" ht="42" customHeight="1">
      <c r="A1004" s="2" t="s">
        <v>3045</v>
      </c>
      <c r="B1004" s="2" t="s">
        <v>3045</v>
      </c>
      <c r="C1004" s="2" t="s">
        <v>25</v>
      </c>
      <c r="D1004" s="2" t="s">
        <v>18</v>
      </c>
      <c r="E1004" s="3" t="s">
        <v>621</v>
      </c>
      <c r="F1004" s="3" t="s">
        <v>913</v>
      </c>
      <c r="G1004" s="3" t="s">
        <v>3054</v>
      </c>
      <c r="H1004" s="2" t="s">
        <v>55</v>
      </c>
      <c r="I1004" s="2" t="s">
        <v>3055</v>
      </c>
      <c r="J1004" s="3" t="str">
        <f>HYPERLINK("https://www.boe.es/gazeta/dias/1809/07/04/pdfs/GMD-1809-185.pdf#page=1","Abrir facsímil")</f>
        <v>Abrir facsímil</v>
      </c>
      <c r="K1004" s="3" t="s">
        <v>57</v>
      </c>
    </row>
    <row r="1005" spans="1:11" ht="42" customHeight="1">
      <c r="A1005" s="2" t="s">
        <v>3045</v>
      </c>
      <c r="B1005" s="2" t="s">
        <v>3045</v>
      </c>
      <c r="C1005" s="2" t="s">
        <v>25</v>
      </c>
      <c r="D1005" s="2" t="s">
        <v>26</v>
      </c>
      <c r="E1005" s="3" t="s">
        <v>1129</v>
      </c>
      <c r="F1005" s="3" t="s">
        <v>1130</v>
      </c>
      <c r="G1005" s="3" t="s">
        <v>115</v>
      </c>
      <c r="H1005" s="2" t="s">
        <v>55</v>
      </c>
      <c r="I1005" s="2" t="s">
        <v>3056</v>
      </c>
      <c r="J1005" s="3" t="str">
        <f>HYPERLINK("https://www.boe.es/gazeta/dias/1809/08/17/pdfs/GGB-1809-72.pdf#page=2","Abrir facsímil")</f>
        <v>Abrir facsímil</v>
      </c>
      <c r="K1005" s="3" t="s">
        <v>57</v>
      </c>
    </row>
    <row r="1006" spans="1:11" ht="42" customHeight="1">
      <c r="A1006" s="2" t="s">
        <v>3045</v>
      </c>
      <c r="B1006" s="2" t="s">
        <v>3045</v>
      </c>
      <c r="C1006" s="2" t="s">
        <v>25</v>
      </c>
      <c r="D1006" s="2" t="s">
        <v>26</v>
      </c>
      <c r="E1006" s="3" t="s">
        <v>152</v>
      </c>
      <c r="F1006" s="3" t="s">
        <v>153</v>
      </c>
      <c r="G1006" s="3" t="s">
        <v>439</v>
      </c>
      <c r="H1006" s="2" t="s">
        <v>55</v>
      </c>
      <c r="I1006" s="2" t="s">
        <v>3057</v>
      </c>
      <c r="J1006" s="3" t="str">
        <f>HYPERLINK("https://www.boe.es/gazeta/dias/1809/08/26/pdfs/GGB-1809-112.pdf#page=5","Abrir facsímil")</f>
        <v>Abrir facsímil</v>
      </c>
      <c r="K1006" s="3" t="s">
        <v>57</v>
      </c>
    </row>
    <row r="1007" spans="1:11" ht="42" customHeight="1">
      <c r="A1007" s="2" t="s">
        <v>3045</v>
      </c>
      <c r="B1007" s="2" t="s">
        <v>3045</v>
      </c>
      <c r="C1007" s="2" t="s">
        <v>47</v>
      </c>
      <c r="D1007" s="2" t="s">
        <v>18</v>
      </c>
      <c r="E1007" s="3" t="s">
        <v>1803</v>
      </c>
      <c r="F1007" s="3" t="s">
        <v>1804</v>
      </c>
      <c r="G1007" s="3" t="s">
        <v>816</v>
      </c>
      <c r="H1007" s="2" t="s">
        <v>55</v>
      </c>
      <c r="I1007" s="2" t="s">
        <v>3058</v>
      </c>
      <c r="J1007" s="3" t="str">
        <f>HYPERLINK("https://www.boe.es/gazeta/dias/1809/10/12/pdfs/GMD-1809-286.pdf#page=1","Abrir facsímil")</f>
        <v>Abrir facsímil</v>
      </c>
      <c r="K1007" s="3" t="s">
        <v>57</v>
      </c>
    </row>
    <row r="1008" spans="1:11" ht="42" customHeight="1">
      <c r="A1008" s="2" t="s">
        <v>3045</v>
      </c>
      <c r="B1008" s="2" t="s">
        <v>3045</v>
      </c>
      <c r="C1008" s="2" t="s">
        <v>47</v>
      </c>
      <c r="D1008" s="2" t="s">
        <v>18</v>
      </c>
      <c r="E1008" s="3" t="s">
        <v>263</v>
      </c>
      <c r="F1008" s="3" t="s">
        <v>264</v>
      </c>
      <c r="G1008" s="3" t="s">
        <v>914</v>
      </c>
      <c r="H1008" s="2" t="s">
        <v>55</v>
      </c>
      <c r="I1008" s="2" t="s">
        <v>3059</v>
      </c>
      <c r="J1008" s="3" t="str">
        <f>HYPERLINK("https://www.boe.es/gazeta/dias/1809/11/21/pdfs/GGB-1809-482.pdf#page=1","Abrir facsímil")</f>
        <v>Abrir facsímil</v>
      </c>
      <c r="K1008" s="3" t="s">
        <v>57</v>
      </c>
    </row>
    <row r="1009" spans="1:11" ht="42" customHeight="1">
      <c r="A1009" s="2" t="s">
        <v>3045</v>
      </c>
      <c r="B1009" s="2" t="s">
        <v>3045</v>
      </c>
      <c r="C1009" s="2" t="s">
        <v>25</v>
      </c>
      <c r="D1009" s="2" t="s">
        <v>26</v>
      </c>
      <c r="E1009" s="3" t="s">
        <v>609</v>
      </c>
      <c r="F1009" s="3" t="s">
        <v>3060</v>
      </c>
      <c r="G1009" s="3" t="s">
        <v>29</v>
      </c>
      <c r="H1009" s="2" t="s">
        <v>55</v>
      </c>
      <c r="I1009" s="2" t="s">
        <v>3061</v>
      </c>
      <c r="J1009" s="3" t="str">
        <f>HYPERLINK("https://www.boe.es/gazeta/dias/1809/11/25/pdfs/GMD-1809-330.pdf#page=3","Abrir facsímil")</f>
        <v>Abrir facsímil</v>
      </c>
      <c r="K1009" s="3" t="s">
        <v>57</v>
      </c>
    </row>
    <row r="1010" spans="1:11" ht="42" customHeight="1">
      <c r="A1010" s="2" t="s">
        <v>3045</v>
      </c>
      <c r="B1010" s="2" t="s">
        <v>3045</v>
      </c>
      <c r="C1010" s="2" t="s">
        <v>17</v>
      </c>
      <c r="D1010" s="2" t="s">
        <v>107</v>
      </c>
      <c r="E1010" s="3" t="s">
        <v>2512</v>
      </c>
      <c r="F1010" s="3" t="s">
        <v>2513</v>
      </c>
      <c r="G1010" s="3" t="s">
        <v>125</v>
      </c>
      <c r="H1010" s="2" t="s">
        <v>55</v>
      </c>
      <c r="I1010" s="2" t="s">
        <v>3062</v>
      </c>
      <c r="J1010" s="3" t="str">
        <f>HYPERLINK("https://www.boe.es/gazeta/dias/1809/11/27/pdfs/GMD-1809-332.pdf#page=1","Abrir facsímil")</f>
        <v>Abrir facsímil</v>
      </c>
      <c r="K1010" s="3" t="s">
        <v>57</v>
      </c>
    </row>
    <row r="1011" spans="1:11" ht="42" customHeight="1">
      <c r="A1011" s="2" t="s">
        <v>3063</v>
      </c>
      <c r="B1011" s="2" t="s">
        <v>3063</v>
      </c>
      <c r="C1011" s="2" t="s">
        <v>47</v>
      </c>
      <c r="D1011" s="2" t="s">
        <v>18</v>
      </c>
      <c r="E1011" s="3" t="s">
        <v>410</v>
      </c>
      <c r="F1011" s="3" t="s">
        <v>411</v>
      </c>
      <c r="G1011" s="3" t="s">
        <v>316</v>
      </c>
      <c r="H1011" s="2" t="s">
        <v>55</v>
      </c>
      <c r="I1011" s="2" t="s">
        <v>3064</v>
      </c>
      <c r="J1011" s="3" t="str">
        <f>HYPERLINK("https://www.boe.es/gazeta/dias/1809/03/04/pdfs/GMD-1809-63.pdf#page=2","Abrir facsímil")</f>
        <v>Abrir facsímil</v>
      </c>
      <c r="K1011" s="3" t="s">
        <v>57</v>
      </c>
    </row>
    <row r="1012" spans="1:11" ht="42" customHeight="1">
      <c r="A1012" s="2" t="s">
        <v>3065</v>
      </c>
      <c r="B1012" s="2" t="s">
        <v>3065</v>
      </c>
      <c r="C1012" s="2" t="s">
        <v>25</v>
      </c>
      <c r="D1012" s="2" t="s">
        <v>18</v>
      </c>
      <c r="E1012" s="3" t="s">
        <v>1786</v>
      </c>
      <c r="F1012" s="3" t="s">
        <v>2296</v>
      </c>
      <c r="G1012" s="3" t="s">
        <v>3066</v>
      </c>
      <c r="H1012" s="2" t="s">
        <v>55</v>
      </c>
      <c r="I1012" s="2" t="s">
        <v>3067</v>
      </c>
      <c r="J1012" s="3" t="str">
        <f>HYPERLINK("https://www.boe.es/gazeta/dias/1809/08/24/pdfs/GGB-1809-102.pdf#page=4","Abrir facsímil")</f>
        <v>Abrir facsímil</v>
      </c>
      <c r="K1012" s="3" t="s">
        <v>57</v>
      </c>
    </row>
    <row r="1013" spans="1:11" ht="42" customHeight="1">
      <c r="A1013" s="2" t="s">
        <v>3068</v>
      </c>
      <c r="B1013" s="2" t="s">
        <v>3069</v>
      </c>
      <c r="C1013" s="2" t="s">
        <v>131</v>
      </c>
      <c r="D1013" s="2" t="s">
        <v>26</v>
      </c>
      <c r="E1013" s="3" t="s">
        <v>1493</v>
      </c>
      <c r="F1013" s="3" t="s">
        <v>1494</v>
      </c>
      <c r="G1013" s="3" t="s">
        <v>154</v>
      </c>
      <c r="H1013" s="2" t="s">
        <v>22</v>
      </c>
      <c r="I1013" s="2" t="s">
        <v>3070</v>
      </c>
      <c r="J1013" s="3" t="str">
        <f>HYPERLINK("https://www.boe.es/gazeta/dias/1809/08/25/pdfs/GMD-1809-238.pdf#page=3","Abrir facsímil")</f>
        <v>Abrir facsímil</v>
      </c>
      <c r="K1013" s="3" t="s">
        <v>24</v>
      </c>
    </row>
    <row r="1014" spans="1:11" ht="42" customHeight="1">
      <c r="A1014" s="2" t="s">
        <v>3071</v>
      </c>
      <c r="B1014" s="2" t="s">
        <v>3072</v>
      </c>
      <c r="C1014" s="2" t="s">
        <v>17</v>
      </c>
      <c r="D1014" s="2" t="s">
        <v>18</v>
      </c>
      <c r="E1014" s="3" t="s">
        <v>712</v>
      </c>
      <c r="F1014" s="3" t="s">
        <v>713</v>
      </c>
      <c r="G1014" s="3" t="s">
        <v>120</v>
      </c>
      <c r="H1014" s="2" t="s">
        <v>55</v>
      </c>
      <c r="I1014" s="2" t="s">
        <v>3073</v>
      </c>
      <c r="J1014" s="3" t="str">
        <f>HYPERLINK("https://www.boe.es/gazeta/dias/1809/09/10/pdfs/GMD-1809-254.pdf#page=2","Abrir facsímil")</f>
        <v>Abrir facsímil</v>
      </c>
      <c r="K1014" s="3" t="s">
        <v>57</v>
      </c>
    </row>
    <row r="1015" spans="1:11" ht="42" customHeight="1">
      <c r="A1015" s="2" t="s">
        <v>3071</v>
      </c>
      <c r="B1015" s="2" t="s">
        <v>3072</v>
      </c>
      <c r="C1015" s="2" t="s">
        <v>17</v>
      </c>
      <c r="D1015" s="2" t="s">
        <v>18</v>
      </c>
      <c r="E1015" s="3" t="s">
        <v>102</v>
      </c>
      <c r="F1015" s="3" t="s">
        <v>103</v>
      </c>
      <c r="G1015" s="3" t="s">
        <v>3074</v>
      </c>
      <c r="H1015" s="2" t="s">
        <v>55</v>
      </c>
      <c r="I1015" s="2" t="s">
        <v>3075</v>
      </c>
      <c r="J1015" s="3" t="str">
        <f>HYPERLINK("https://www.boe.es/gazeta/dias/1809/09/28/pdfs/GGB-1809-252.pdf#page=4","Abrir facsímil")</f>
        <v>Abrir facsímil</v>
      </c>
      <c r="K1015" s="3" t="s">
        <v>57</v>
      </c>
    </row>
    <row r="1016" spans="1:11" ht="42" customHeight="1">
      <c r="A1016" s="2" t="s">
        <v>3076</v>
      </c>
      <c r="B1016" s="2" t="s">
        <v>3077</v>
      </c>
      <c r="C1016" s="2" t="s">
        <v>25</v>
      </c>
      <c r="D1016" s="2" t="s">
        <v>26</v>
      </c>
      <c r="E1016" s="3" t="s">
        <v>1396</v>
      </c>
      <c r="F1016" s="3" t="s">
        <v>2370</v>
      </c>
      <c r="G1016" s="3" t="s">
        <v>270</v>
      </c>
      <c r="H1016" s="2" t="s">
        <v>55</v>
      </c>
      <c r="I1016" s="2" t="s">
        <v>3078</v>
      </c>
      <c r="J1016" s="3" t="str">
        <f>HYPERLINK("https://www.boe.es/gazeta/dias/1809/11/28/pdfs/GGB-H-1809-512.pdf#page=3","Abrir facsímil")</f>
        <v>Abrir facsímil</v>
      </c>
      <c r="K1016" s="3" t="s">
        <v>57</v>
      </c>
    </row>
    <row r="1017" spans="1:11" ht="42" customHeight="1">
      <c r="A1017" s="2" t="s">
        <v>3079</v>
      </c>
      <c r="B1017" s="2" t="s">
        <v>3080</v>
      </c>
      <c r="C1017" s="2" t="s">
        <v>25</v>
      </c>
      <c r="D1017" s="2" t="s">
        <v>26</v>
      </c>
      <c r="E1017" s="3" t="s">
        <v>761</v>
      </c>
      <c r="F1017" s="3" t="s">
        <v>1218</v>
      </c>
      <c r="G1017" s="3" t="s">
        <v>62</v>
      </c>
      <c r="H1017" s="2" t="s">
        <v>55</v>
      </c>
      <c r="I1017" s="2" t="s">
        <v>3081</v>
      </c>
      <c r="J1017" s="3" t="str">
        <f>HYPERLINK("https://www.boe.es/gazeta/dias/1809/06/02/pdfs/GGB-1809-33.pdf#page=10","Abrir facsímil")</f>
        <v>Abrir facsímil</v>
      </c>
      <c r="K1017" s="3" t="s">
        <v>57</v>
      </c>
    </row>
    <row r="1018" spans="1:11" ht="42" customHeight="1">
      <c r="A1018" s="2" t="s">
        <v>3082</v>
      </c>
      <c r="B1018" s="2" t="s">
        <v>3083</v>
      </c>
      <c r="C1018" s="2" t="s">
        <v>47</v>
      </c>
      <c r="D1018" s="2" t="s">
        <v>80</v>
      </c>
      <c r="E1018" s="3" t="s">
        <v>3084</v>
      </c>
      <c r="F1018" s="3" t="s">
        <v>3085</v>
      </c>
      <c r="G1018" s="3" t="s">
        <v>239</v>
      </c>
      <c r="H1018" s="2" t="s">
        <v>55</v>
      </c>
      <c r="I1018" s="2" t="s">
        <v>3086</v>
      </c>
      <c r="J1018" s="3" t="str">
        <f>HYPERLINK("https://www.boe.es/gazeta/dias/1809/01/04/pdfs/GMS-1809-63E.pdf#page=4","Abrir facsímil")</f>
        <v>Abrir facsímil</v>
      </c>
      <c r="K1018" s="3" t="s">
        <v>57</v>
      </c>
    </row>
    <row r="1019" spans="1:11" ht="42" customHeight="1">
      <c r="A1019" s="2" t="s">
        <v>3082</v>
      </c>
      <c r="B1019" s="2" t="s">
        <v>3083</v>
      </c>
      <c r="C1019" s="2" t="s">
        <v>369</v>
      </c>
      <c r="D1019" s="2" t="s">
        <v>40</v>
      </c>
      <c r="E1019" s="3" t="s">
        <v>1640</v>
      </c>
      <c r="F1019" s="3" t="s">
        <v>3087</v>
      </c>
      <c r="G1019" s="3" t="s">
        <v>62</v>
      </c>
      <c r="H1019" s="2" t="s">
        <v>55</v>
      </c>
      <c r="I1019" s="2" t="s">
        <v>3088</v>
      </c>
      <c r="J1019" s="3" t="str">
        <f>HYPERLINK("https://www.boe.es/gazeta/dias/1809/01/06/pdfs/GGB-1809-1.pdf#page=8","Abrir facsímil")</f>
        <v>Abrir facsímil</v>
      </c>
      <c r="K1019" s="3" t="s">
        <v>57</v>
      </c>
    </row>
    <row r="1020" spans="1:11" ht="42" customHeight="1">
      <c r="A1020" s="2" t="s">
        <v>3082</v>
      </c>
      <c r="B1020" s="2" t="s">
        <v>3083</v>
      </c>
      <c r="C1020" s="2" t="s">
        <v>369</v>
      </c>
      <c r="D1020" s="2" t="s">
        <v>40</v>
      </c>
      <c r="E1020" s="3" t="s">
        <v>1123</v>
      </c>
      <c r="F1020" s="3" t="s">
        <v>3087</v>
      </c>
      <c r="G1020" s="3" t="s">
        <v>62</v>
      </c>
      <c r="H1020" s="2" t="s">
        <v>55</v>
      </c>
      <c r="I1020" s="2" t="s">
        <v>3088</v>
      </c>
      <c r="J1020" s="3" t="str">
        <f>HYPERLINK("https://www.boe.es/gazeta/dias/1809/01/08/pdfs/GGB-1809-1.pdf#page=8","Abrir facsímil")</f>
        <v>Abrir facsímil</v>
      </c>
      <c r="K1020" s="3" t="s">
        <v>57</v>
      </c>
    </row>
    <row r="1021" spans="1:11" ht="42" customHeight="1">
      <c r="A1021" s="2" t="s">
        <v>3082</v>
      </c>
      <c r="B1021" s="2" t="s">
        <v>3083</v>
      </c>
      <c r="C1021" s="2" t="s">
        <v>25</v>
      </c>
      <c r="D1021" s="2" t="s">
        <v>18</v>
      </c>
      <c r="E1021" s="3" t="s">
        <v>761</v>
      </c>
      <c r="F1021" s="3" t="s">
        <v>1218</v>
      </c>
      <c r="G1021" s="3" t="s">
        <v>62</v>
      </c>
      <c r="H1021" s="2" t="s">
        <v>55</v>
      </c>
      <c r="I1021" s="2" t="s">
        <v>3089</v>
      </c>
      <c r="J1021" s="3" t="str">
        <f>HYPERLINK("https://www.boe.es/gazeta/dias/1809/06/02/pdfs/GGB-1809-33.pdf#page=10","Abrir facsímil")</f>
        <v>Abrir facsímil</v>
      </c>
      <c r="K1021" s="3" t="s">
        <v>57</v>
      </c>
    </row>
    <row r="1022" spans="1:11" ht="42" customHeight="1">
      <c r="A1022" s="2" t="s">
        <v>3082</v>
      </c>
      <c r="B1022" s="2" t="s">
        <v>3083</v>
      </c>
      <c r="C1022" s="2" t="s">
        <v>25</v>
      </c>
      <c r="D1022" s="2" t="s">
        <v>80</v>
      </c>
      <c r="E1022" s="3" t="s">
        <v>1891</v>
      </c>
      <c r="F1022" s="3" t="s">
        <v>1892</v>
      </c>
      <c r="G1022" s="3" t="s">
        <v>595</v>
      </c>
      <c r="H1022" s="2" t="s">
        <v>55</v>
      </c>
      <c r="I1022" s="2" t="s">
        <v>3090</v>
      </c>
      <c r="J1022" s="3" t="str">
        <f>HYPERLINK("https://www.boe.es/gazeta/dias/1809/06/10/pdfs/GGB-1809-35E.pdf#page=7","Abrir facsímil")</f>
        <v>Abrir facsímil</v>
      </c>
      <c r="K1022" s="3" t="s">
        <v>57</v>
      </c>
    </row>
    <row r="1023" spans="1:11" ht="42" customHeight="1">
      <c r="A1023" s="2" t="s">
        <v>3082</v>
      </c>
      <c r="B1023" s="2" t="s">
        <v>3083</v>
      </c>
      <c r="C1023" s="2" t="s">
        <v>25</v>
      </c>
      <c r="D1023" s="2" t="s">
        <v>26</v>
      </c>
      <c r="E1023" s="3" t="s">
        <v>1560</v>
      </c>
      <c r="F1023" s="3" t="s">
        <v>3091</v>
      </c>
      <c r="G1023" s="3" t="s">
        <v>3092</v>
      </c>
      <c r="H1023" s="2" t="s">
        <v>55</v>
      </c>
      <c r="I1023" s="2" t="s">
        <v>3093</v>
      </c>
      <c r="J1023" s="3" t="str">
        <f>HYPERLINK("https://www.boe.es/gazeta/dias/1809/07/03/pdfs/GGB-1809-41E.pdf#page=3","Abrir facsímil")</f>
        <v>Abrir facsímil</v>
      </c>
      <c r="K1023" s="3" t="s">
        <v>57</v>
      </c>
    </row>
    <row r="1024" spans="1:11" ht="42" customHeight="1">
      <c r="A1024" s="2" t="s">
        <v>3082</v>
      </c>
      <c r="B1024" s="2" t="s">
        <v>3083</v>
      </c>
      <c r="C1024" s="2" t="s">
        <v>25</v>
      </c>
      <c r="D1024" s="2" t="s">
        <v>18</v>
      </c>
      <c r="E1024" s="3" t="s">
        <v>904</v>
      </c>
      <c r="F1024" s="3" t="s">
        <v>905</v>
      </c>
      <c r="G1024" s="3" t="s">
        <v>3094</v>
      </c>
      <c r="H1024" s="2" t="s">
        <v>55</v>
      </c>
      <c r="I1024" s="2" t="s">
        <v>3095</v>
      </c>
      <c r="J1024" s="3" t="str">
        <f>HYPERLINK("https://www.boe.es/gazeta/dias/1809/07/07/pdfs/GGB-1809-43.pdf#page=7","Abrir facsímil")</f>
        <v>Abrir facsímil</v>
      </c>
      <c r="K1024" s="3" t="s">
        <v>57</v>
      </c>
    </row>
    <row r="1025" spans="1:11" ht="42" customHeight="1">
      <c r="A1025" s="2" t="s">
        <v>3082</v>
      </c>
      <c r="B1025" s="2" t="s">
        <v>3083</v>
      </c>
      <c r="C1025" s="2" t="s">
        <v>25</v>
      </c>
      <c r="D1025" s="2" t="s">
        <v>26</v>
      </c>
      <c r="E1025" s="3" t="s">
        <v>3096</v>
      </c>
      <c r="F1025" s="3" t="s">
        <v>3097</v>
      </c>
      <c r="G1025" s="3" t="s">
        <v>250</v>
      </c>
      <c r="H1025" s="2" t="s">
        <v>55</v>
      </c>
      <c r="I1025" s="2" t="s">
        <v>3098</v>
      </c>
      <c r="J1025" s="3" t="str">
        <f>HYPERLINK("https://www.boe.es/gazeta/dias/1809/08/14/pdfs/GGB-1809-52E.pdf#page=1","Abrir facsímil")</f>
        <v>Abrir facsímil</v>
      </c>
      <c r="K1025" s="3" t="s">
        <v>57</v>
      </c>
    </row>
    <row r="1026" spans="1:11" ht="42" customHeight="1">
      <c r="A1026" s="2" t="s">
        <v>3082</v>
      </c>
      <c r="B1026" s="2" t="s">
        <v>3083</v>
      </c>
      <c r="C1026" s="2" t="s">
        <v>39</v>
      </c>
      <c r="D1026" s="2" t="s">
        <v>40</v>
      </c>
      <c r="E1026" s="3" t="s">
        <v>1206</v>
      </c>
      <c r="F1026" s="3" t="s">
        <v>1207</v>
      </c>
      <c r="G1026" s="3" t="s">
        <v>3099</v>
      </c>
      <c r="H1026" s="2" t="s">
        <v>55</v>
      </c>
      <c r="I1026" s="2" t="s">
        <v>3100</v>
      </c>
      <c r="J1026" s="3" t="str">
        <f>HYPERLINK("https://www.boe.es/gazeta/dias/1809/09/23/pdfs/GGB-H-1809-232.pdf#page=8","Abrir facsímil")</f>
        <v>Abrir facsímil</v>
      </c>
      <c r="K1026" s="3" t="s">
        <v>57</v>
      </c>
    </row>
    <row r="1027" spans="1:11" ht="42" customHeight="1">
      <c r="A1027" s="2" t="s">
        <v>3082</v>
      </c>
      <c r="B1027" s="2" t="s">
        <v>3083</v>
      </c>
      <c r="C1027" s="2" t="s">
        <v>25</v>
      </c>
      <c r="D1027" s="2" t="s">
        <v>26</v>
      </c>
      <c r="E1027" s="3" t="s">
        <v>589</v>
      </c>
      <c r="F1027" s="3" t="s">
        <v>590</v>
      </c>
      <c r="G1027" s="3" t="s">
        <v>591</v>
      </c>
      <c r="H1027" s="2" t="s">
        <v>55</v>
      </c>
      <c r="I1027" s="2" t="s">
        <v>3101</v>
      </c>
      <c r="J1027" s="3" t="str">
        <f>HYPERLINK("https://www.boe.es/gazeta/dias/1809/10/05/pdfs/GGB-1809-282.pdf#page=2","Abrir facsímil")</f>
        <v>Abrir facsímil</v>
      </c>
      <c r="K1027" s="3" t="s">
        <v>57</v>
      </c>
    </row>
    <row r="1028" spans="1:11" ht="42" customHeight="1">
      <c r="A1028" s="2" t="s">
        <v>3082</v>
      </c>
      <c r="B1028" s="2" t="s">
        <v>3083</v>
      </c>
      <c r="C1028" s="2" t="s">
        <v>25</v>
      </c>
      <c r="D1028" s="2" t="s">
        <v>18</v>
      </c>
      <c r="E1028" s="3" t="s">
        <v>589</v>
      </c>
      <c r="F1028" s="3" t="s">
        <v>590</v>
      </c>
      <c r="G1028" s="3" t="s">
        <v>3102</v>
      </c>
      <c r="H1028" s="2" t="s">
        <v>55</v>
      </c>
      <c r="I1028" s="2" t="s">
        <v>3103</v>
      </c>
      <c r="J1028" s="3" t="str">
        <f>HYPERLINK("https://www.boe.es/gazeta/dias/1809/10/05/pdfs/GGB-1809-282.pdf#page=6","Abrir facsímil")</f>
        <v>Abrir facsímil</v>
      </c>
      <c r="K1028" s="3" t="s">
        <v>57</v>
      </c>
    </row>
    <row r="1029" spans="1:11" ht="42" customHeight="1">
      <c r="A1029" s="2" t="s">
        <v>3082</v>
      </c>
      <c r="B1029" s="2" t="s">
        <v>3083</v>
      </c>
      <c r="C1029" s="2" t="s">
        <v>25</v>
      </c>
      <c r="D1029" s="2" t="s">
        <v>26</v>
      </c>
      <c r="E1029" s="3" t="s">
        <v>147</v>
      </c>
      <c r="F1029" s="3" t="s">
        <v>562</v>
      </c>
      <c r="G1029" s="3" t="s">
        <v>3015</v>
      </c>
      <c r="H1029" s="2" t="s">
        <v>55</v>
      </c>
      <c r="I1029" s="2" t="s">
        <v>3104</v>
      </c>
      <c r="J1029" s="3" t="str">
        <f>HYPERLINK("https://www.boe.es/gazeta/dias/1809/10/07/pdfs/GGB-H-1809-292.pdf#page=2","Abrir facsímil")</f>
        <v>Abrir facsímil</v>
      </c>
      <c r="K1029" s="3" t="s">
        <v>57</v>
      </c>
    </row>
    <row r="1030" spans="1:11" ht="42" customHeight="1">
      <c r="A1030" s="2" t="s">
        <v>3082</v>
      </c>
      <c r="B1030" s="2" t="s">
        <v>3083</v>
      </c>
      <c r="C1030" s="2" t="s">
        <v>25</v>
      </c>
      <c r="D1030" s="2" t="s">
        <v>26</v>
      </c>
      <c r="E1030" s="3" t="s">
        <v>147</v>
      </c>
      <c r="F1030" s="3" t="s">
        <v>562</v>
      </c>
      <c r="G1030" s="3" t="s">
        <v>563</v>
      </c>
      <c r="H1030" s="2" t="s">
        <v>55</v>
      </c>
      <c r="I1030" s="2" t="s">
        <v>3105</v>
      </c>
      <c r="J1030" s="3" t="str">
        <f>HYPERLINK("https://www.boe.es/gazeta/dias/1809/10/07/pdfs/GGB-H-1809-292.pdf#page=8","Abrir facsímil")</f>
        <v>Abrir facsímil</v>
      </c>
      <c r="K1030" s="3" t="s">
        <v>57</v>
      </c>
    </row>
    <row r="1031" spans="1:11" ht="42" customHeight="1">
      <c r="A1031" s="2" t="s">
        <v>3082</v>
      </c>
      <c r="B1031" s="2" t="s">
        <v>3083</v>
      </c>
      <c r="C1031" s="2" t="s">
        <v>25</v>
      </c>
      <c r="D1031" s="2" t="s">
        <v>40</v>
      </c>
      <c r="E1031" s="3" t="s">
        <v>695</v>
      </c>
      <c r="F1031" s="3" t="s">
        <v>696</v>
      </c>
      <c r="G1031" s="3" t="s">
        <v>1017</v>
      </c>
      <c r="H1031" s="2" t="s">
        <v>55</v>
      </c>
      <c r="I1031" s="2" t="s">
        <v>3106</v>
      </c>
      <c r="J1031" s="3" t="str">
        <f>HYPERLINK("https://www.boe.es/gazeta/dias/1809/10/24/pdfs/GGB-1809-362.pdf#page=8","Abrir facsímil")</f>
        <v>Abrir facsímil</v>
      </c>
      <c r="K1031" s="3" t="s">
        <v>57</v>
      </c>
    </row>
    <row r="1032" spans="1:11" ht="42" customHeight="1">
      <c r="A1032" s="2" t="s">
        <v>3082</v>
      </c>
      <c r="B1032" s="2" t="s">
        <v>3083</v>
      </c>
      <c r="C1032" s="2" t="s">
        <v>25</v>
      </c>
      <c r="D1032" s="2" t="s">
        <v>40</v>
      </c>
      <c r="E1032" s="3" t="s">
        <v>2845</v>
      </c>
      <c r="F1032" s="3" t="s">
        <v>3107</v>
      </c>
      <c r="G1032" s="3" t="s">
        <v>3108</v>
      </c>
      <c r="H1032" s="2" t="s">
        <v>55</v>
      </c>
      <c r="I1032" s="2" t="s">
        <v>3109</v>
      </c>
      <c r="J1032" s="3" t="str">
        <f>HYPERLINK("https://www.boe.es/gazeta/dias/1809/11/23/pdfs/GGB-1809-492E.pdf#page=1","Abrir facsímil")</f>
        <v>Abrir facsímil</v>
      </c>
      <c r="K1032" s="3" t="s">
        <v>57</v>
      </c>
    </row>
    <row r="1033" spans="1:11" ht="42" customHeight="1">
      <c r="A1033" s="2" t="s">
        <v>3082</v>
      </c>
      <c r="B1033" s="2" t="s">
        <v>3083</v>
      </c>
      <c r="C1033" s="2" t="s">
        <v>25</v>
      </c>
      <c r="D1033" s="2" t="s">
        <v>72</v>
      </c>
      <c r="E1033" s="3" t="s">
        <v>473</v>
      </c>
      <c r="F1033" s="3" t="s">
        <v>1199</v>
      </c>
      <c r="G1033" s="3" t="s">
        <v>94</v>
      </c>
      <c r="H1033" s="2" t="s">
        <v>55</v>
      </c>
      <c r="I1033" s="2" t="s">
        <v>3110</v>
      </c>
      <c r="J1033" s="3" t="str">
        <f>HYPERLINK("https://www.boe.es/gazeta/dias/1809/12/28/pdfs/GGB-H-1809-642.pdf#page=5","Abrir facsímil")</f>
        <v>Abrir facsímil</v>
      </c>
      <c r="K1033" s="3" t="s">
        <v>57</v>
      </c>
    </row>
    <row r="1034" spans="1:11" ht="42" customHeight="1">
      <c r="A1034" s="2" t="s">
        <v>3111</v>
      </c>
      <c r="B1034" s="2" t="s">
        <v>3112</v>
      </c>
      <c r="C1034" s="2" t="s">
        <v>39</v>
      </c>
      <c r="D1034" s="2" t="s">
        <v>18</v>
      </c>
      <c r="E1034" s="3" t="s">
        <v>394</v>
      </c>
      <c r="F1034" s="3" t="s">
        <v>2563</v>
      </c>
      <c r="G1034" s="3" t="s">
        <v>110</v>
      </c>
      <c r="H1034" s="2" t="s">
        <v>55</v>
      </c>
      <c r="I1034" s="2" t="s">
        <v>3113</v>
      </c>
      <c r="J1034" s="3" t="str">
        <f>HYPERLINK("https://www.boe.es/gazeta/dias/1809/12/14/pdfs/GMD-1809-349.pdf#page=3","Abrir facsímil")</f>
        <v>Abrir facsímil</v>
      </c>
      <c r="K1034" s="3" t="s">
        <v>57</v>
      </c>
    </row>
    <row r="1035" spans="1:11" ht="42" customHeight="1">
      <c r="A1035" s="2" t="s">
        <v>3114</v>
      </c>
      <c r="B1035" s="2" t="s">
        <v>3115</v>
      </c>
      <c r="C1035" s="2" t="s">
        <v>39</v>
      </c>
      <c r="D1035" s="2" t="s">
        <v>18</v>
      </c>
      <c r="E1035" s="3" t="s">
        <v>442</v>
      </c>
      <c r="F1035" s="3" t="s">
        <v>443</v>
      </c>
      <c r="G1035" s="3" t="s">
        <v>2484</v>
      </c>
      <c r="H1035" s="2" t="s">
        <v>55</v>
      </c>
      <c r="I1035" s="2" t="s">
        <v>3116</v>
      </c>
      <c r="J1035" s="3" t="str">
        <f>HYPERLINK("https://www.boe.es/gazeta/dias/1809/09/05/pdfs/GGB-1809-152.pdf#page=8","Abrir facsímil")</f>
        <v>Abrir facsímil</v>
      </c>
      <c r="K1035" s="3" t="s">
        <v>57</v>
      </c>
    </row>
    <row r="1036" spans="1:11" ht="42" customHeight="1">
      <c r="A1036" s="2" t="s">
        <v>3117</v>
      </c>
      <c r="B1036" s="2" t="s">
        <v>3118</v>
      </c>
      <c r="C1036" s="2" t="s">
        <v>25</v>
      </c>
      <c r="D1036" s="2" t="s">
        <v>26</v>
      </c>
      <c r="E1036" s="3" t="s">
        <v>1514</v>
      </c>
      <c r="F1036" s="3" t="s">
        <v>1840</v>
      </c>
      <c r="G1036" s="3" t="s">
        <v>239</v>
      </c>
      <c r="H1036" s="2" t="s">
        <v>55</v>
      </c>
      <c r="I1036" s="2" t="s">
        <v>3119</v>
      </c>
      <c r="J1036" s="3" t="str">
        <f>HYPERLINK("https://www.boe.es/gazeta/dias/1809/04/17/pdfs/GGB-1809-19.pdf#page=7","Abrir facsímil")</f>
        <v>Abrir facsímil</v>
      </c>
      <c r="K1036" s="3" t="s">
        <v>57</v>
      </c>
    </row>
    <row r="1037" spans="1:11" ht="42" customHeight="1">
      <c r="A1037" s="2" t="s">
        <v>3120</v>
      </c>
      <c r="B1037" s="2" t="s">
        <v>3121</v>
      </c>
      <c r="C1037" s="2" t="s">
        <v>369</v>
      </c>
      <c r="D1037" s="2" t="s">
        <v>18</v>
      </c>
      <c r="E1037" s="3" t="s">
        <v>196</v>
      </c>
      <c r="F1037" s="3" t="s">
        <v>197</v>
      </c>
      <c r="G1037" s="3" t="s">
        <v>198</v>
      </c>
      <c r="H1037" s="2" t="s">
        <v>55</v>
      </c>
      <c r="I1037" s="2" t="s">
        <v>3122</v>
      </c>
      <c r="J1037" s="3" t="str">
        <f>HYPERLINK("https://www.boe.es/gazeta/dias/1809/09/04/pdfs/GMD-1809-248.pdf#page=3","Abrir facsímil")</f>
        <v>Abrir facsímil</v>
      </c>
      <c r="K1037" s="3" t="s">
        <v>57</v>
      </c>
    </row>
    <row r="1038" spans="1:11" ht="42" customHeight="1">
      <c r="A1038" s="2" t="s">
        <v>3123</v>
      </c>
      <c r="B1038" s="2" t="s">
        <v>3124</v>
      </c>
      <c r="C1038" s="2" t="s">
        <v>17</v>
      </c>
      <c r="D1038" s="2" t="s">
        <v>72</v>
      </c>
      <c r="E1038" s="3" t="s">
        <v>243</v>
      </c>
      <c r="F1038" s="3" t="s">
        <v>244</v>
      </c>
      <c r="G1038" s="3" t="s">
        <v>110</v>
      </c>
      <c r="H1038" s="2" t="s">
        <v>55</v>
      </c>
      <c r="I1038" s="2" t="s">
        <v>3125</v>
      </c>
      <c r="J1038" s="3" t="str">
        <f>HYPERLINK("https://www.boe.es/gazeta/dias/1809/02/17/pdfs/GGB-G-1809-8.pdf#page=5","Abrir facsímil")</f>
        <v>Abrir facsímil</v>
      </c>
      <c r="K1038" s="3" t="s">
        <v>57</v>
      </c>
    </row>
    <row r="1039" spans="1:11" ht="42" customHeight="1">
      <c r="A1039" s="2" t="s">
        <v>3126</v>
      </c>
      <c r="B1039" s="2" t="s">
        <v>3127</v>
      </c>
      <c r="C1039" s="2" t="s">
        <v>17</v>
      </c>
      <c r="D1039" s="2" t="s">
        <v>72</v>
      </c>
      <c r="E1039" s="3" t="s">
        <v>53</v>
      </c>
      <c r="F1039" s="3" t="s">
        <v>1456</v>
      </c>
      <c r="G1039" s="3" t="s">
        <v>62</v>
      </c>
      <c r="H1039" s="2" t="s">
        <v>55</v>
      </c>
      <c r="I1039" s="2" t="s">
        <v>3128</v>
      </c>
      <c r="J1039" s="3" t="str">
        <f>HYPERLINK("https://www.boe.es/gazeta/dias/1809/03/03/pdfs/GGB-G-1809-10.pdf#page=4","Abrir facsímil")</f>
        <v>Abrir facsímil</v>
      </c>
      <c r="K1039" s="3" t="s">
        <v>57</v>
      </c>
    </row>
    <row r="1040" spans="1:11" ht="42" customHeight="1">
      <c r="A1040" s="2" t="s">
        <v>3129</v>
      </c>
      <c r="B1040" s="2" t="s">
        <v>3130</v>
      </c>
      <c r="C1040" s="2" t="s">
        <v>17</v>
      </c>
      <c r="D1040" s="2" t="s">
        <v>72</v>
      </c>
      <c r="E1040" s="3" t="s">
        <v>243</v>
      </c>
      <c r="F1040" s="3" t="s">
        <v>244</v>
      </c>
      <c r="G1040" s="3" t="s">
        <v>110</v>
      </c>
      <c r="H1040" s="2" t="s">
        <v>55</v>
      </c>
      <c r="I1040" s="2" t="s">
        <v>3131</v>
      </c>
      <c r="J1040" s="3" t="str">
        <f>HYPERLINK("https://www.boe.es/gazeta/dias/1809/02/17/pdfs/GGB-G-1809-8.pdf#page=6","Abrir facsímil")</f>
        <v>Abrir facsímil</v>
      </c>
      <c r="K1040" s="3" t="s">
        <v>57</v>
      </c>
    </row>
    <row r="1041" spans="1:11" ht="42" customHeight="1">
      <c r="A1041" s="2" t="s">
        <v>3132</v>
      </c>
      <c r="B1041" s="2" t="s">
        <v>3133</v>
      </c>
      <c r="C1041" s="2" t="s">
        <v>25</v>
      </c>
      <c r="D1041" s="2" t="s">
        <v>72</v>
      </c>
      <c r="E1041" s="3" t="s">
        <v>473</v>
      </c>
      <c r="F1041" s="3" t="s">
        <v>1199</v>
      </c>
      <c r="G1041" s="3" t="s">
        <v>75</v>
      </c>
      <c r="H1041" s="2" t="s">
        <v>55</v>
      </c>
      <c r="I1041" s="2" t="s">
        <v>3134</v>
      </c>
      <c r="J1041" s="3" t="str">
        <f>HYPERLINK("https://www.boe.es/gazeta/dias/1809/12/28/pdfs/GGB-H-1809-642.pdf#page=4","Abrir facsímil")</f>
        <v>Abrir facsímil</v>
      </c>
      <c r="K1041" s="3" t="s">
        <v>57</v>
      </c>
    </row>
    <row r="1042" spans="1:11" ht="42" customHeight="1">
      <c r="A1042" s="2" t="s">
        <v>3135</v>
      </c>
      <c r="B1042" s="2" t="s">
        <v>3136</v>
      </c>
      <c r="C1042" s="2" t="s">
        <v>17</v>
      </c>
      <c r="D1042" s="2" t="s">
        <v>18</v>
      </c>
      <c r="E1042" s="3" t="s">
        <v>2060</v>
      </c>
      <c r="F1042" s="3" t="s">
        <v>2061</v>
      </c>
      <c r="G1042" s="3" t="s">
        <v>239</v>
      </c>
      <c r="H1042" s="2" t="s">
        <v>55</v>
      </c>
      <c r="I1042" s="2" t="s">
        <v>3137</v>
      </c>
      <c r="J1042" s="3" t="str">
        <f>HYPERLINK("https://www.boe.es/gazeta/dias/1809/07/18/pdfs/GGB-1809-46.pdf#page=11","Abrir facsímil")</f>
        <v>Abrir facsímil</v>
      </c>
      <c r="K1042" s="3" t="s">
        <v>57</v>
      </c>
    </row>
    <row r="1043" spans="1:11" ht="42" customHeight="1">
      <c r="A1043" s="2" t="s">
        <v>3138</v>
      </c>
      <c r="B1043" s="2" t="s">
        <v>3139</v>
      </c>
      <c r="C1043" s="2" t="s">
        <v>17</v>
      </c>
      <c r="D1043" s="2" t="s">
        <v>18</v>
      </c>
      <c r="E1043" s="3" t="s">
        <v>2249</v>
      </c>
      <c r="F1043" s="3" t="s">
        <v>2250</v>
      </c>
      <c r="G1043" s="3" t="s">
        <v>2251</v>
      </c>
      <c r="H1043" s="2" t="s">
        <v>55</v>
      </c>
      <c r="I1043" s="2" t="s">
        <v>3140</v>
      </c>
      <c r="J1043" s="3" t="str">
        <f>HYPERLINK("https://www.boe.es/gazeta/dias/1809/06/08/pdfs/GMD-1809-159.pdf#page=4","Abrir facsímil")</f>
        <v>Abrir facsímil</v>
      </c>
      <c r="K1043" s="3" t="s">
        <v>57</v>
      </c>
    </row>
    <row r="1044" spans="1:11" ht="42" customHeight="1">
      <c r="A1044" s="2" t="s">
        <v>3141</v>
      </c>
      <c r="B1044" s="2" t="s">
        <v>3142</v>
      </c>
      <c r="C1044" s="2" t="s">
        <v>25</v>
      </c>
      <c r="D1044" s="2" t="s">
        <v>26</v>
      </c>
      <c r="E1044" s="3" t="s">
        <v>1206</v>
      </c>
      <c r="F1044" s="3" t="s">
        <v>1207</v>
      </c>
      <c r="G1044" s="3" t="s">
        <v>2545</v>
      </c>
      <c r="H1044" s="2" t="s">
        <v>55</v>
      </c>
      <c r="I1044" s="2" t="s">
        <v>3143</v>
      </c>
      <c r="J1044" s="3" t="str">
        <f>HYPERLINK("https://www.boe.es/gazeta/dias/1809/09/23/pdfs/GGB-H-1809-232.pdf#page=6","Abrir facsímil")</f>
        <v>Abrir facsímil</v>
      </c>
      <c r="K1044" s="3" t="s">
        <v>57</v>
      </c>
    </row>
    <row r="1045" spans="1:11" ht="42" customHeight="1">
      <c r="A1045" s="2" t="s">
        <v>3144</v>
      </c>
      <c r="B1045" s="2" t="s">
        <v>3145</v>
      </c>
      <c r="C1045" s="2" t="s">
        <v>47</v>
      </c>
      <c r="D1045" s="2" t="s">
        <v>107</v>
      </c>
      <c r="E1045" s="3" t="s">
        <v>73</v>
      </c>
      <c r="F1045" s="3" t="s">
        <v>1045</v>
      </c>
      <c r="G1045" s="3" t="s">
        <v>89</v>
      </c>
      <c r="H1045" s="2" t="s">
        <v>55</v>
      </c>
      <c r="I1045" s="2" t="s">
        <v>3146</v>
      </c>
      <c r="J1045" s="3" t="str">
        <f>HYPERLINK("https://www.boe.es/gazeta/dias/1809/09/21/pdfs/GMD-1809-265.pdf#page=3","Abrir facsímil")</f>
        <v>Abrir facsímil</v>
      </c>
      <c r="K1045" s="3" t="s">
        <v>57</v>
      </c>
    </row>
    <row r="1046" spans="1:11" ht="42" customHeight="1">
      <c r="A1046" s="2" t="s">
        <v>3147</v>
      </c>
      <c r="B1046" s="2" t="s">
        <v>3148</v>
      </c>
      <c r="C1046" s="2" t="s">
        <v>39</v>
      </c>
      <c r="D1046" s="2" t="s">
        <v>72</v>
      </c>
      <c r="E1046" s="3" t="s">
        <v>1206</v>
      </c>
      <c r="F1046" s="3" t="s">
        <v>1207</v>
      </c>
      <c r="G1046" s="3" t="s">
        <v>3149</v>
      </c>
      <c r="H1046" s="2" t="s">
        <v>55</v>
      </c>
      <c r="I1046" s="2" t="s">
        <v>3150</v>
      </c>
      <c r="J1046" s="3" t="str">
        <f>HYPERLINK("https://www.boe.es/gazeta/dias/1809/09/23/pdfs/GGB-H-1809-232.pdf#page=2","Abrir facsímil")</f>
        <v>Abrir facsímil</v>
      </c>
      <c r="K1046" s="3" t="s">
        <v>57</v>
      </c>
    </row>
    <row r="1047" spans="1:11" ht="42" customHeight="1">
      <c r="A1047" s="2" t="s">
        <v>3151</v>
      </c>
      <c r="B1047" s="2" t="s">
        <v>3152</v>
      </c>
      <c r="C1047" s="2" t="s">
        <v>17</v>
      </c>
      <c r="D1047" s="2" t="s">
        <v>18</v>
      </c>
      <c r="E1047" s="3" t="s">
        <v>33</v>
      </c>
      <c r="F1047" s="3" t="s">
        <v>34</v>
      </c>
      <c r="G1047" s="3" t="s">
        <v>595</v>
      </c>
      <c r="H1047" s="2" t="s">
        <v>55</v>
      </c>
      <c r="I1047" s="2" t="s">
        <v>3153</v>
      </c>
      <c r="J1047" s="3" t="str">
        <f>HYPERLINK("https://www.boe.es/gazeta/dias/1809/12/19/pdfs/GGB-1809-602.pdf#page=7","Abrir facsímil")</f>
        <v>Abrir facsímil</v>
      </c>
      <c r="K1047" s="3" t="s">
        <v>57</v>
      </c>
    </row>
    <row r="1048" spans="1:11" ht="42" customHeight="1">
      <c r="A1048" s="2" t="s">
        <v>3154</v>
      </c>
      <c r="B1048" s="2" t="s">
        <v>3155</v>
      </c>
      <c r="C1048" s="2" t="s">
        <v>17</v>
      </c>
      <c r="D1048" s="2" t="s">
        <v>18</v>
      </c>
      <c r="E1048" s="3" t="s">
        <v>1551</v>
      </c>
      <c r="F1048" s="3" t="s">
        <v>1552</v>
      </c>
      <c r="G1048" s="3" t="s">
        <v>169</v>
      </c>
      <c r="H1048" s="2" t="s">
        <v>55</v>
      </c>
      <c r="I1048" s="2" t="s">
        <v>3156</v>
      </c>
      <c r="J1048" s="3" t="str">
        <f>HYPERLINK("https://www.boe.es/gazeta/dias/1809/06/12/pdfs/GGB-1809-36.pdf#page=11","Abrir facsímil")</f>
        <v>Abrir facsímil</v>
      </c>
      <c r="K1048" s="3" t="s">
        <v>57</v>
      </c>
    </row>
    <row r="1049" spans="1:11" ht="42" customHeight="1">
      <c r="A1049" s="2" t="s">
        <v>3157</v>
      </c>
      <c r="B1049" s="2" t="s">
        <v>3158</v>
      </c>
      <c r="C1049" s="2" t="s">
        <v>79</v>
      </c>
      <c r="D1049" s="2" t="s">
        <v>18</v>
      </c>
      <c r="E1049" s="3" t="s">
        <v>327</v>
      </c>
      <c r="F1049" s="3" t="s">
        <v>328</v>
      </c>
      <c r="G1049" s="3" t="s">
        <v>329</v>
      </c>
      <c r="H1049" s="2" t="s">
        <v>55</v>
      </c>
      <c r="I1049" s="2" t="s">
        <v>3159</v>
      </c>
      <c r="J1049" s="3" t="str">
        <f>HYPERLINK("https://www.boe.es/gazeta/dias/1809/09/14/pdfs/GGB-1809-192.pdf#page=8","Abrir facsímil")</f>
        <v>Abrir facsímil</v>
      </c>
      <c r="K1049" s="3" t="s">
        <v>57</v>
      </c>
    </row>
    <row r="1050" spans="1:11" ht="42" customHeight="1">
      <c r="A1050" s="2" t="s">
        <v>3160</v>
      </c>
      <c r="B1050" s="2" t="s">
        <v>3161</v>
      </c>
      <c r="C1050" s="2" t="s">
        <v>25</v>
      </c>
      <c r="D1050" s="2" t="s">
        <v>80</v>
      </c>
      <c r="E1050" s="3" t="s">
        <v>179</v>
      </c>
      <c r="F1050" s="3" t="s">
        <v>180</v>
      </c>
      <c r="G1050" s="3" t="s">
        <v>966</v>
      </c>
      <c r="H1050" s="2" t="s">
        <v>55</v>
      </c>
      <c r="I1050" s="2" t="s">
        <v>3162</v>
      </c>
      <c r="J1050" s="3" t="str">
        <f>HYPERLINK("https://www.boe.es/gazeta/dias/1809/12/08/pdfs/GGB-1809-552E.pdf#page=3","Abrir facsímil")</f>
        <v>Abrir facsímil</v>
      </c>
      <c r="K1050" s="3" t="s">
        <v>57</v>
      </c>
    </row>
    <row r="1051" spans="1:11" ht="42" customHeight="1">
      <c r="A1051" s="2" t="s">
        <v>3163</v>
      </c>
      <c r="B1051" s="2" t="s">
        <v>3164</v>
      </c>
      <c r="C1051" s="2" t="s">
        <v>17</v>
      </c>
      <c r="D1051" s="2" t="s">
        <v>18</v>
      </c>
      <c r="E1051" s="3" t="s">
        <v>1872</v>
      </c>
      <c r="F1051" s="3" t="s">
        <v>1873</v>
      </c>
      <c r="G1051" s="3" t="s">
        <v>1876</v>
      </c>
      <c r="H1051" s="2" t="s">
        <v>55</v>
      </c>
      <c r="I1051" s="2" t="s">
        <v>3165</v>
      </c>
      <c r="J1051" s="3" t="str">
        <f>HYPERLINK("https://www.boe.es/gazeta/dias/1809/11/07/pdfs/GGB-1809-422.pdf#page=6","Abrir facsímil")</f>
        <v>Abrir facsímil</v>
      </c>
      <c r="K1051" s="3" t="s">
        <v>57</v>
      </c>
    </row>
    <row r="1052" spans="1:11" ht="42" customHeight="1">
      <c r="A1052" s="2" t="s">
        <v>3166</v>
      </c>
      <c r="B1052" s="2" t="s">
        <v>3166</v>
      </c>
      <c r="C1052" s="2" t="s">
        <v>25</v>
      </c>
      <c r="D1052" s="2" t="s">
        <v>18</v>
      </c>
      <c r="E1052" s="3" t="s">
        <v>3167</v>
      </c>
      <c r="F1052" s="3" t="s">
        <v>3168</v>
      </c>
      <c r="G1052" s="3" t="s">
        <v>595</v>
      </c>
      <c r="H1052" s="2" t="s">
        <v>55</v>
      </c>
      <c r="I1052" s="2" t="s">
        <v>3169</v>
      </c>
      <c r="J1052" s="3" t="str">
        <f>HYPERLINK("https://www.boe.es/gazeta/dias/1809/04/07/pdfs/GGB-1809-15.pdf#page=7","Abrir facsímil")</f>
        <v>Abrir facsímil</v>
      </c>
      <c r="K1052" s="3" t="s">
        <v>57</v>
      </c>
    </row>
    <row r="1053" spans="1:11" ht="42" customHeight="1">
      <c r="A1053" s="2" t="s">
        <v>3170</v>
      </c>
      <c r="B1053" s="2" t="s">
        <v>3170</v>
      </c>
      <c r="C1053" s="2" t="s">
        <v>17</v>
      </c>
      <c r="D1053" s="2" t="s">
        <v>18</v>
      </c>
      <c r="E1053" s="3" t="s">
        <v>33</v>
      </c>
      <c r="F1053" s="3" t="s">
        <v>34</v>
      </c>
      <c r="G1053" s="3" t="s">
        <v>595</v>
      </c>
      <c r="H1053" s="2" t="s">
        <v>55</v>
      </c>
      <c r="I1053" s="2" t="s">
        <v>3171</v>
      </c>
      <c r="J1053" s="3" t="str">
        <f>HYPERLINK("https://www.boe.es/gazeta/dias/1809/12/19/pdfs/GGB-1809-602.pdf#page=7","Abrir facsímil")</f>
        <v>Abrir facsímil</v>
      </c>
      <c r="K1053" s="3" t="s">
        <v>57</v>
      </c>
    </row>
    <row r="1054" spans="1:11" ht="42" customHeight="1">
      <c r="A1054" s="2" t="s">
        <v>3172</v>
      </c>
      <c r="B1054" s="2" t="s">
        <v>3173</v>
      </c>
      <c r="C1054" s="2" t="s">
        <v>17</v>
      </c>
      <c r="D1054" s="2" t="s">
        <v>18</v>
      </c>
      <c r="E1054" s="3" t="s">
        <v>283</v>
      </c>
      <c r="F1054" s="3" t="s">
        <v>284</v>
      </c>
      <c r="G1054" s="3" t="s">
        <v>21</v>
      </c>
      <c r="H1054" s="2" t="s">
        <v>55</v>
      </c>
      <c r="I1054" s="2" t="s">
        <v>3174</v>
      </c>
      <c r="J1054" s="3" t="str">
        <f>HYPERLINK("https://www.boe.es/gazeta/dias/1809/02/09/pdfs/GMD-1809-40.pdf#page=4","Abrir facsímil")</f>
        <v>Abrir facsímil</v>
      </c>
      <c r="K1054" s="3" t="s">
        <v>57</v>
      </c>
    </row>
    <row r="1055" spans="1:11" ht="42" customHeight="1">
      <c r="A1055" s="2" t="s">
        <v>3172</v>
      </c>
      <c r="B1055" s="2" t="s">
        <v>3173</v>
      </c>
      <c r="C1055" s="2" t="s">
        <v>17</v>
      </c>
      <c r="D1055" s="2" t="s">
        <v>18</v>
      </c>
      <c r="E1055" s="3" t="s">
        <v>243</v>
      </c>
      <c r="F1055" s="3" t="s">
        <v>352</v>
      </c>
      <c r="G1055" s="3" t="s">
        <v>21</v>
      </c>
      <c r="H1055" s="2" t="s">
        <v>55</v>
      </c>
      <c r="I1055" s="2" t="s">
        <v>3175</v>
      </c>
      <c r="J1055" s="3" t="str">
        <f>HYPERLINK("https://www.boe.es/gazeta/dias/1809/02/17/pdfs/GMD-1809-48.pdf#page=8","Abrir facsímil")</f>
        <v>Abrir facsímil</v>
      </c>
      <c r="K1055" s="3" t="s">
        <v>57</v>
      </c>
    </row>
    <row r="1056" spans="1:11" ht="42" customHeight="1">
      <c r="A1056" s="2" t="s">
        <v>3176</v>
      </c>
      <c r="B1056" s="2" t="s">
        <v>3177</v>
      </c>
      <c r="C1056" s="2" t="s">
        <v>17</v>
      </c>
      <c r="D1056" s="2" t="s">
        <v>72</v>
      </c>
      <c r="E1056" s="3" t="s">
        <v>3178</v>
      </c>
      <c r="F1056" s="3" t="s">
        <v>3179</v>
      </c>
      <c r="G1056" s="3" t="s">
        <v>396</v>
      </c>
      <c r="H1056" s="2" t="s">
        <v>55</v>
      </c>
      <c r="I1056" s="2" t="s">
        <v>3180</v>
      </c>
      <c r="J1056" s="3" t="str">
        <f>HYPERLINK("https://www.boe.es/gazeta/dias/1809/04/20/pdfs/GMD-E-1809-110.pdf#page=1","Abrir facsímil")</f>
        <v>Abrir facsímil</v>
      </c>
      <c r="K1056" s="3" t="s">
        <v>57</v>
      </c>
    </row>
    <row r="1057" spans="1:11" ht="42" customHeight="1">
      <c r="A1057" s="2" t="s">
        <v>3181</v>
      </c>
      <c r="B1057" s="2" t="s">
        <v>3182</v>
      </c>
      <c r="C1057" s="2" t="s">
        <v>17</v>
      </c>
      <c r="D1057" s="2" t="s">
        <v>18</v>
      </c>
      <c r="E1057" s="3" t="s">
        <v>33</v>
      </c>
      <c r="F1057" s="3" t="s">
        <v>34</v>
      </c>
      <c r="G1057" s="3" t="s">
        <v>595</v>
      </c>
      <c r="H1057" s="2" t="s">
        <v>55</v>
      </c>
      <c r="I1057" s="2" t="s">
        <v>3183</v>
      </c>
      <c r="J1057" s="3" t="str">
        <f>HYPERLINK("https://www.boe.es/gazeta/dias/1809/12/19/pdfs/GGB-1809-602.pdf#page=7","Abrir facsímil")</f>
        <v>Abrir facsímil</v>
      </c>
      <c r="K1057" s="3" t="s">
        <v>57</v>
      </c>
    </row>
    <row r="1058" spans="1:11" ht="42" customHeight="1">
      <c r="A1058" s="2" t="s">
        <v>3184</v>
      </c>
      <c r="B1058" s="2" t="s">
        <v>3184</v>
      </c>
      <c r="C1058" s="2" t="s">
        <v>25</v>
      </c>
      <c r="D1058" s="2" t="s">
        <v>72</v>
      </c>
      <c r="E1058" s="3" t="s">
        <v>118</v>
      </c>
      <c r="F1058" s="3" t="s">
        <v>819</v>
      </c>
      <c r="G1058" s="3" t="s">
        <v>541</v>
      </c>
      <c r="H1058" s="2" t="s">
        <v>55</v>
      </c>
      <c r="I1058" s="2" t="s">
        <v>3185</v>
      </c>
      <c r="J1058" s="3" t="str">
        <f>HYPERLINK("https://www.boe.es/gazeta/dias/1809/09/07/pdfs/GGB-H-1809-162.pdf#page=6","Abrir facsímil")</f>
        <v>Abrir facsímil</v>
      </c>
      <c r="K1058" s="3" t="s">
        <v>57</v>
      </c>
    </row>
    <row r="1059" spans="1:11" ht="42" customHeight="1">
      <c r="A1059" s="2" t="s">
        <v>3186</v>
      </c>
      <c r="B1059" s="2" t="s">
        <v>3186</v>
      </c>
      <c r="C1059" s="2" t="s">
        <v>25</v>
      </c>
      <c r="D1059" s="2" t="s">
        <v>26</v>
      </c>
      <c r="E1059" s="3" t="s">
        <v>118</v>
      </c>
      <c r="F1059" s="3" t="s">
        <v>819</v>
      </c>
      <c r="G1059" s="3" t="s">
        <v>826</v>
      </c>
      <c r="H1059" s="2" t="s">
        <v>55</v>
      </c>
      <c r="I1059" s="2" t="s">
        <v>3187</v>
      </c>
      <c r="J1059" s="3" t="str">
        <f>HYPERLINK("https://www.boe.es/gazeta/dias/1809/09/07/pdfs/GGB-H-1809-162.pdf#page=4","Abrir facsímil")</f>
        <v>Abrir facsímil</v>
      </c>
      <c r="K1059" s="3" t="s">
        <v>57</v>
      </c>
    </row>
    <row r="1060" spans="1:11" ht="42" customHeight="1">
      <c r="A1060" s="2" t="s">
        <v>3188</v>
      </c>
      <c r="B1060" s="2" t="s">
        <v>3188</v>
      </c>
      <c r="C1060" s="2" t="s">
        <v>25</v>
      </c>
      <c r="D1060" s="2" t="s">
        <v>18</v>
      </c>
      <c r="E1060" s="3" t="s">
        <v>152</v>
      </c>
      <c r="F1060" s="3" t="s">
        <v>153</v>
      </c>
      <c r="G1060" s="3" t="s">
        <v>2010</v>
      </c>
      <c r="H1060" s="2" t="s">
        <v>55</v>
      </c>
      <c r="I1060" s="2" t="s">
        <v>3189</v>
      </c>
      <c r="J1060" s="3" t="str">
        <f>HYPERLINK("https://www.boe.es/gazeta/dias/1809/08/26/pdfs/GGB-1809-112.pdf#page=4","Abrir facsímil")</f>
        <v>Abrir facsímil</v>
      </c>
      <c r="K1060" s="3" t="s">
        <v>57</v>
      </c>
    </row>
    <row r="1061" spans="1:11" ht="42" customHeight="1">
      <c r="A1061" s="2" t="s">
        <v>3190</v>
      </c>
      <c r="B1061" s="2" t="s">
        <v>3190</v>
      </c>
      <c r="C1061" s="2" t="s">
        <v>25</v>
      </c>
      <c r="D1061" s="2" t="s">
        <v>26</v>
      </c>
      <c r="E1061" s="3" t="s">
        <v>322</v>
      </c>
      <c r="F1061" s="3" t="s">
        <v>435</v>
      </c>
      <c r="G1061" s="3" t="s">
        <v>437</v>
      </c>
      <c r="H1061" s="2" t="s">
        <v>55</v>
      </c>
      <c r="I1061" s="2" t="s">
        <v>3191</v>
      </c>
      <c r="J1061" s="3" t="str">
        <f>HYPERLINK("https://www.boe.es/gazeta/dias/1809/07/21/pdfs/GGB-1809-47.pdf#page=10","Abrir facsímil")</f>
        <v>Abrir facsímil</v>
      </c>
      <c r="K1061" s="3" t="s">
        <v>57</v>
      </c>
    </row>
    <row r="1062" spans="1:11" ht="42" customHeight="1">
      <c r="A1062" s="2" t="s">
        <v>3192</v>
      </c>
      <c r="B1062" s="2" t="s">
        <v>3192</v>
      </c>
      <c r="C1062" s="2" t="s">
        <v>25</v>
      </c>
      <c r="D1062" s="2" t="s">
        <v>26</v>
      </c>
      <c r="E1062" s="3" t="s">
        <v>1581</v>
      </c>
      <c r="F1062" s="3" t="s">
        <v>1582</v>
      </c>
      <c r="G1062" s="3" t="s">
        <v>1152</v>
      </c>
      <c r="H1062" s="2" t="s">
        <v>55</v>
      </c>
      <c r="I1062" s="2" t="s">
        <v>3193</v>
      </c>
      <c r="J1062" s="3" t="str">
        <f>HYPERLINK("https://www.boe.es/gazeta/dias/1809/05/30/pdfs/GMD-1809-150.pdf#page=2","Abrir facsímil")</f>
        <v>Abrir facsímil</v>
      </c>
      <c r="K1062" s="3" t="s">
        <v>57</v>
      </c>
    </row>
    <row r="1063" spans="1:11" ht="42" customHeight="1">
      <c r="A1063" s="2" t="s">
        <v>3194</v>
      </c>
      <c r="B1063" s="2" t="s">
        <v>3194</v>
      </c>
      <c r="C1063" s="2" t="s">
        <v>131</v>
      </c>
      <c r="D1063" s="2" t="s">
        <v>107</v>
      </c>
      <c r="E1063" s="3" t="s">
        <v>3195</v>
      </c>
      <c r="F1063" s="3" t="s">
        <v>3196</v>
      </c>
      <c r="G1063" s="3" t="s">
        <v>129</v>
      </c>
      <c r="H1063" s="2" t="s">
        <v>55</v>
      </c>
      <c r="I1063" s="2" t="s">
        <v>3197</v>
      </c>
      <c r="J1063" s="3" t="str">
        <f>HYPERLINK("https://www.boe.es/gazeta/dias/1809/01/26/pdfs/GMD-1809-26.pdf#page=2","Abrir facsímil")</f>
        <v>Abrir facsímil</v>
      </c>
      <c r="K1063" s="3" t="s">
        <v>57</v>
      </c>
    </row>
    <row r="1064" spans="1:11" ht="42" customHeight="1">
      <c r="A1064" s="2" t="s">
        <v>3198</v>
      </c>
      <c r="B1064" s="2" t="s">
        <v>3198</v>
      </c>
      <c r="C1064" s="2" t="s">
        <v>25</v>
      </c>
      <c r="D1064" s="2" t="s">
        <v>26</v>
      </c>
      <c r="E1064" s="3" t="s">
        <v>243</v>
      </c>
      <c r="F1064" s="3" t="s">
        <v>352</v>
      </c>
      <c r="G1064" s="3" t="s">
        <v>110</v>
      </c>
      <c r="H1064" s="2" t="s">
        <v>55</v>
      </c>
      <c r="I1064" s="2" t="s">
        <v>3199</v>
      </c>
      <c r="J1064" s="3" t="str">
        <f>HYPERLINK("https://www.boe.es/gazeta/dias/1809/02/17/pdfs/GMD-1809-48.pdf#page=2","Abrir facsímil")</f>
        <v>Abrir facsímil</v>
      </c>
      <c r="K1064" s="3" t="s">
        <v>57</v>
      </c>
    </row>
    <row r="1065" spans="1:11" ht="42" customHeight="1">
      <c r="A1065" s="2" t="s">
        <v>3200</v>
      </c>
      <c r="B1065" s="2" t="s">
        <v>3201</v>
      </c>
      <c r="C1065" s="2" t="s">
        <v>25</v>
      </c>
      <c r="D1065" s="2" t="s">
        <v>18</v>
      </c>
      <c r="E1065" s="3" t="s">
        <v>1598</v>
      </c>
      <c r="F1065" s="3" t="s">
        <v>1599</v>
      </c>
      <c r="G1065" s="3" t="s">
        <v>94</v>
      </c>
      <c r="H1065" s="2" t="s">
        <v>55</v>
      </c>
      <c r="I1065" s="2" t="s">
        <v>3202</v>
      </c>
      <c r="J1065" s="3" t="str">
        <f>HYPERLINK("https://www.boe.es/gazeta/dias/1809/01/10/pdfs/GMS-1809-65.pdf#page=5","Abrir facsímil")</f>
        <v>Abrir facsímil</v>
      </c>
      <c r="K1065" s="3" t="s">
        <v>57</v>
      </c>
    </row>
    <row r="1066" spans="1:11" ht="42" customHeight="1">
      <c r="A1066" s="2" t="s">
        <v>3203</v>
      </c>
      <c r="B1066" s="2" t="s">
        <v>3203</v>
      </c>
      <c r="C1066" s="2" t="s">
        <v>288</v>
      </c>
      <c r="D1066" s="2" t="s">
        <v>18</v>
      </c>
      <c r="E1066" s="3" t="s">
        <v>1635</v>
      </c>
      <c r="F1066" s="3" t="s">
        <v>1636</v>
      </c>
      <c r="G1066" s="3" t="s">
        <v>914</v>
      </c>
      <c r="H1066" s="2" t="s">
        <v>55</v>
      </c>
      <c r="I1066" s="2" t="s">
        <v>3204</v>
      </c>
      <c r="J1066" s="3" t="str">
        <f>HYPERLINK("https://www.boe.es/gazeta/dias/1809/09/15/pdfs/GMD-1809-259.pdf#page=4","Abrir facsímil")</f>
        <v>Abrir facsímil</v>
      </c>
      <c r="K1066" s="3" t="s">
        <v>57</v>
      </c>
    </row>
    <row r="1067" spans="1:11" ht="42" customHeight="1">
      <c r="A1067" s="2" t="s">
        <v>3203</v>
      </c>
      <c r="B1067" s="2" t="s">
        <v>3203</v>
      </c>
      <c r="C1067" s="2" t="s">
        <v>17</v>
      </c>
      <c r="D1067" s="2" t="s">
        <v>18</v>
      </c>
      <c r="E1067" s="3" t="s">
        <v>33</v>
      </c>
      <c r="F1067" s="3" t="s">
        <v>34</v>
      </c>
      <c r="G1067" s="3" t="s">
        <v>493</v>
      </c>
      <c r="H1067" s="2" t="s">
        <v>55</v>
      </c>
      <c r="I1067" s="2" t="s">
        <v>3205</v>
      </c>
      <c r="J1067" s="3" t="str">
        <f>HYPERLINK("https://www.boe.es/gazeta/dias/1809/12/19/pdfs/GGB-1809-602.pdf#page=6","Abrir facsímil")</f>
        <v>Abrir facsímil</v>
      </c>
      <c r="K1067" s="3" t="s">
        <v>57</v>
      </c>
    </row>
    <row r="1068" spans="1:11" ht="42" customHeight="1">
      <c r="A1068" s="2" t="s">
        <v>3206</v>
      </c>
      <c r="B1068" s="2" t="s">
        <v>3206</v>
      </c>
      <c r="C1068" s="2" t="s">
        <v>131</v>
      </c>
      <c r="D1068" s="2" t="s">
        <v>26</v>
      </c>
      <c r="E1068" s="3" t="s">
        <v>1007</v>
      </c>
      <c r="F1068" s="3" t="s">
        <v>1008</v>
      </c>
      <c r="G1068" s="3" t="s">
        <v>525</v>
      </c>
      <c r="H1068" s="2" t="s">
        <v>55</v>
      </c>
      <c r="I1068" s="2" t="s">
        <v>3207</v>
      </c>
      <c r="J1068" s="3" t="str">
        <f>HYPERLINK("https://www.boe.es/gazeta/dias/1809/04/14/pdfs/GMD-1809-104.pdf#page=1","Abrir facsímil")</f>
        <v>Abrir facsímil</v>
      </c>
      <c r="K1068" s="3" t="s">
        <v>57</v>
      </c>
    </row>
    <row r="1069" spans="1:11" ht="42" customHeight="1">
      <c r="A1069" s="2" t="s">
        <v>3206</v>
      </c>
      <c r="B1069" s="2" t="s">
        <v>3206</v>
      </c>
      <c r="C1069" s="2" t="s">
        <v>25</v>
      </c>
      <c r="D1069" s="2" t="s">
        <v>26</v>
      </c>
      <c r="E1069" s="3" t="s">
        <v>663</v>
      </c>
      <c r="F1069" s="3" t="s">
        <v>664</v>
      </c>
      <c r="G1069" s="3" t="s">
        <v>3208</v>
      </c>
      <c r="H1069" s="2" t="s">
        <v>55</v>
      </c>
      <c r="I1069" s="2" t="s">
        <v>3209</v>
      </c>
      <c r="J1069" s="3" t="str">
        <f>HYPERLINK("https://www.boe.es/gazeta/dias/1809/08/21/pdfs/GMD-1809-234.pdf#page=1","Abrir facsímil")</f>
        <v>Abrir facsímil</v>
      </c>
      <c r="K1069" s="3" t="s">
        <v>57</v>
      </c>
    </row>
    <row r="1070" spans="1:11" ht="42" customHeight="1">
      <c r="A1070" s="2" t="s">
        <v>3210</v>
      </c>
      <c r="B1070" s="2" t="s">
        <v>3210</v>
      </c>
      <c r="C1070" s="2" t="s">
        <v>17</v>
      </c>
      <c r="D1070" s="2" t="s">
        <v>18</v>
      </c>
      <c r="E1070" s="3" t="s">
        <v>113</v>
      </c>
      <c r="F1070" s="3" t="s">
        <v>114</v>
      </c>
      <c r="G1070" s="3" t="s">
        <v>115</v>
      </c>
      <c r="H1070" s="2" t="s">
        <v>55</v>
      </c>
      <c r="I1070" s="2" t="s">
        <v>3211</v>
      </c>
      <c r="J1070" s="3" t="str">
        <f>HYPERLINK("https://www.boe.es/gazeta/dias/1809/04/24/pdfs/GMD-1809-114.pdf#page=2","Abrir facsímil")</f>
        <v>Abrir facsímil</v>
      </c>
      <c r="K1070" s="3" t="s">
        <v>57</v>
      </c>
    </row>
    <row r="1071" spans="1:11" ht="42" customHeight="1">
      <c r="A1071" s="2" t="s">
        <v>3210</v>
      </c>
      <c r="B1071" s="2" t="s">
        <v>3210</v>
      </c>
      <c r="C1071" s="2" t="s">
        <v>131</v>
      </c>
      <c r="D1071" s="2" t="s">
        <v>18</v>
      </c>
      <c r="E1071" s="3" t="s">
        <v>2691</v>
      </c>
      <c r="F1071" s="3" t="s">
        <v>2692</v>
      </c>
      <c r="G1071" s="3" t="s">
        <v>3212</v>
      </c>
      <c r="H1071" s="2" t="s">
        <v>55</v>
      </c>
      <c r="I1071" s="2" t="s">
        <v>3213</v>
      </c>
      <c r="J1071" s="3" t="str">
        <f>HYPERLINK("https://www.boe.es/gazeta/dias/1809/08/27/pdfs/GMD-1809-240.pdf#page=1","Abrir facsímil")</f>
        <v>Abrir facsímil</v>
      </c>
      <c r="K1071" s="3" t="s">
        <v>57</v>
      </c>
    </row>
    <row r="1072" spans="1:11" ht="42" customHeight="1">
      <c r="A1072" s="2" t="s">
        <v>3210</v>
      </c>
      <c r="B1072" s="2" t="s">
        <v>3210</v>
      </c>
      <c r="C1072" s="2" t="s">
        <v>131</v>
      </c>
      <c r="D1072" s="2" t="s">
        <v>18</v>
      </c>
      <c r="E1072" s="3" t="s">
        <v>3214</v>
      </c>
      <c r="F1072" s="3" t="s">
        <v>3215</v>
      </c>
      <c r="G1072" s="3" t="s">
        <v>3216</v>
      </c>
      <c r="H1072" s="2" t="s">
        <v>55</v>
      </c>
      <c r="I1072" s="2" t="s">
        <v>3217</v>
      </c>
      <c r="J1072" s="3" t="str">
        <f>HYPERLINK("https://www.boe.es/gazeta/dias/1809/09/11/pdfs/GMD-1809-255.pdf#page=1","Abrir facsímil")</f>
        <v>Abrir facsímil</v>
      </c>
      <c r="K1072" s="3" t="s">
        <v>57</v>
      </c>
    </row>
    <row r="1073" spans="1:11" ht="42" customHeight="1">
      <c r="A1073" s="2" t="s">
        <v>3210</v>
      </c>
      <c r="B1073" s="2" t="s">
        <v>3210</v>
      </c>
      <c r="C1073" s="2" t="s">
        <v>25</v>
      </c>
      <c r="D1073" s="2" t="s">
        <v>26</v>
      </c>
      <c r="E1073" s="3" t="s">
        <v>147</v>
      </c>
      <c r="F1073" s="3" t="s">
        <v>148</v>
      </c>
      <c r="G1073" s="3" t="s">
        <v>110</v>
      </c>
      <c r="H1073" s="2" t="s">
        <v>55</v>
      </c>
      <c r="I1073" s="2" t="s">
        <v>3218</v>
      </c>
      <c r="J1073" s="3" t="str">
        <f>HYPERLINK("https://www.boe.es/gazeta/dias/1809/10/07/pdfs/GGB-1809-292.pdf#page=3","Abrir facsímil")</f>
        <v>Abrir facsímil</v>
      </c>
      <c r="K1073" s="3" t="s">
        <v>57</v>
      </c>
    </row>
    <row r="1074" spans="1:11" ht="42" customHeight="1">
      <c r="A1074" s="2" t="s">
        <v>3210</v>
      </c>
      <c r="B1074" s="2" t="s">
        <v>3210</v>
      </c>
      <c r="C1074" s="2" t="s">
        <v>17</v>
      </c>
      <c r="D1074" s="2" t="s">
        <v>18</v>
      </c>
      <c r="E1074" s="3" t="s">
        <v>771</v>
      </c>
      <c r="F1074" s="3" t="s">
        <v>3219</v>
      </c>
      <c r="G1074" s="3" t="s">
        <v>239</v>
      </c>
      <c r="H1074" s="2" t="s">
        <v>55</v>
      </c>
      <c r="I1074" s="2" t="s">
        <v>3220</v>
      </c>
      <c r="J1074" s="3" t="str">
        <f>HYPERLINK("https://www.boe.es/gazeta/dias/1809/10/31/pdfs/GMD-1809-305.pdf#page=1","Abrir facsímil")</f>
        <v>Abrir facsímil</v>
      </c>
      <c r="K1074" s="3" t="s">
        <v>57</v>
      </c>
    </row>
    <row r="1075" spans="1:11" ht="42" customHeight="1">
      <c r="A1075" s="2" t="s">
        <v>3221</v>
      </c>
      <c r="B1075" s="2" t="s">
        <v>3221</v>
      </c>
      <c r="C1075" s="2" t="s">
        <v>25</v>
      </c>
      <c r="D1075" s="2" t="s">
        <v>26</v>
      </c>
      <c r="E1075" s="3" t="s">
        <v>712</v>
      </c>
      <c r="F1075" s="3" t="s">
        <v>713</v>
      </c>
      <c r="G1075" s="3" t="s">
        <v>154</v>
      </c>
      <c r="H1075" s="2" t="s">
        <v>55</v>
      </c>
      <c r="I1075" s="2" t="s">
        <v>3222</v>
      </c>
      <c r="J1075" s="3" t="str">
        <f>HYPERLINK("https://www.boe.es/gazeta/dias/1809/09/10/pdfs/GMD-1809-254.pdf#page=3","Abrir facsímil")</f>
        <v>Abrir facsímil</v>
      </c>
      <c r="K1075" s="3" t="s">
        <v>57</v>
      </c>
    </row>
    <row r="1076" spans="1:11" ht="42" customHeight="1">
      <c r="A1076" s="2" t="s">
        <v>3221</v>
      </c>
      <c r="B1076" s="2" t="s">
        <v>3221</v>
      </c>
      <c r="C1076" s="2" t="s">
        <v>25</v>
      </c>
      <c r="D1076" s="2" t="s">
        <v>18</v>
      </c>
      <c r="E1076" s="3" t="s">
        <v>211</v>
      </c>
      <c r="F1076" s="3" t="s">
        <v>212</v>
      </c>
      <c r="G1076" s="3" t="s">
        <v>467</v>
      </c>
      <c r="H1076" s="2" t="s">
        <v>55</v>
      </c>
      <c r="I1076" s="2" t="s">
        <v>3223</v>
      </c>
      <c r="J1076" s="3" t="str">
        <f>HYPERLINK("https://www.boe.es/gazeta/dias/1809/10/27/pdfs/GMD-1809-301.pdf#page=2","Abrir facsímil")</f>
        <v>Abrir facsímil</v>
      </c>
      <c r="K1076" s="3" t="s">
        <v>57</v>
      </c>
    </row>
    <row r="1077" spans="1:11" ht="42" customHeight="1">
      <c r="A1077" s="2" t="s">
        <v>3221</v>
      </c>
      <c r="B1077" s="2" t="s">
        <v>3221</v>
      </c>
      <c r="C1077" s="2" t="s">
        <v>25</v>
      </c>
      <c r="D1077" s="2" t="s">
        <v>72</v>
      </c>
      <c r="E1077" s="3" t="s">
        <v>216</v>
      </c>
      <c r="F1077" s="3" t="s">
        <v>217</v>
      </c>
      <c r="G1077" s="3" t="s">
        <v>75</v>
      </c>
      <c r="H1077" s="2" t="s">
        <v>55</v>
      </c>
      <c r="I1077" s="2" t="s">
        <v>3224</v>
      </c>
      <c r="J1077" s="3" t="str">
        <f>HYPERLINK("https://www.boe.es/gazeta/dias/1809/12/05/pdfs/GGB-H-1809-542.pdf#page=2","Abrir facsímil")</f>
        <v>Abrir facsímil</v>
      </c>
      <c r="K1077" s="3" t="s">
        <v>57</v>
      </c>
    </row>
    <row r="1078" spans="1:11" ht="42" customHeight="1">
      <c r="A1078" s="2" t="s">
        <v>3225</v>
      </c>
      <c r="B1078" s="2" t="s">
        <v>3226</v>
      </c>
      <c r="C1078" s="2" t="s">
        <v>25</v>
      </c>
      <c r="D1078" s="2" t="s">
        <v>18</v>
      </c>
      <c r="E1078" s="3" t="s">
        <v>1343</v>
      </c>
      <c r="F1078" s="3" t="s">
        <v>1344</v>
      </c>
      <c r="G1078" s="3" t="s">
        <v>340</v>
      </c>
      <c r="H1078" s="2" t="s">
        <v>55</v>
      </c>
      <c r="I1078" s="2" t="s">
        <v>3227</v>
      </c>
      <c r="J1078" s="3" t="str">
        <f>HYPERLINK("https://www.boe.es/gazeta/dias/1809/07/24/pdfs/GMD-1809-205.pdf#page=4","Abrir facsímil")</f>
        <v>Abrir facsímil</v>
      </c>
      <c r="K1078" s="3" t="s">
        <v>57</v>
      </c>
    </row>
    <row r="1079" spans="1:11" ht="42" customHeight="1">
      <c r="A1079" s="2" t="s">
        <v>3228</v>
      </c>
      <c r="B1079" s="2" t="s">
        <v>3228</v>
      </c>
      <c r="C1079" s="2" t="s">
        <v>131</v>
      </c>
      <c r="D1079" s="2" t="s">
        <v>26</v>
      </c>
      <c r="E1079" s="3" t="s">
        <v>1352</v>
      </c>
      <c r="F1079" s="3" t="s">
        <v>1353</v>
      </c>
      <c r="G1079" s="3" t="s">
        <v>89</v>
      </c>
      <c r="H1079" s="2" t="s">
        <v>55</v>
      </c>
      <c r="I1079" s="2" t="s">
        <v>3229</v>
      </c>
      <c r="J1079" s="3" t="str">
        <f>HYPERLINK("https://www.boe.es/gazeta/dias/1809/05/27/pdfs/GMD-1809-147.pdf#page=2","Abrir facsímil")</f>
        <v>Abrir facsímil</v>
      </c>
      <c r="K1079" s="3" t="s">
        <v>57</v>
      </c>
    </row>
    <row r="1080" spans="1:11" ht="42" customHeight="1">
      <c r="A1080" s="2" t="s">
        <v>3228</v>
      </c>
      <c r="B1080" s="2" t="s">
        <v>3228</v>
      </c>
      <c r="C1080" s="2" t="s">
        <v>131</v>
      </c>
      <c r="D1080" s="2" t="s">
        <v>26</v>
      </c>
      <c r="E1080" s="3" t="s">
        <v>3051</v>
      </c>
      <c r="F1080" s="3" t="s">
        <v>3052</v>
      </c>
      <c r="G1080" s="3" t="s">
        <v>136</v>
      </c>
      <c r="H1080" s="2" t="s">
        <v>55</v>
      </c>
      <c r="I1080" s="2" t="s">
        <v>3230</v>
      </c>
      <c r="J1080" s="3" t="str">
        <f>HYPERLINK("https://www.boe.es/gazeta/dias/1809/06/06/pdfs/GMD-1809-157.pdf#page=1","Abrir facsímil")</f>
        <v>Abrir facsímil</v>
      </c>
      <c r="K1080" s="3" t="s">
        <v>57</v>
      </c>
    </row>
    <row r="1081" spans="1:11" ht="42" customHeight="1">
      <c r="A1081" s="2" t="s">
        <v>3228</v>
      </c>
      <c r="B1081" s="2" t="s">
        <v>3228</v>
      </c>
      <c r="C1081" s="2" t="s">
        <v>25</v>
      </c>
      <c r="D1081" s="2" t="s">
        <v>18</v>
      </c>
      <c r="E1081" s="3" t="s">
        <v>464</v>
      </c>
      <c r="F1081" s="3" t="s">
        <v>465</v>
      </c>
      <c r="G1081" s="3" t="s">
        <v>3066</v>
      </c>
      <c r="H1081" s="2" t="s">
        <v>55</v>
      </c>
      <c r="I1081" s="2" t="s">
        <v>3231</v>
      </c>
      <c r="J1081" s="3" t="str">
        <f>HYPERLINK("https://www.boe.es/gazeta/dias/1809/07/05/pdfs/GMD-1809-186.pdf#page=1","Abrir facsímil")</f>
        <v>Abrir facsímil</v>
      </c>
      <c r="K1081" s="3" t="s">
        <v>57</v>
      </c>
    </row>
    <row r="1082" spans="1:11" ht="42" customHeight="1">
      <c r="A1082" s="2" t="s">
        <v>3232</v>
      </c>
      <c r="B1082" s="2" t="s">
        <v>3233</v>
      </c>
      <c r="C1082" s="2" t="s">
        <v>17</v>
      </c>
      <c r="D1082" s="2" t="s">
        <v>72</v>
      </c>
      <c r="E1082" s="3" t="s">
        <v>394</v>
      </c>
      <c r="F1082" s="3" t="s">
        <v>395</v>
      </c>
      <c r="G1082" s="3" t="s">
        <v>396</v>
      </c>
      <c r="H1082" s="2" t="s">
        <v>55</v>
      </c>
      <c r="I1082" s="2" t="s">
        <v>3234</v>
      </c>
      <c r="J1082" s="3" t="str">
        <f>HYPERLINK("https://www.boe.es/gazeta/dias/1809/12/14/pdfs/GGB-H-1809-582.pdf#page=2","Abrir facsímil")</f>
        <v>Abrir facsímil</v>
      </c>
      <c r="K1082" s="3" t="s">
        <v>57</v>
      </c>
    </row>
    <row r="1083" spans="1:11" ht="42" customHeight="1">
      <c r="A1083" s="2" t="s">
        <v>3235</v>
      </c>
      <c r="B1083" s="2" t="s">
        <v>3236</v>
      </c>
      <c r="C1083" s="2" t="s">
        <v>25</v>
      </c>
      <c r="D1083" s="2" t="s">
        <v>72</v>
      </c>
      <c r="E1083" s="3" t="s">
        <v>147</v>
      </c>
      <c r="F1083" s="3" t="s">
        <v>562</v>
      </c>
      <c r="G1083" s="3" t="s">
        <v>563</v>
      </c>
      <c r="H1083" s="2" t="s">
        <v>55</v>
      </c>
      <c r="I1083" s="2" t="s">
        <v>3237</v>
      </c>
      <c r="J1083" s="3" t="str">
        <f>HYPERLINK("https://www.boe.es/gazeta/dias/1809/10/07/pdfs/GGB-H-1809-292.pdf#page=8","Abrir facsímil")</f>
        <v>Abrir facsímil</v>
      </c>
      <c r="K1083" s="3" t="s">
        <v>57</v>
      </c>
    </row>
    <row r="1084" spans="1:11" ht="42" customHeight="1">
      <c r="A1084" s="2" t="s">
        <v>3238</v>
      </c>
      <c r="B1084" s="2" t="s">
        <v>3239</v>
      </c>
      <c r="C1084" s="2" t="s">
        <v>17</v>
      </c>
      <c r="D1084" s="2" t="s">
        <v>18</v>
      </c>
      <c r="E1084" s="3" t="s">
        <v>196</v>
      </c>
      <c r="F1084" s="3" t="s">
        <v>197</v>
      </c>
      <c r="G1084" s="3" t="s">
        <v>198</v>
      </c>
      <c r="H1084" s="2" t="s">
        <v>55</v>
      </c>
      <c r="I1084" s="2" t="s">
        <v>3240</v>
      </c>
      <c r="J1084" s="3" t="str">
        <f>HYPERLINK("https://www.boe.es/gazeta/dias/1809/09/04/pdfs/GMD-1809-248.pdf#page=3","Abrir facsímil")</f>
        <v>Abrir facsímil</v>
      </c>
      <c r="K1084" s="3" t="s">
        <v>57</v>
      </c>
    </row>
    <row r="1085" spans="1:11" ht="42" customHeight="1">
      <c r="A1085" s="2" t="s">
        <v>3241</v>
      </c>
      <c r="B1085" s="2" t="s">
        <v>3241</v>
      </c>
      <c r="C1085" s="2" t="s">
        <v>25</v>
      </c>
      <c r="D1085" s="2" t="s">
        <v>72</v>
      </c>
      <c r="E1085" s="3" t="s">
        <v>2244</v>
      </c>
      <c r="F1085" s="3" t="s">
        <v>2871</v>
      </c>
      <c r="G1085" s="3" t="s">
        <v>62</v>
      </c>
      <c r="H1085" s="2" t="s">
        <v>55</v>
      </c>
      <c r="I1085" s="2" t="s">
        <v>3242</v>
      </c>
      <c r="J1085" s="3" t="str">
        <f>HYPERLINK("https://www.boe.es/gazeta/dias/1809/03/27/pdfs/GGB-G-1809-13B.pdf#page=3","Abrir facsímil")</f>
        <v>Abrir facsímil</v>
      </c>
      <c r="K1085" s="3" t="s">
        <v>57</v>
      </c>
    </row>
    <row r="1086" spans="1:11" ht="42" customHeight="1">
      <c r="A1086" s="2" t="s">
        <v>3243</v>
      </c>
      <c r="B1086" s="2" t="s">
        <v>3243</v>
      </c>
      <c r="C1086" s="2" t="s">
        <v>17</v>
      </c>
      <c r="D1086" s="2" t="s">
        <v>107</v>
      </c>
      <c r="E1086" s="3" t="s">
        <v>211</v>
      </c>
      <c r="F1086" s="3" t="s">
        <v>212</v>
      </c>
      <c r="G1086" s="3" t="s">
        <v>872</v>
      </c>
      <c r="H1086" s="2" t="s">
        <v>55</v>
      </c>
      <c r="I1086" s="2" t="s">
        <v>3244</v>
      </c>
      <c r="J1086" s="3" t="str">
        <f>HYPERLINK("https://www.boe.es/gazeta/dias/1809/10/27/pdfs/GMD-1809-301.pdf#page=1","Abrir facsímil")</f>
        <v>Abrir facsímil</v>
      </c>
      <c r="K1086" s="3" t="s">
        <v>57</v>
      </c>
    </row>
    <row r="1087" spans="1:11" ht="42" customHeight="1">
      <c r="A1087" s="2" t="s">
        <v>3245</v>
      </c>
      <c r="B1087" s="2" t="s">
        <v>3246</v>
      </c>
      <c r="C1087" s="2" t="s">
        <v>131</v>
      </c>
      <c r="D1087" s="2" t="s">
        <v>26</v>
      </c>
      <c r="E1087" s="3" t="s">
        <v>761</v>
      </c>
      <c r="F1087" s="3" t="s">
        <v>1218</v>
      </c>
      <c r="G1087" s="3" t="s">
        <v>3247</v>
      </c>
      <c r="H1087" s="2" t="s">
        <v>55</v>
      </c>
      <c r="I1087" s="2" t="s">
        <v>3248</v>
      </c>
      <c r="J1087" s="3" t="str">
        <f>HYPERLINK("https://www.boe.es/gazeta/dias/1809/06/02/pdfs/GGB-1809-33.pdf#page=8","Abrir facsímil")</f>
        <v>Abrir facsímil</v>
      </c>
      <c r="K1087" s="3" t="s">
        <v>57</v>
      </c>
    </row>
    <row r="1088" spans="1:11" ht="42" customHeight="1">
      <c r="A1088" s="2" t="s">
        <v>3249</v>
      </c>
      <c r="B1088" s="2" t="s">
        <v>3249</v>
      </c>
      <c r="C1088" s="2" t="s">
        <v>25</v>
      </c>
      <c r="D1088" s="2" t="s">
        <v>26</v>
      </c>
      <c r="E1088" s="3" t="s">
        <v>118</v>
      </c>
      <c r="F1088" s="3" t="s">
        <v>2125</v>
      </c>
      <c r="G1088" s="3" t="s">
        <v>2751</v>
      </c>
      <c r="H1088" s="2" t="s">
        <v>55</v>
      </c>
      <c r="I1088" s="2" t="s">
        <v>3250</v>
      </c>
      <c r="J1088" s="3" t="str">
        <f>HYPERLINK("https://www.boe.es/gazeta/dias/1809/09/07/pdfs/GGB-1809-162.pdf#page=8","Abrir facsímil")</f>
        <v>Abrir facsímil</v>
      </c>
      <c r="K1088" s="3" t="s">
        <v>57</v>
      </c>
    </row>
    <row r="1089" spans="1:11" ht="42" customHeight="1">
      <c r="A1089" s="2" t="s">
        <v>3251</v>
      </c>
      <c r="B1089" s="2" t="s">
        <v>3252</v>
      </c>
      <c r="C1089" s="2" t="s">
        <v>17</v>
      </c>
      <c r="D1089" s="2" t="s">
        <v>72</v>
      </c>
      <c r="E1089" s="3" t="s">
        <v>3178</v>
      </c>
      <c r="F1089" s="3" t="s">
        <v>3179</v>
      </c>
      <c r="G1089" s="3" t="s">
        <v>396</v>
      </c>
      <c r="H1089" s="2" t="s">
        <v>55</v>
      </c>
      <c r="I1089" s="2" t="s">
        <v>3253</v>
      </c>
      <c r="J1089" s="3" t="str">
        <f>HYPERLINK("https://www.boe.es/gazeta/dias/1809/04/20/pdfs/GMD-E-1809-110.pdf#page=1","Abrir facsímil")</f>
        <v>Abrir facsímil</v>
      </c>
      <c r="K1089" s="3" t="s">
        <v>57</v>
      </c>
    </row>
    <row r="1090" spans="1:11" ht="42" customHeight="1">
      <c r="A1090" s="2" t="s">
        <v>3254</v>
      </c>
      <c r="B1090" s="2" t="s">
        <v>3254</v>
      </c>
      <c r="C1090" s="2" t="s">
        <v>25</v>
      </c>
      <c r="D1090" s="2" t="s">
        <v>26</v>
      </c>
      <c r="E1090" s="3" t="s">
        <v>1603</v>
      </c>
      <c r="F1090" s="3" t="s">
        <v>1604</v>
      </c>
      <c r="G1090" s="3" t="s">
        <v>587</v>
      </c>
      <c r="H1090" s="2" t="s">
        <v>55</v>
      </c>
      <c r="I1090" s="2" t="s">
        <v>3255</v>
      </c>
      <c r="J1090" s="3" t="str">
        <f>HYPERLINK("https://www.boe.es/gazeta/dias/1809/03/31/pdfs/GGB-1809-14.pdf#page=2","Abrir facsímil")</f>
        <v>Abrir facsímil</v>
      </c>
      <c r="K1090" s="3" t="s">
        <v>57</v>
      </c>
    </row>
    <row r="1091" spans="1:11" ht="42" customHeight="1">
      <c r="A1091" s="2" t="s">
        <v>3256</v>
      </c>
      <c r="B1091" s="2" t="s">
        <v>3256</v>
      </c>
      <c r="C1091" s="2" t="s">
        <v>25</v>
      </c>
      <c r="D1091" s="2" t="s">
        <v>18</v>
      </c>
      <c r="E1091" s="3" t="s">
        <v>2331</v>
      </c>
      <c r="F1091" s="3" t="s">
        <v>2332</v>
      </c>
      <c r="G1091" s="3" t="s">
        <v>374</v>
      </c>
      <c r="H1091" s="2" t="s">
        <v>55</v>
      </c>
      <c r="I1091" s="2" t="s">
        <v>3257</v>
      </c>
      <c r="J1091" s="3" t="str">
        <f>HYPERLINK("https://www.boe.es/gazeta/dias/1809/03/22/pdfs/GMD-1809-81.pdf#page=4","Abrir facsímil")</f>
        <v>Abrir facsímil</v>
      </c>
      <c r="K1091" s="3" t="s">
        <v>57</v>
      </c>
    </row>
    <row r="1092" spans="1:11" ht="42" customHeight="1">
      <c r="A1092" s="2" t="s">
        <v>3256</v>
      </c>
      <c r="B1092" s="2" t="s">
        <v>3256</v>
      </c>
      <c r="C1092" s="2" t="s">
        <v>25</v>
      </c>
      <c r="D1092" s="2" t="s">
        <v>18</v>
      </c>
      <c r="E1092" s="3" t="s">
        <v>3258</v>
      </c>
      <c r="F1092" s="3" t="s">
        <v>3259</v>
      </c>
      <c r="G1092" s="3" t="s">
        <v>225</v>
      </c>
      <c r="H1092" s="2" t="s">
        <v>55</v>
      </c>
      <c r="I1092" s="2" t="s">
        <v>3260</v>
      </c>
      <c r="J1092" s="3" t="str">
        <f>HYPERLINK("https://www.boe.es/gazeta/dias/1809/04/03/pdfs/GMD-1809-93.pdf#page=4","Abrir facsímil")</f>
        <v>Abrir facsímil</v>
      </c>
      <c r="K1092" s="3" t="s">
        <v>57</v>
      </c>
    </row>
    <row r="1093" spans="1:11" ht="42" customHeight="1">
      <c r="A1093" s="2" t="s">
        <v>3256</v>
      </c>
      <c r="B1093" s="2" t="s">
        <v>3256</v>
      </c>
      <c r="C1093" s="2" t="s">
        <v>25</v>
      </c>
      <c r="D1093" s="2" t="s">
        <v>80</v>
      </c>
      <c r="E1093" s="3" t="s">
        <v>113</v>
      </c>
      <c r="F1093" s="3" t="s">
        <v>3261</v>
      </c>
      <c r="G1093" s="3" t="s">
        <v>1874</v>
      </c>
      <c r="H1093" s="2" t="s">
        <v>55</v>
      </c>
      <c r="I1093" s="2" t="s">
        <v>3262</v>
      </c>
      <c r="J1093" s="3" t="str">
        <f>HYPERLINK("https://www.boe.es/gazeta/dias/1809/04/24/pdfs/GGB-1809-21E.pdf#page=1","Abrir facsímil")</f>
        <v>Abrir facsímil</v>
      </c>
      <c r="K1093" s="3" t="s">
        <v>57</v>
      </c>
    </row>
    <row r="1094" spans="1:11" ht="42" customHeight="1">
      <c r="A1094" s="2" t="s">
        <v>3256</v>
      </c>
      <c r="B1094" s="2" t="s">
        <v>3256</v>
      </c>
      <c r="C1094" s="2" t="s">
        <v>25</v>
      </c>
      <c r="D1094" s="2" t="s">
        <v>26</v>
      </c>
      <c r="E1094" s="3" t="s">
        <v>464</v>
      </c>
      <c r="F1094" s="3" t="s">
        <v>465</v>
      </c>
      <c r="G1094" s="3" t="s">
        <v>861</v>
      </c>
      <c r="H1094" s="2" t="s">
        <v>55</v>
      </c>
      <c r="I1094" s="2" t="s">
        <v>3263</v>
      </c>
      <c r="J1094" s="3" t="str">
        <f>HYPERLINK("https://www.boe.es/gazeta/dias/1809/07/05/pdfs/GMD-1809-186.pdf#page=2","Abrir facsímil")</f>
        <v>Abrir facsímil</v>
      </c>
      <c r="K1094" s="3" t="s">
        <v>57</v>
      </c>
    </row>
    <row r="1095" spans="1:11" ht="42" customHeight="1">
      <c r="A1095" s="2" t="s">
        <v>3256</v>
      </c>
      <c r="B1095" s="2" t="s">
        <v>3256</v>
      </c>
      <c r="C1095" s="2" t="s">
        <v>25</v>
      </c>
      <c r="D1095" s="2" t="s">
        <v>26</v>
      </c>
      <c r="E1095" s="3" t="s">
        <v>1288</v>
      </c>
      <c r="F1095" s="3" t="s">
        <v>2401</v>
      </c>
      <c r="G1095" s="3" t="s">
        <v>2402</v>
      </c>
      <c r="H1095" s="2" t="s">
        <v>55</v>
      </c>
      <c r="I1095" s="2" t="s">
        <v>3264</v>
      </c>
      <c r="J1095" s="3" t="str">
        <f>HYPERLINK("https://www.boe.es/gazeta/dias/1809/07/28/pdfs/GMD-1809-210.pdf#page=2","Abrir facsímil")</f>
        <v>Abrir facsímil</v>
      </c>
      <c r="K1095" s="3" t="s">
        <v>57</v>
      </c>
    </row>
    <row r="1096" spans="1:11" ht="42" customHeight="1">
      <c r="A1096" s="2" t="s">
        <v>3256</v>
      </c>
      <c r="B1096" s="2" t="s">
        <v>3256</v>
      </c>
      <c r="C1096" s="2" t="s">
        <v>25</v>
      </c>
      <c r="D1096" s="2" t="s">
        <v>18</v>
      </c>
      <c r="E1096" s="3" t="s">
        <v>3265</v>
      </c>
      <c r="F1096" s="3" t="s">
        <v>3266</v>
      </c>
      <c r="G1096" s="3" t="s">
        <v>29</v>
      </c>
      <c r="H1096" s="2" t="s">
        <v>55</v>
      </c>
      <c r="I1096" s="2" t="s">
        <v>3267</v>
      </c>
      <c r="J1096" s="3" t="str">
        <f>HYPERLINK("https://www.boe.es/gazeta/dias/1809/07/31/pdfs/GMD-1809-213.pdf#page=3","Abrir facsímil")</f>
        <v>Abrir facsímil</v>
      </c>
      <c r="K1096" s="3" t="s">
        <v>57</v>
      </c>
    </row>
    <row r="1097" spans="1:11" ht="42" customHeight="1">
      <c r="A1097" s="2" t="s">
        <v>3256</v>
      </c>
      <c r="B1097" s="2" t="s">
        <v>3256</v>
      </c>
      <c r="C1097" s="2" t="s">
        <v>25</v>
      </c>
      <c r="D1097" s="2" t="s">
        <v>80</v>
      </c>
      <c r="E1097" s="3" t="s">
        <v>3265</v>
      </c>
      <c r="F1097" s="3" t="s">
        <v>3268</v>
      </c>
      <c r="G1097" s="3" t="s">
        <v>1702</v>
      </c>
      <c r="H1097" s="2" t="s">
        <v>55</v>
      </c>
      <c r="I1097" s="2" t="s">
        <v>3269</v>
      </c>
      <c r="J1097" s="3" t="str">
        <f>HYPERLINK("https://www.boe.es/gazeta/dias/1809/07/31/pdfs/GGB-1809-49E.pdf#page=1","Abrir facsímil")</f>
        <v>Abrir facsímil</v>
      </c>
      <c r="K1097" s="3" t="s">
        <v>57</v>
      </c>
    </row>
    <row r="1098" spans="1:11" ht="42" customHeight="1">
      <c r="A1098" s="2" t="s">
        <v>3256</v>
      </c>
      <c r="B1098" s="2" t="s">
        <v>3256</v>
      </c>
      <c r="C1098" s="2" t="s">
        <v>25</v>
      </c>
      <c r="D1098" s="2" t="s">
        <v>26</v>
      </c>
      <c r="E1098" s="3" t="s">
        <v>1865</v>
      </c>
      <c r="F1098" s="3" t="s">
        <v>3270</v>
      </c>
      <c r="G1098" s="3" t="s">
        <v>484</v>
      </c>
      <c r="H1098" s="2" t="s">
        <v>55</v>
      </c>
      <c r="I1098" s="2" t="s">
        <v>3271</v>
      </c>
      <c r="J1098" s="3" t="str">
        <f>HYPERLINK("https://www.boe.es/gazeta/dias/1809/08/08/pdfs/GGB-1809-32E.pdf#page=1","Abrir facsímil")</f>
        <v>Abrir facsímil</v>
      </c>
      <c r="K1098" s="3" t="s">
        <v>57</v>
      </c>
    </row>
    <row r="1099" spans="1:11" ht="42" customHeight="1">
      <c r="A1099" s="2" t="s">
        <v>3256</v>
      </c>
      <c r="B1099" s="2" t="s">
        <v>3256</v>
      </c>
      <c r="C1099" s="2" t="s">
        <v>25</v>
      </c>
      <c r="D1099" s="2" t="s">
        <v>26</v>
      </c>
      <c r="E1099" s="3" t="s">
        <v>1269</v>
      </c>
      <c r="F1099" s="3" t="s">
        <v>3272</v>
      </c>
      <c r="G1099" s="3" t="s">
        <v>3273</v>
      </c>
      <c r="H1099" s="2" t="s">
        <v>55</v>
      </c>
      <c r="I1099" s="2" t="s">
        <v>3274</v>
      </c>
      <c r="J1099" s="3" t="str">
        <f>HYPERLINK("https://www.boe.es/gazeta/dias/1809/08/12/pdfs/GMD-1809-225.pdf#page=3","Abrir facsímil")</f>
        <v>Abrir facsímil</v>
      </c>
      <c r="K1099" s="3" t="s">
        <v>57</v>
      </c>
    </row>
    <row r="1100" spans="1:11" ht="42" customHeight="1">
      <c r="A1100" s="2" t="s">
        <v>3256</v>
      </c>
      <c r="B1100" s="2" t="s">
        <v>3256</v>
      </c>
      <c r="C1100" s="2" t="s">
        <v>25</v>
      </c>
      <c r="D1100" s="2" t="s">
        <v>26</v>
      </c>
      <c r="E1100" s="3" t="s">
        <v>73</v>
      </c>
      <c r="F1100" s="3" t="s">
        <v>822</v>
      </c>
      <c r="G1100" s="3" t="s">
        <v>3275</v>
      </c>
      <c r="H1100" s="2" t="s">
        <v>55</v>
      </c>
      <c r="I1100" s="2" t="s">
        <v>3276</v>
      </c>
      <c r="J1100" s="3" t="str">
        <f>HYPERLINK("https://www.boe.es/gazeta/dias/1809/09/21/pdfs/GGB-1809-222.pdf#page=3","Abrir facsímil")</f>
        <v>Abrir facsímil</v>
      </c>
      <c r="K1100" s="3" t="s">
        <v>57</v>
      </c>
    </row>
    <row r="1101" spans="1:11" ht="42" customHeight="1">
      <c r="A1101" s="2" t="s">
        <v>3256</v>
      </c>
      <c r="B1101" s="2" t="s">
        <v>3256</v>
      </c>
      <c r="C1101" s="2" t="s">
        <v>25</v>
      </c>
      <c r="D1101" s="2" t="s">
        <v>18</v>
      </c>
      <c r="E1101" s="3" t="s">
        <v>73</v>
      </c>
      <c r="F1101" s="3" t="s">
        <v>822</v>
      </c>
      <c r="G1101" s="3" t="s">
        <v>234</v>
      </c>
      <c r="H1101" s="2" t="s">
        <v>55</v>
      </c>
      <c r="I1101" s="2" t="s">
        <v>3277</v>
      </c>
      <c r="J1101" s="3" t="str">
        <f>HYPERLINK("https://www.boe.es/gazeta/dias/1809/09/21/pdfs/GGB-1809-222.pdf#page=5","Abrir facsímil")</f>
        <v>Abrir facsímil</v>
      </c>
      <c r="K1101" s="3" t="s">
        <v>57</v>
      </c>
    </row>
    <row r="1102" spans="1:11" ht="42" customHeight="1">
      <c r="A1102" s="2" t="s">
        <v>3256</v>
      </c>
      <c r="B1102" s="2" t="s">
        <v>3256</v>
      </c>
      <c r="C1102" s="2" t="s">
        <v>79</v>
      </c>
      <c r="D1102" s="2" t="s">
        <v>26</v>
      </c>
      <c r="E1102" s="3" t="s">
        <v>387</v>
      </c>
      <c r="F1102" s="3" t="s">
        <v>1847</v>
      </c>
      <c r="G1102" s="3" t="s">
        <v>379</v>
      </c>
      <c r="H1102" s="2" t="s">
        <v>55</v>
      </c>
      <c r="I1102" s="2" t="s">
        <v>3278</v>
      </c>
      <c r="J1102" s="3" t="str">
        <f>HYPERLINK("https://www.boe.es/gazeta/dias/1809/09/26/pdfs/GGB-1809-242.pdf#page=1","Abrir facsímil")</f>
        <v>Abrir facsímil</v>
      </c>
      <c r="K1102" s="3" t="s">
        <v>57</v>
      </c>
    </row>
    <row r="1103" spans="1:11" ht="42" customHeight="1">
      <c r="A1103" s="2" t="s">
        <v>3256</v>
      </c>
      <c r="B1103" s="2" t="s">
        <v>3256</v>
      </c>
      <c r="C1103" s="2" t="s">
        <v>25</v>
      </c>
      <c r="D1103" s="2" t="s">
        <v>40</v>
      </c>
      <c r="E1103" s="3" t="s">
        <v>3279</v>
      </c>
      <c r="F1103" s="3" t="s">
        <v>3280</v>
      </c>
      <c r="G1103" s="3" t="s">
        <v>75</v>
      </c>
      <c r="H1103" s="2" t="s">
        <v>55</v>
      </c>
      <c r="I1103" s="2" t="s">
        <v>3281</v>
      </c>
      <c r="J1103" s="3" t="str">
        <f>HYPERLINK("https://www.boe.es/gazeta/dias/1809/09/27/pdfs/GMD-1809-271.pdf#page=3","Abrir facsímil")</f>
        <v>Abrir facsímil</v>
      </c>
      <c r="K1103" s="3" t="s">
        <v>57</v>
      </c>
    </row>
    <row r="1104" spans="1:11" ht="42" customHeight="1">
      <c r="A1104" s="2" t="s">
        <v>3256</v>
      </c>
      <c r="B1104" s="2" t="s">
        <v>3256</v>
      </c>
      <c r="C1104" s="2" t="s">
        <v>25</v>
      </c>
      <c r="D1104" s="2" t="s">
        <v>26</v>
      </c>
      <c r="E1104" s="3" t="s">
        <v>445</v>
      </c>
      <c r="F1104" s="3" t="s">
        <v>446</v>
      </c>
      <c r="G1104" s="3" t="s">
        <v>29</v>
      </c>
      <c r="H1104" s="2" t="s">
        <v>55</v>
      </c>
      <c r="I1104" s="2" t="s">
        <v>3282</v>
      </c>
      <c r="J1104" s="3" t="str">
        <f>HYPERLINK("https://www.boe.es/gazeta/dias/1809/10/01/pdfs/GMD-1809-275.pdf#page=3","Abrir facsímil")</f>
        <v>Abrir facsímil</v>
      </c>
      <c r="K1104" s="3" t="s">
        <v>57</v>
      </c>
    </row>
    <row r="1105" spans="1:11" ht="42" customHeight="1">
      <c r="A1105" s="2" t="s">
        <v>3256</v>
      </c>
      <c r="B1105" s="2" t="s">
        <v>3256</v>
      </c>
      <c r="C1105" s="2" t="s">
        <v>25</v>
      </c>
      <c r="D1105" s="2" t="s">
        <v>18</v>
      </c>
      <c r="E1105" s="3" t="s">
        <v>190</v>
      </c>
      <c r="F1105" s="3" t="s">
        <v>3283</v>
      </c>
      <c r="G1105" s="3" t="s">
        <v>21</v>
      </c>
      <c r="H1105" s="2" t="s">
        <v>55</v>
      </c>
      <c r="I1105" s="2" t="s">
        <v>3284</v>
      </c>
      <c r="J1105" s="3" t="str">
        <f>HYPERLINK("https://www.boe.es/gazeta/dias/1809/10/14/pdfs/GMD-1809-288.pdf#page=3","Abrir facsímil")</f>
        <v>Abrir facsímil</v>
      </c>
      <c r="K1105" s="3" t="s">
        <v>57</v>
      </c>
    </row>
    <row r="1106" spans="1:11" ht="42" customHeight="1">
      <c r="A1106" s="2" t="s">
        <v>3256</v>
      </c>
      <c r="B1106" s="2" t="s">
        <v>3256</v>
      </c>
      <c r="C1106" s="2" t="s">
        <v>25</v>
      </c>
      <c r="D1106" s="2" t="s">
        <v>18</v>
      </c>
      <c r="E1106" s="3" t="s">
        <v>190</v>
      </c>
      <c r="F1106" s="3" t="s">
        <v>3283</v>
      </c>
      <c r="G1106" s="3" t="s">
        <v>1935</v>
      </c>
      <c r="H1106" s="2" t="s">
        <v>55</v>
      </c>
      <c r="I1106" s="2" t="s">
        <v>3285</v>
      </c>
      <c r="J1106" s="3" t="str">
        <f>HYPERLINK("https://www.boe.es/gazeta/dias/1809/10/14/pdfs/GMD-1809-288.pdf#page=4","Abrir facsímil")</f>
        <v>Abrir facsímil</v>
      </c>
      <c r="K1106" s="3" t="s">
        <v>57</v>
      </c>
    </row>
    <row r="1107" spans="1:11" ht="42" customHeight="1">
      <c r="A1107" s="2" t="s">
        <v>3286</v>
      </c>
      <c r="B1107" s="2" t="s">
        <v>3287</v>
      </c>
      <c r="C1107" s="2" t="s">
        <v>39</v>
      </c>
      <c r="D1107" s="2" t="s">
        <v>18</v>
      </c>
      <c r="E1107" s="3" t="s">
        <v>712</v>
      </c>
      <c r="F1107" s="3" t="s">
        <v>713</v>
      </c>
      <c r="G1107" s="3" t="s">
        <v>120</v>
      </c>
      <c r="H1107" s="2" t="s">
        <v>55</v>
      </c>
      <c r="I1107" s="2" t="s">
        <v>3288</v>
      </c>
      <c r="J1107" s="3" t="str">
        <f>HYPERLINK("https://www.boe.es/gazeta/dias/1809/09/10/pdfs/GMD-1809-254.pdf#page=2","Abrir facsímil")</f>
        <v>Abrir facsímil</v>
      </c>
      <c r="K1107" s="3" t="s">
        <v>57</v>
      </c>
    </row>
    <row r="1108" spans="1:11" ht="42" customHeight="1">
      <c r="A1108" s="2" t="s">
        <v>3286</v>
      </c>
      <c r="B1108" s="2" t="s">
        <v>3287</v>
      </c>
      <c r="C1108" s="2" t="s">
        <v>17</v>
      </c>
      <c r="D1108" s="2" t="s">
        <v>40</v>
      </c>
      <c r="E1108" s="3" t="s">
        <v>102</v>
      </c>
      <c r="F1108" s="3" t="s">
        <v>103</v>
      </c>
      <c r="G1108" s="3" t="s">
        <v>3074</v>
      </c>
      <c r="H1108" s="2" t="s">
        <v>55</v>
      </c>
      <c r="I1108" s="2" t="s">
        <v>3289</v>
      </c>
      <c r="J1108" s="3" t="str">
        <f>HYPERLINK("https://www.boe.es/gazeta/dias/1809/09/28/pdfs/GGB-1809-252.pdf#page=4","Abrir facsímil")</f>
        <v>Abrir facsímil</v>
      </c>
      <c r="K1108" s="3" t="s">
        <v>57</v>
      </c>
    </row>
    <row r="1109" spans="1:11" ht="42" customHeight="1">
      <c r="A1109" s="2" t="s">
        <v>3290</v>
      </c>
      <c r="B1109" s="2" t="s">
        <v>3290</v>
      </c>
      <c r="C1109" s="2" t="s">
        <v>25</v>
      </c>
      <c r="D1109" s="2" t="s">
        <v>18</v>
      </c>
      <c r="E1109" s="3" t="s">
        <v>1237</v>
      </c>
      <c r="F1109" s="3" t="s">
        <v>1238</v>
      </c>
      <c r="G1109" s="3" t="s">
        <v>3291</v>
      </c>
      <c r="H1109" s="2" t="s">
        <v>55</v>
      </c>
      <c r="I1109" s="2" t="s">
        <v>3292</v>
      </c>
      <c r="J1109" s="3" t="str">
        <f>HYPERLINK("https://www.boe.es/gazeta/dias/1809/12/26/pdfs/GGB-1809-632.pdf#page=5","Abrir facsímil")</f>
        <v>Abrir facsímil</v>
      </c>
      <c r="K1109" s="3" t="s">
        <v>57</v>
      </c>
    </row>
    <row r="1110" spans="1:11" ht="42" customHeight="1">
      <c r="A1110" s="2" t="s">
        <v>3293</v>
      </c>
      <c r="B1110" s="2" t="s">
        <v>3294</v>
      </c>
      <c r="C1110" s="2" t="s">
        <v>39</v>
      </c>
      <c r="D1110" s="2" t="s">
        <v>18</v>
      </c>
      <c r="E1110" s="3" t="s">
        <v>158</v>
      </c>
      <c r="F1110" s="3" t="s">
        <v>159</v>
      </c>
      <c r="G1110" s="3" t="s">
        <v>906</v>
      </c>
      <c r="H1110" s="2" t="s">
        <v>55</v>
      </c>
      <c r="I1110" s="2" t="s">
        <v>3295</v>
      </c>
      <c r="J1110" s="3" t="str">
        <f>HYPERLINK("https://www.boe.es/gazeta/dias/1809/02/10/pdfs/GGB-1809-7.pdf#page=8","Abrir facsímil")</f>
        <v>Abrir facsímil</v>
      </c>
      <c r="K1110" s="3" t="s">
        <v>57</v>
      </c>
    </row>
    <row r="1111" spans="1:11" ht="42" customHeight="1">
      <c r="A1111" s="2" t="s">
        <v>3296</v>
      </c>
      <c r="B1111" s="2" t="s">
        <v>3297</v>
      </c>
      <c r="C1111" s="2" t="s">
        <v>25</v>
      </c>
      <c r="D1111" s="2" t="s">
        <v>18</v>
      </c>
      <c r="E1111" s="3" t="s">
        <v>113</v>
      </c>
      <c r="F1111" s="3" t="s">
        <v>1982</v>
      </c>
      <c r="G1111" s="3" t="s">
        <v>260</v>
      </c>
      <c r="H1111" s="2" t="s">
        <v>55</v>
      </c>
      <c r="I1111" s="2" t="s">
        <v>3298</v>
      </c>
      <c r="J1111" s="3" t="str">
        <f>HYPERLINK("https://www.boe.es/gazeta/dias/1809/04/24/pdfs/GGB-1809-21.pdf#page=8","Abrir facsímil")</f>
        <v>Abrir facsímil</v>
      </c>
      <c r="K1111" s="3" t="s">
        <v>57</v>
      </c>
    </row>
    <row r="1112" spans="1:11" ht="42" customHeight="1">
      <c r="A1112" s="2" t="s">
        <v>3299</v>
      </c>
      <c r="B1112" s="2" t="s">
        <v>3299</v>
      </c>
      <c r="C1112" s="2" t="s">
        <v>17</v>
      </c>
      <c r="D1112" s="2" t="s">
        <v>18</v>
      </c>
      <c r="E1112" s="3" t="s">
        <v>1872</v>
      </c>
      <c r="F1112" s="3" t="s">
        <v>1873</v>
      </c>
      <c r="G1112" s="3" t="s">
        <v>3300</v>
      </c>
      <c r="H1112" s="2" t="s">
        <v>55</v>
      </c>
      <c r="I1112" s="2" t="s">
        <v>3301</v>
      </c>
      <c r="J1112" s="3" t="str">
        <f>HYPERLINK("https://www.boe.es/gazeta/dias/1809/11/07/pdfs/GGB-1809-422.pdf#page=3","Abrir facsímil")</f>
        <v>Abrir facsímil</v>
      </c>
      <c r="K1112" s="3" t="s">
        <v>57</v>
      </c>
    </row>
    <row r="1113" spans="1:11" ht="42" customHeight="1">
      <c r="A1113" s="2" t="s">
        <v>3302</v>
      </c>
      <c r="B1113" s="2" t="s">
        <v>3302</v>
      </c>
      <c r="C1113" s="2" t="s">
        <v>17</v>
      </c>
      <c r="D1113" s="2" t="s">
        <v>18</v>
      </c>
      <c r="E1113" s="3" t="s">
        <v>1460</v>
      </c>
      <c r="F1113" s="3" t="s">
        <v>1461</v>
      </c>
      <c r="G1113" s="3" t="s">
        <v>239</v>
      </c>
      <c r="H1113" s="2" t="s">
        <v>55</v>
      </c>
      <c r="I1113" s="2" t="s">
        <v>3303</v>
      </c>
      <c r="J1113" s="3" t="str">
        <f>HYPERLINK("https://www.boe.es/gazeta/dias/1809/04/02/pdfs/GMD-1809-92.pdf#page=1","Abrir facsímil")</f>
        <v>Abrir facsímil</v>
      </c>
      <c r="K1113" s="3" t="s">
        <v>57</v>
      </c>
    </row>
    <row r="1114" spans="1:11" ht="42" customHeight="1">
      <c r="A1114" s="2" t="s">
        <v>3304</v>
      </c>
      <c r="B1114" s="2" t="s">
        <v>3304</v>
      </c>
      <c r="C1114" s="2" t="s">
        <v>25</v>
      </c>
      <c r="D1114" s="2" t="s">
        <v>26</v>
      </c>
      <c r="E1114" s="3" t="s">
        <v>1555</v>
      </c>
      <c r="F1114" s="3" t="s">
        <v>1556</v>
      </c>
      <c r="G1114" s="3" t="s">
        <v>3305</v>
      </c>
      <c r="H1114" s="2" t="s">
        <v>55</v>
      </c>
      <c r="I1114" s="2" t="s">
        <v>3306</v>
      </c>
      <c r="J1114" s="3" t="str">
        <f>HYPERLINK("https://www.boe.es/gazeta/dias/1809/06/29/pdfs/GMD-1809-180.pdf#page=1","Abrir facsímil")</f>
        <v>Abrir facsímil</v>
      </c>
      <c r="K1114" s="3" t="s">
        <v>57</v>
      </c>
    </row>
    <row r="1115" spans="1:11" ht="42" customHeight="1">
      <c r="A1115" s="2" t="s">
        <v>3307</v>
      </c>
      <c r="B1115" s="2" t="s">
        <v>3307</v>
      </c>
      <c r="C1115" s="2" t="s">
        <v>25</v>
      </c>
      <c r="D1115" s="2" t="s">
        <v>18</v>
      </c>
      <c r="E1115" s="3" t="s">
        <v>3308</v>
      </c>
      <c r="F1115" s="3" t="s">
        <v>3309</v>
      </c>
      <c r="G1115" s="3" t="s">
        <v>120</v>
      </c>
      <c r="H1115" s="2" t="s">
        <v>55</v>
      </c>
      <c r="I1115" s="2" t="s">
        <v>3310</v>
      </c>
      <c r="J1115" s="3" t="str">
        <f>HYPERLINK("https://www.boe.es/gazeta/dias/1809/10/16/pdfs/GMD-1809-290.pdf#page=1","Abrir facsímil")</f>
        <v>Abrir facsímil</v>
      </c>
      <c r="K1115" s="3" t="s">
        <v>57</v>
      </c>
    </row>
    <row r="1116" spans="1:11" ht="42" customHeight="1">
      <c r="A1116" s="2" t="s">
        <v>3311</v>
      </c>
      <c r="B1116" s="2" t="s">
        <v>3311</v>
      </c>
      <c r="C1116" s="2" t="s">
        <v>25</v>
      </c>
      <c r="D1116" s="2" t="s">
        <v>18</v>
      </c>
      <c r="E1116" s="3" t="s">
        <v>173</v>
      </c>
      <c r="F1116" s="3" t="s">
        <v>174</v>
      </c>
      <c r="G1116" s="3" t="s">
        <v>3020</v>
      </c>
      <c r="H1116" s="2" t="s">
        <v>55</v>
      </c>
      <c r="I1116" s="2" t="s">
        <v>3312</v>
      </c>
      <c r="J1116" s="3" t="str">
        <f>HYPERLINK("https://www.boe.es/gazeta/dias/1809/09/12/pdfs/GGB-1809-182.pdf#page=6","Abrir facsímil")</f>
        <v>Abrir facsímil</v>
      </c>
      <c r="K1116" s="3" t="s">
        <v>57</v>
      </c>
    </row>
    <row r="1117" spans="1:11" ht="42" customHeight="1">
      <c r="A1117" s="2" t="s">
        <v>3313</v>
      </c>
      <c r="B1117" s="2" t="s">
        <v>3314</v>
      </c>
      <c r="C1117" s="2" t="s">
        <v>288</v>
      </c>
      <c r="D1117" s="2" t="s">
        <v>40</v>
      </c>
      <c r="E1117" s="3" t="s">
        <v>2602</v>
      </c>
      <c r="F1117" s="3" t="s">
        <v>2603</v>
      </c>
      <c r="G1117" s="3" t="s">
        <v>89</v>
      </c>
      <c r="H1117" s="2" t="s">
        <v>55</v>
      </c>
      <c r="I1117" s="2" t="s">
        <v>3315</v>
      </c>
      <c r="J1117" s="3" t="str">
        <f>HYPERLINK("https://www.boe.es/gazeta/dias/1809/11/15/pdfs/GMD-1809-320.pdf#page=4","Abrir facsímil")</f>
        <v>Abrir facsímil</v>
      </c>
      <c r="K1117" s="3" t="s">
        <v>57</v>
      </c>
    </row>
    <row r="1118" spans="1:11" ht="42" customHeight="1">
      <c r="A1118" s="2" t="s">
        <v>3316</v>
      </c>
      <c r="B1118" s="2" t="s">
        <v>3317</v>
      </c>
      <c r="C1118" s="2" t="s">
        <v>25</v>
      </c>
      <c r="D1118" s="2" t="s">
        <v>72</v>
      </c>
      <c r="E1118" s="3" t="s">
        <v>92</v>
      </c>
      <c r="F1118" s="3" t="s">
        <v>93</v>
      </c>
      <c r="G1118" s="3" t="s">
        <v>239</v>
      </c>
      <c r="H1118" s="2" t="s">
        <v>22</v>
      </c>
      <c r="I1118" s="2" t="s">
        <v>3318</v>
      </c>
      <c r="J1118" s="3" t="str">
        <f>HYPERLINK("https://www.boe.es/gazeta/dias/1809/05/22/pdfs/GGB-G-1809-30.pdf#page=3","Abrir facsímil")</f>
        <v>Abrir facsímil</v>
      </c>
      <c r="K1118" s="3" t="s">
        <v>24</v>
      </c>
    </row>
    <row r="1119" spans="1:11" ht="42" customHeight="1">
      <c r="A1119" s="2" t="s">
        <v>3319</v>
      </c>
      <c r="B1119" s="2" t="s">
        <v>3320</v>
      </c>
      <c r="C1119" s="2" t="s">
        <v>17</v>
      </c>
      <c r="D1119" s="2" t="s">
        <v>18</v>
      </c>
      <c r="E1119" s="3" t="s">
        <v>3321</v>
      </c>
      <c r="F1119" s="3" t="s">
        <v>3322</v>
      </c>
      <c r="G1119" s="3" t="s">
        <v>270</v>
      </c>
      <c r="H1119" s="2" t="s">
        <v>22</v>
      </c>
      <c r="I1119" s="2" t="s">
        <v>3323</v>
      </c>
      <c r="J1119" s="3" t="str">
        <f>HYPERLINK("https://www.boe.es/gazeta/dias/1809/01/29/pdfs/GMD-1809-29.pdf#page=3","Abrir facsímil")</f>
        <v>Abrir facsímil</v>
      </c>
      <c r="K1119" s="3" t="s">
        <v>24</v>
      </c>
    </row>
    <row r="1120" spans="1:11" ht="42" customHeight="1">
      <c r="A1120" s="2" t="s">
        <v>3324</v>
      </c>
      <c r="B1120" s="2" t="s">
        <v>3325</v>
      </c>
      <c r="C1120" s="2" t="s">
        <v>17</v>
      </c>
      <c r="D1120" s="2" t="s">
        <v>18</v>
      </c>
      <c r="E1120" s="3" t="s">
        <v>305</v>
      </c>
      <c r="F1120" s="3" t="s">
        <v>306</v>
      </c>
      <c r="G1120" s="3" t="s">
        <v>29</v>
      </c>
      <c r="H1120" s="2" t="s">
        <v>22</v>
      </c>
      <c r="I1120" s="2" t="s">
        <v>3326</v>
      </c>
      <c r="J1120" s="3" t="str">
        <f>HYPERLINK("https://www.boe.es/gazeta/dias/1809/10/20/pdfs/GMD-1809-294.pdf#page=3","Abrir facsímil")</f>
        <v>Abrir facsímil</v>
      </c>
      <c r="K1120" s="3" t="s">
        <v>24</v>
      </c>
    </row>
    <row r="1121" spans="1:11" ht="42" customHeight="1">
      <c r="A1121" s="2" t="s">
        <v>3327</v>
      </c>
      <c r="B1121" s="2" t="s">
        <v>3328</v>
      </c>
      <c r="C1121" s="2" t="s">
        <v>17</v>
      </c>
      <c r="D1121" s="2" t="s">
        <v>18</v>
      </c>
      <c r="E1121" s="3" t="s">
        <v>33</v>
      </c>
      <c r="F1121" s="3" t="s">
        <v>34</v>
      </c>
      <c r="G1121" s="3" t="s">
        <v>35</v>
      </c>
      <c r="H1121" s="2" t="s">
        <v>22</v>
      </c>
      <c r="I1121" s="2" t="s">
        <v>3329</v>
      </c>
      <c r="J1121" s="3" t="str">
        <f>HYPERLINK("https://www.boe.es/gazeta/dias/1809/12/19/pdfs/GGB-1809-602.pdf#page=5","Abrir facsímil")</f>
        <v>Abrir facsímil</v>
      </c>
      <c r="K1121" s="3" t="s">
        <v>24</v>
      </c>
    </row>
    <row r="1122" spans="1:11" ht="42" customHeight="1">
      <c r="A1122" s="2" t="s">
        <v>3330</v>
      </c>
      <c r="B1122" s="2" t="s">
        <v>3331</v>
      </c>
      <c r="C1122" s="2" t="s">
        <v>25</v>
      </c>
      <c r="D1122" s="2" t="s">
        <v>80</v>
      </c>
      <c r="E1122" s="3" t="s">
        <v>81</v>
      </c>
      <c r="F1122" s="3" t="s">
        <v>82</v>
      </c>
      <c r="G1122" s="3" t="s">
        <v>3332</v>
      </c>
      <c r="H1122" s="2" t="s">
        <v>22</v>
      </c>
      <c r="I1122" s="2" t="s">
        <v>3333</v>
      </c>
      <c r="J1122" s="3" t="str">
        <f>HYPERLINK("https://www.boe.es/gazeta/dias/1809/04/11/pdfs/GGB-1809-16E.pdf#page=8","Abrir facsímil")</f>
        <v>Abrir facsímil</v>
      </c>
      <c r="K1122" s="3" t="s">
        <v>24</v>
      </c>
    </row>
    <row r="1123" spans="1:11" ht="42" customHeight="1">
      <c r="A1123" s="2" t="s">
        <v>3334</v>
      </c>
      <c r="B1123" s="2" t="s">
        <v>3335</v>
      </c>
      <c r="C1123" s="2" t="s">
        <v>288</v>
      </c>
      <c r="D1123" s="2" t="s">
        <v>40</v>
      </c>
      <c r="E1123" s="3" t="s">
        <v>776</v>
      </c>
      <c r="F1123" s="3" t="s">
        <v>777</v>
      </c>
      <c r="G1123" s="3" t="s">
        <v>736</v>
      </c>
      <c r="H1123" s="2" t="s">
        <v>22</v>
      </c>
      <c r="I1123" s="2" t="s">
        <v>3336</v>
      </c>
      <c r="J1123" s="3" t="str">
        <f>HYPERLINK("https://www.boe.es/gazeta/dias/1809/05/28/pdfs/GMD-E-1809-148.pdf#page=1","Abrir facsímil")</f>
        <v>Abrir facsímil</v>
      </c>
      <c r="K1123" s="3" t="s">
        <v>24</v>
      </c>
    </row>
    <row r="1124" spans="1:11" ht="42" customHeight="1">
      <c r="A1124" s="2" t="s">
        <v>3337</v>
      </c>
      <c r="B1124" s="2" t="s">
        <v>3338</v>
      </c>
      <c r="C1124" s="2" t="s">
        <v>17</v>
      </c>
      <c r="D1124" s="2" t="s">
        <v>18</v>
      </c>
      <c r="E1124" s="3" t="s">
        <v>548</v>
      </c>
      <c r="F1124" s="3" t="s">
        <v>549</v>
      </c>
      <c r="G1124" s="3" t="s">
        <v>316</v>
      </c>
      <c r="H1124" s="2" t="s">
        <v>22</v>
      </c>
      <c r="I1124" s="2" t="s">
        <v>3339</v>
      </c>
      <c r="J1124" s="3" t="str">
        <f>HYPERLINK("https://www.boe.es/gazeta/dias/1809/03/12/pdfs/GMD-1809-71.pdf#page=4","Abrir facsímil")</f>
        <v>Abrir facsímil</v>
      </c>
      <c r="K1124" s="3" t="s">
        <v>24</v>
      </c>
    </row>
    <row r="1125" spans="1:11" ht="42" customHeight="1">
      <c r="A1125" s="2" t="s">
        <v>3340</v>
      </c>
      <c r="B1125" s="2" t="s">
        <v>3341</v>
      </c>
      <c r="C1125" s="2" t="s">
        <v>17</v>
      </c>
      <c r="D1125" s="2" t="s">
        <v>18</v>
      </c>
      <c r="E1125" s="3" t="s">
        <v>2060</v>
      </c>
      <c r="F1125" s="3" t="s">
        <v>2061</v>
      </c>
      <c r="G1125" s="3" t="s">
        <v>239</v>
      </c>
      <c r="H1125" s="2" t="s">
        <v>22</v>
      </c>
      <c r="I1125" s="2" t="s">
        <v>3342</v>
      </c>
      <c r="J1125" s="3" t="str">
        <f>HYPERLINK("https://www.boe.es/gazeta/dias/1809/07/18/pdfs/GGB-1809-46.pdf#page=11","Abrir facsímil")</f>
        <v>Abrir facsímil</v>
      </c>
      <c r="K1125" s="3" t="s">
        <v>24</v>
      </c>
    </row>
    <row r="1126" spans="1:11" ht="42" customHeight="1">
      <c r="A1126" s="2" t="s">
        <v>3343</v>
      </c>
      <c r="B1126" s="2" t="s">
        <v>3344</v>
      </c>
      <c r="C1126" s="2" t="s">
        <v>17</v>
      </c>
      <c r="D1126" s="2" t="s">
        <v>18</v>
      </c>
      <c r="E1126" s="3" t="s">
        <v>712</v>
      </c>
      <c r="F1126" s="3" t="s">
        <v>713</v>
      </c>
      <c r="G1126" s="3" t="s">
        <v>120</v>
      </c>
      <c r="H1126" s="2" t="s">
        <v>22</v>
      </c>
      <c r="I1126" s="2" t="s">
        <v>3345</v>
      </c>
      <c r="J1126" s="3" t="str">
        <f>HYPERLINK("https://www.boe.es/gazeta/dias/1809/09/10/pdfs/GMD-1809-254.pdf#page=2","Abrir facsímil")</f>
        <v>Abrir facsímil</v>
      </c>
      <c r="K1126" s="3" t="s">
        <v>24</v>
      </c>
    </row>
    <row r="1127" spans="1:11" ht="42" customHeight="1">
      <c r="A1127" s="2" t="s">
        <v>3346</v>
      </c>
      <c r="B1127" s="2" t="s">
        <v>3347</v>
      </c>
      <c r="C1127" s="2" t="s">
        <v>17</v>
      </c>
      <c r="D1127" s="2" t="s">
        <v>18</v>
      </c>
      <c r="E1127" s="3" t="s">
        <v>33</v>
      </c>
      <c r="F1127" s="3" t="s">
        <v>34</v>
      </c>
      <c r="G1127" s="3" t="s">
        <v>493</v>
      </c>
      <c r="H1127" s="2" t="s">
        <v>22</v>
      </c>
      <c r="I1127" s="2" t="s">
        <v>3348</v>
      </c>
      <c r="J1127" s="3" t="str">
        <f>HYPERLINK("https://www.boe.es/gazeta/dias/1809/12/19/pdfs/GGB-1809-602.pdf#page=6","Abrir facsímil")</f>
        <v>Abrir facsímil</v>
      </c>
      <c r="K1127" s="3" t="s">
        <v>24</v>
      </c>
    </row>
    <row r="1128" spans="1:11" ht="42" customHeight="1">
      <c r="A1128" s="2" t="s">
        <v>3349</v>
      </c>
      <c r="B1128" s="2" t="s">
        <v>3350</v>
      </c>
      <c r="C1128" s="2" t="s">
        <v>17</v>
      </c>
      <c r="D1128" s="2" t="s">
        <v>18</v>
      </c>
      <c r="E1128" s="3" t="s">
        <v>33</v>
      </c>
      <c r="F1128" s="3" t="s">
        <v>34</v>
      </c>
      <c r="G1128" s="3" t="s">
        <v>35</v>
      </c>
      <c r="H1128" s="2" t="s">
        <v>22</v>
      </c>
      <c r="I1128" s="2" t="s">
        <v>3351</v>
      </c>
      <c r="J1128" s="3" t="str">
        <f>HYPERLINK("https://www.boe.es/gazeta/dias/1809/12/19/pdfs/GGB-1809-602.pdf#page=5","Abrir facsímil")</f>
        <v>Abrir facsímil</v>
      </c>
      <c r="K1128" s="3" t="s">
        <v>24</v>
      </c>
    </row>
    <row r="1129" spans="1:11" ht="42" customHeight="1">
      <c r="A1129" s="2" t="s">
        <v>3352</v>
      </c>
      <c r="B1129" s="2" t="s">
        <v>3353</v>
      </c>
      <c r="C1129" s="2" t="s">
        <v>25</v>
      </c>
      <c r="D1129" s="2" t="s">
        <v>80</v>
      </c>
      <c r="E1129" s="3" t="s">
        <v>81</v>
      </c>
      <c r="F1129" s="3" t="s">
        <v>82</v>
      </c>
      <c r="G1129" s="3" t="s">
        <v>3332</v>
      </c>
      <c r="H1129" s="2" t="s">
        <v>22</v>
      </c>
      <c r="I1129" s="2" t="s">
        <v>3354</v>
      </c>
      <c r="J1129" s="3" t="str">
        <f>HYPERLINK("https://www.boe.es/gazeta/dias/1809/04/11/pdfs/GGB-1809-16E.pdf#page=8","Abrir facsímil")</f>
        <v>Abrir facsímil</v>
      </c>
      <c r="K1129" s="3" t="s">
        <v>24</v>
      </c>
    </row>
    <row r="1130" spans="1:11" ht="42" customHeight="1">
      <c r="A1130" s="2" t="s">
        <v>3355</v>
      </c>
      <c r="B1130" s="2" t="s">
        <v>3356</v>
      </c>
      <c r="C1130" s="2" t="s">
        <v>17</v>
      </c>
      <c r="D1130" s="2" t="s">
        <v>18</v>
      </c>
      <c r="E1130" s="3" t="s">
        <v>1468</v>
      </c>
      <c r="F1130" s="3" t="s">
        <v>1469</v>
      </c>
      <c r="G1130" s="3" t="s">
        <v>104</v>
      </c>
      <c r="H1130" s="2" t="s">
        <v>22</v>
      </c>
      <c r="I1130" s="2" t="s">
        <v>3357</v>
      </c>
      <c r="J1130" s="3" t="str">
        <f>HYPERLINK("https://www.boe.es/gazeta/dias/1809/02/12/pdfs/GMD-1809-43.pdf#page=6","Abrir facsímil")</f>
        <v>Abrir facsímil</v>
      </c>
      <c r="K1130" s="3" t="s">
        <v>24</v>
      </c>
    </row>
    <row r="1131" spans="1:11" ht="42" customHeight="1">
      <c r="A1131" s="2" t="s">
        <v>3358</v>
      </c>
      <c r="B1131" s="2" t="s">
        <v>3359</v>
      </c>
      <c r="C1131" s="2" t="s">
        <v>39</v>
      </c>
      <c r="D1131" s="2" t="s">
        <v>40</v>
      </c>
      <c r="E1131" s="3" t="s">
        <v>432</v>
      </c>
      <c r="F1131" s="3" t="s">
        <v>1525</v>
      </c>
      <c r="G1131" s="3" t="s">
        <v>234</v>
      </c>
      <c r="H1131" s="2" t="s">
        <v>55</v>
      </c>
      <c r="I1131" s="2" t="s">
        <v>3360</v>
      </c>
      <c r="J1131" s="3" t="str">
        <f>HYPERLINK("https://www.boe.es/gazeta/dias/1809/07/11/pdfs/GGB-1809-44.pdf#page=11","Abrir facsímil")</f>
        <v>Abrir facsímil</v>
      </c>
      <c r="K1131" s="3" t="s">
        <v>57</v>
      </c>
    </row>
    <row r="1132" spans="1:11" ht="42" customHeight="1">
      <c r="A1132" s="2" t="s">
        <v>3361</v>
      </c>
      <c r="B1132" s="2" t="s">
        <v>3362</v>
      </c>
      <c r="C1132" s="2" t="s">
        <v>17</v>
      </c>
      <c r="D1132" s="2" t="s">
        <v>80</v>
      </c>
      <c r="E1132" s="3" t="s">
        <v>81</v>
      </c>
      <c r="F1132" s="3" t="s">
        <v>82</v>
      </c>
      <c r="G1132" s="3" t="s">
        <v>3332</v>
      </c>
      <c r="H1132" s="2" t="s">
        <v>55</v>
      </c>
      <c r="I1132" s="2" t="s">
        <v>3363</v>
      </c>
      <c r="J1132" s="3" t="str">
        <f>HYPERLINK("https://www.boe.es/gazeta/dias/1809/04/11/pdfs/GGB-1809-16E.pdf#page=8","Abrir facsímil")</f>
        <v>Abrir facsímil</v>
      </c>
      <c r="K1132" s="3" t="s">
        <v>57</v>
      </c>
    </row>
    <row r="1133" spans="1:11" ht="42" customHeight="1">
      <c r="A1133" s="2" t="s">
        <v>3364</v>
      </c>
      <c r="B1133" s="2" t="s">
        <v>3365</v>
      </c>
      <c r="C1133" s="2" t="s">
        <v>25</v>
      </c>
      <c r="D1133" s="2" t="s">
        <v>26</v>
      </c>
      <c r="E1133" s="3" t="s">
        <v>3366</v>
      </c>
      <c r="F1133" s="3" t="s">
        <v>3367</v>
      </c>
      <c r="G1133" s="3" t="s">
        <v>426</v>
      </c>
      <c r="H1133" s="2" t="s">
        <v>55</v>
      </c>
      <c r="I1133" s="2" t="s">
        <v>3368</v>
      </c>
      <c r="J1133" s="3" t="str">
        <f>HYPERLINK("https://www.boe.es/gazeta/dias/1809/04/10/pdfs/GGB-1809-16.pdf#page=7","Abrir facsímil")</f>
        <v>Abrir facsímil</v>
      </c>
      <c r="K1133" s="3" t="s">
        <v>57</v>
      </c>
    </row>
    <row r="1134" spans="1:11" ht="42" customHeight="1">
      <c r="A1134" s="2" t="s">
        <v>3369</v>
      </c>
      <c r="B1134" s="2" t="s">
        <v>3370</v>
      </c>
      <c r="C1134" s="2" t="s">
        <v>17</v>
      </c>
      <c r="D1134" s="2" t="s">
        <v>40</v>
      </c>
      <c r="E1134" s="3" t="s">
        <v>864</v>
      </c>
      <c r="F1134" s="3" t="s">
        <v>2291</v>
      </c>
      <c r="G1134" s="3" t="s">
        <v>2292</v>
      </c>
      <c r="H1134" s="2" t="s">
        <v>55</v>
      </c>
      <c r="I1134" s="2" t="s">
        <v>3371</v>
      </c>
      <c r="J1134" s="3" t="str">
        <f>HYPERLINK("https://www.boe.es/gazeta/dias/1809/08/31/pdfs/GGB-H-1809-132.pdf#page=3","Abrir facsímil")</f>
        <v>Abrir facsímil</v>
      </c>
      <c r="K1134" s="3" t="s">
        <v>57</v>
      </c>
    </row>
    <row r="1135" spans="1:11" ht="42" customHeight="1">
      <c r="A1135" s="2" t="s">
        <v>3372</v>
      </c>
      <c r="B1135" s="2" t="s">
        <v>3373</v>
      </c>
      <c r="C1135" s="2" t="s">
        <v>79</v>
      </c>
      <c r="D1135" s="2" t="s">
        <v>18</v>
      </c>
      <c r="E1135" s="3" t="s">
        <v>327</v>
      </c>
      <c r="F1135" s="3" t="s">
        <v>328</v>
      </c>
      <c r="G1135" s="3" t="s">
        <v>329</v>
      </c>
      <c r="H1135" s="2" t="s">
        <v>55</v>
      </c>
      <c r="I1135" s="2" t="s">
        <v>3374</v>
      </c>
      <c r="J1135" s="3" t="str">
        <f>HYPERLINK("https://www.boe.es/gazeta/dias/1809/09/14/pdfs/GGB-1809-192.pdf#page=8","Abrir facsímil")</f>
        <v>Abrir facsímil</v>
      </c>
      <c r="K1135" s="3" t="s">
        <v>57</v>
      </c>
    </row>
    <row r="1136" spans="1:11" ht="42" customHeight="1">
      <c r="A1136" s="2" t="s">
        <v>3375</v>
      </c>
      <c r="B1136" s="2" t="s">
        <v>3376</v>
      </c>
      <c r="C1136" s="2" t="s">
        <v>17</v>
      </c>
      <c r="D1136" s="2" t="s">
        <v>72</v>
      </c>
      <c r="E1136" s="3" t="s">
        <v>2599</v>
      </c>
      <c r="F1136" s="3" t="s">
        <v>3377</v>
      </c>
      <c r="G1136" s="3" t="s">
        <v>2422</v>
      </c>
      <c r="H1136" s="2" t="s">
        <v>55</v>
      </c>
      <c r="I1136" s="2" t="s">
        <v>3378</v>
      </c>
      <c r="J1136" s="3" t="str">
        <f>HYPERLINK("https://www.boe.es/gazeta/dias/1809/05/11/pdfs/GMD-E-1809-131.pdf#page=1","Abrir facsímil")</f>
        <v>Abrir facsímil</v>
      </c>
      <c r="K1136" s="3" t="s">
        <v>57</v>
      </c>
    </row>
    <row r="1137" spans="1:11" ht="42" customHeight="1">
      <c r="A1137" s="2" t="s">
        <v>3379</v>
      </c>
      <c r="B1137" s="2" t="s">
        <v>3379</v>
      </c>
      <c r="C1137" s="2" t="s">
        <v>25</v>
      </c>
      <c r="D1137" s="2" t="s">
        <v>72</v>
      </c>
      <c r="E1137" s="3" t="s">
        <v>394</v>
      </c>
      <c r="F1137" s="3" t="s">
        <v>395</v>
      </c>
      <c r="G1137" s="3" t="s">
        <v>75</v>
      </c>
      <c r="H1137" s="2" t="s">
        <v>55</v>
      </c>
      <c r="I1137" s="2" t="s">
        <v>3380</v>
      </c>
      <c r="J1137" s="3" t="str">
        <f>HYPERLINK("https://www.boe.es/gazeta/dias/1809/12/14/pdfs/GGB-H-1809-582.pdf#page=4","Abrir facsímil")</f>
        <v>Abrir facsímil</v>
      </c>
      <c r="K1137" s="3" t="s">
        <v>57</v>
      </c>
    </row>
    <row r="1138" spans="1:11" ht="42" customHeight="1">
      <c r="A1138" s="2" t="s">
        <v>3381</v>
      </c>
      <c r="B1138" s="2" t="s">
        <v>3381</v>
      </c>
      <c r="C1138" s="2" t="s">
        <v>25</v>
      </c>
      <c r="D1138" s="2" t="s">
        <v>18</v>
      </c>
      <c r="E1138" s="3" t="s">
        <v>1829</v>
      </c>
      <c r="F1138" s="3" t="s">
        <v>1830</v>
      </c>
      <c r="G1138" s="3" t="s">
        <v>21</v>
      </c>
      <c r="H1138" s="2" t="s">
        <v>55</v>
      </c>
      <c r="I1138" s="2" t="s">
        <v>3382</v>
      </c>
      <c r="J1138" s="3" t="str">
        <f>HYPERLINK("https://www.boe.es/gazeta/dias/1809/09/17/pdfs/GMD-1809-261.pdf#page=3","Abrir facsímil")</f>
        <v>Abrir facsímil</v>
      </c>
      <c r="K1138" s="3" t="s">
        <v>57</v>
      </c>
    </row>
    <row r="1139" spans="1:11" ht="42" customHeight="1">
      <c r="A1139" s="2" t="s">
        <v>3383</v>
      </c>
      <c r="B1139" s="2" t="s">
        <v>3383</v>
      </c>
      <c r="C1139" s="2" t="s">
        <v>25</v>
      </c>
      <c r="D1139" s="2" t="s">
        <v>18</v>
      </c>
      <c r="E1139" s="3" t="s">
        <v>211</v>
      </c>
      <c r="F1139" s="3" t="s">
        <v>212</v>
      </c>
      <c r="G1139" s="3" t="s">
        <v>29</v>
      </c>
      <c r="H1139" s="2" t="s">
        <v>55</v>
      </c>
      <c r="I1139" s="2" t="s">
        <v>3384</v>
      </c>
      <c r="J1139" s="3" t="str">
        <f>HYPERLINK("https://www.boe.es/gazeta/dias/1809/10/27/pdfs/GMD-1809-301.pdf#page=3","Abrir facsímil")</f>
        <v>Abrir facsímil</v>
      </c>
      <c r="K1139" s="3" t="s">
        <v>57</v>
      </c>
    </row>
    <row r="1140" spans="1:11" ht="42" customHeight="1">
      <c r="A1140" s="2" t="s">
        <v>3385</v>
      </c>
      <c r="B1140" s="2" t="s">
        <v>3385</v>
      </c>
      <c r="C1140" s="2" t="s">
        <v>25</v>
      </c>
      <c r="D1140" s="2" t="s">
        <v>26</v>
      </c>
      <c r="E1140" s="3" t="s">
        <v>216</v>
      </c>
      <c r="F1140" s="3" t="s">
        <v>217</v>
      </c>
      <c r="G1140" s="3" t="s">
        <v>75</v>
      </c>
      <c r="H1140" s="2" t="s">
        <v>55</v>
      </c>
      <c r="I1140" s="2" t="s">
        <v>3386</v>
      </c>
      <c r="J1140" s="3" t="str">
        <f>HYPERLINK("https://www.boe.es/gazeta/dias/1809/12/05/pdfs/GGB-H-1809-542.pdf#page=2","Abrir facsímil")</f>
        <v>Abrir facsímil</v>
      </c>
      <c r="K1140" s="3" t="s">
        <v>57</v>
      </c>
    </row>
    <row r="1141" spans="1:11" ht="42" customHeight="1">
      <c r="A1141" s="2" t="s">
        <v>3385</v>
      </c>
      <c r="B1141" s="2" t="s">
        <v>3385</v>
      </c>
      <c r="C1141" s="2" t="s">
        <v>25</v>
      </c>
      <c r="D1141" s="2" t="s">
        <v>26</v>
      </c>
      <c r="E1141" s="3" t="s">
        <v>216</v>
      </c>
      <c r="F1141" s="3" t="s">
        <v>217</v>
      </c>
      <c r="G1141" s="3" t="s">
        <v>587</v>
      </c>
      <c r="H1141" s="2" t="s">
        <v>55</v>
      </c>
      <c r="I1141" s="2" t="s">
        <v>3387</v>
      </c>
      <c r="J1141" s="3" t="str">
        <f>HYPERLINK("https://www.boe.es/gazeta/dias/1809/12/05/pdfs/GGB-H-1809-542.pdf#page=4","Abrir facsímil")</f>
        <v>Abrir facsímil</v>
      </c>
      <c r="K1141" s="3" t="s">
        <v>57</v>
      </c>
    </row>
    <row r="1142" spans="1:11" ht="42" customHeight="1">
      <c r="A1142" s="2" t="s">
        <v>3388</v>
      </c>
      <c r="B1142" s="2" t="s">
        <v>3389</v>
      </c>
      <c r="C1142" s="2" t="s">
        <v>17</v>
      </c>
      <c r="D1142" s="2" t="s">
        <v>18</v>
      </c>
      <c r="E1142" s="3" t="s">
        <v>27</v>
      </c>
      <c r="F1142" s="3" t="s">
        <v>254</v>
      </c>
      <c r="G1142" s="3" t="s">
        <v>239</v>
      </c>
      <c r="H1142" s="2" t="s">
        <v>55</v>
      </c>
      <c r="I1142" s="2" t="s">
        <v>3390</v>
      </c>
      <c r="J1142" s="3" t="str">
        <f>HYPERLINK("https://www.boe.es/gazeta/dias/1809/05/12/pdfs/GGB-1809-26.pdf#page=11","Abrir facsímil")</f>
        <v>Abrir facsímil</v>
      </c>
      <c r="K1142" s="3" t="s">
        <v>57</v>
      </c>
    </row>
    <row r="1143" spans="1:11" ht="42" customHeight="1">
      <c r="A1143" s="2" t="s">
        <v>3391</v>
      </c>
      <c r="B1143" s="2" t="s">
        <v>3392</v>
      </c>
      <c r="C1143" s="2" t="s">
        <v>17</v>
      </c>
      <c r="D1143" s="2" t="s">
        <v>18</v>
      </c>
      <c r="E1143" s="3" t="s">
        <v>1898</v>
      </c>
      <c r="F1143" s="3" t="s">
        <v>1970</v>
      </c>
      <c r="G1143" s="3" t="s">
        <v>154</v>
      </c>
      <c r="H1143" s="2" t="s">
        <v>55</v>
      </c>
      <c r="I1143" s="2" t="s">
        <v>3393</v>
      </c>
      <c r="J1143" s="3" t="str">
        <f>HYPERLINK("https://www.boe.es/gazeta/dias/1809/12/02/pdfs/GMD-1809-337.pdf#page=4","Abrir facsímil")</f>
        <v>Abrir facsímil</v>
      </c>
      <c r="K1143" s="3" t="s">
        <v>57</v>
      </c>
    </row>
    <row r="1144" spans="1:11" ht="42" customHeight="1">
      <c r="A1144" s="2" t="s">
        <v>3394</v>
      </c>
      <c r="B1144" s="2" t="s">
        <v>3394</v>
      </c>
      <c r="C1144" s="2" t="s">
        <v>25</v>
      </c>
      <c r="D1144" s="2" t="s">
        <v>26</v>
      </c>
      <c r="E1144" s="3" t="s">
        <v>113</v>
      </c>
      <c r="F1144" s="3" t="s">
        <v>1982</v>
      </c>
      <c r="G1144" s="3" t="s">
        <v>62</v>
      </c>
      <c r="H1144" s="2" t="s">
        <v>55</v>
      </c>
      <c r="I1144" s="2" t="s">
        <v>3395</v>
      </c>
      <c r="J1144" s="3" t="str">
        <f>HYPERLINK("https://www.boe.es/gazeta/dias/1809/04/24/pdfs/GGB-1809-21.pdf#page=2","Abrir facsímil")</f>
        <v>Abrir facsímil</v>
      </c>
      <c r="K1144" s="3" t="s">
        <v>57</v>
      </c>
    </row>
    <row r="1145" spans="1:11" ht="42" customHeight="1">
      <c r="A1145" s="2" t="s">
        <v>3396</v>
      </c>
      <c r="B1145" s="2" t="s">
        <v>3396</v>
      </c>
      <c r="C1145" s="2" t="s">
        <v>25</v>
      </c>
      <c r="D1145" s="2" t="s">
        <v>18</v>
      </c>
      <c r="E1145" s="3" t="s">
        <v>3397</v>
      </c>
      <c r="F1145" s="3" t="s">
        <v>3398</v>
      </c>
      <c r="G1145" s="3" t="s">
        <v>587</v>
      </c>
      <c r="H1145" s="2" t="s">
        <v>55</v>
      </c>
      <c r="I1145" s="2" t="s">
        <v>3399</v>
      </c>
      <c r="J1145" s="3" t="str">
        <f>HYPERLINK("https://www.boe.es/gazeta/dias/1809/02/08/pdfs/GMD-1809-39.pdf#page=2","Abrir facsímil")</f>
        <v>Abrir facsímil</v>
      </c>
      <c r="K1145" s="3" t="s">
        <v>57</v>
      </c>
    </row>
    <row r="1146" spans="1:11" ht="42" customHeight="1">
      <c r="A1146" s="2" t="s">
        <v>3400</v>
      </c>
      <c r="B1146" s="2" t="s">
        <v>3401</v>
      </c>
      <c r="C1146" s="2" t="s">
        <v>25</v>
      </c>
      <c r="D1146" s="2" t="s">
        <v>107</v>
      </c>
      <c r="E1146" s="3" t="s">
        <v>243</v>
      </c>
      <c r="F1146" s="3" t="s">
        <v>352</v>
      </c>
      <c r="G1146" s="3" t="s">
        <v>426</v>
      </c>
      <c r="H1146" s="2" t="s">
        <v>55</v>
      </c>
      <c r="I1146" s="2" t="s">
        <v>3402</v>
      </c>
      <c r="J1146" s="3" t="str">
        <f>HYPERLINK("https://www.boe.es/gazeta/dias/1809/02/17/pdfs/GMD-1809-48.pdf#page=1","Abrir facsímil")</f>
        <v>Abrir facsímil</v>
      </c>
      <c r="K1146" s="3" t="s">
        <v>57</v>
      </c>
    </row>
    <row r="1147" spans="1:11" ht="42" customHeight="1">
      <c r="A1147" s="2" t="s">
        <v>3403</v>
      </c>
      <c r="B1147" s="2" t="s">
        <v>3404</v>
      </c>
      <c r="C1147" s="2" t="s">
        <v>25</v>
      </c>
      <c r="D1147" s="2" t="s">
        <v>26</v>
      </c>
      <c r="E1147" s="3" t="s">
        <v>394</v>
      </c>
      <c r="F1147" s="3" t="s">
        <v>2563</v>
      </c>
      <c r="G1147" s="3" t="s">
        <v>110</v>
      </c>
      <c r="H1147" s="2" t="s">
        <v>55</v>
      </c>
      <c r="I1147" s="2" t="s">
        <v>3405</v>
      </c>
      <c r="J1147" s="3" t="str">
        <f>HYPERLINK("https://www.boe.es/gazeta/dias/1809/12/14/pdfs/GMD-1809-349.pdf#page=3","Abrir facsímil")</f>
        <v>Abrir facsímil</v>
      </c>
      <c r="K1147" s="3" t="s">
        <v>57</v>
      </c>
    </row>
    <row r="1148" spans="1:11" ht="42" customHeight="1">
      <c r="A1148" s="2" t="s">
        <v>3406</v>
      </c>
      <c r="B1148" s="2" t="s">
        <v>3406</v>
      </c>
      <c r="C1148" s="2" t="s">
        <v>25</v>
      </c>
      <c r="D1148" s="2" t="s">
        <v>18</v>
      </c>
      <c r="E1148" s="3" t="s">
        <v>1233</v>
      </c>
      <c r="F1148" s="3" t="s">
        <v>1234</v>
      </c>
      <c r="G1148" s="3" t="s">
        <v>225</v>
      </c>
      <c r="H1148" s="2" t="s">
        <v>55</v>
      </c>
      <c r="I1148" s="2" t="s">
        <v>3407</v>
      </c>
      <c r="J1148" s="3" t="str">
        <f>HYPERLINK("https://www.boe.es/gazeta/dias/1809/12/01/pdfs/GMD-1809-336.pdf#page=4","Abrir facsímil")</f>
        <v>Abrir facsímil</v>
      </c>
      <c r="K1148" s="3" t="s">
        <v>57</v>
      </c>
    </row>
    <row r="1149" spans="1:11" ht="42" customHeight="1">
      <c r="A1149" s="2" t="s">
        <v>3408</v>
      </c>
      <c r="B1149" s="2" t="s">
        <v>3408</v>
      </c>
      <c r="C1149" s="2" t="s">
        <v>25</v>
      </c>
      <c r="D1149" s="2" t="s">
        <v>26</v>
      </c>
      <c r="E1149" s="3" t="s">
        <v>482</v>
      </c>
      <c r="F1149" s="3" t="s">
        <v>483</v>
      </c>
      <c r="G1149" s="3" t="s">
        <v>918</v>
      </c>
      <c r="H1149" s="2" t="s">
        <v>55</v>
      </c>
      <c r="I1149" s="2" t="s">
        <v>3409</v>
      </c>
      <c r="J1149" s="3" t="str">
        <f>HYPERLINK("https://www.boe.es/gazeta/dias/1809/06/15/pdfs/GMD-1809-166.pdf#page=2","Abrir facsímil")</f>
        <v>Abrir facsímil</v>
      </c>
      <c r="K1149" s="3" t="s">
        <v>57</v>
      </c>
    </row>
    <row r="1150" spans="1:11" ht="42" customHeight="1">
      <c r="A1150" s="2" t="s">
        <v>3410</v>
      </c>
      <c r="B1150" s="2" t="s">
        <v>3410</v>
      </c>
      <c r="C1150" s="2" t="s">
        <v>25</v>
      </c>
      <c r="D1150" s="2" t="s">
        <v>26</v>
      </c>
      <c r="E1150" s="3" t="s">
        <v>53</v>
      </c>
      <c r="F1150" s="3" t="s">
        <v>3411</v>
      </c>
      <c r="G1150" s="3" t="s">
        <v>136</v>
      </c>
      <c r="H1150" s="2" t="s">
        <v>55</v>
      </c>
      <c r="I1150" s="2" t="s">
        <v>3412</v>
      </c>
      <c r="J1150" s="3" t="str">
        <f>HYPERLINK("https://www.boe.es/gazeta/dias/1809/03/03/pdfs/GGB-1809-10.pdf#page=1","Abrir facsímil")</f>
        <v>Abrir facsímil</v>
      </c>
      <c r="K1150" s="3" t="s">
        <v>57</v>
      </c>
    </row>
    <row r="1151" spans="1:11" ht="42" customHeight="1">
      <c r="A1151" s="2" t="s">
        <v>3413</v>
      </c>
      <c r="B1151" s="2" t="s">
        <v>3413</v>
      </c>
      <c r="C1151" s="2" t="s">
        <v>25</v>
      </c>
      <c r="D1151" s="2" t="s">
        <v>18</v>
      </c>
      <c r="E1151" s="3" t="s">
        <v>211</v>
      </c>
      <c r="F1151" s="3" t="s">
        <v>212</v>
      </c>
      <c r="G1151" s="3" t="s">
        <v>467</v>
      </c>
      <c r="H1151" s="2" t="s">
        <v>55</v>
      </c>
      <c r="I1151" s="2" t="s">
        <v>3414</v>
      </c>
      <c r="J1151" s="3" t="str">
        <f>HYPERLINK("https://www.boe.es/gazeta/dias/1809/10/27/pdfs/GMD-1809-301.pdf#page=2","Abrir facsímil")</f>
        <v>Abrir facsímil</v>
      </c>
      <c r="K1151" s="3" t="s">
        <v>57</v>
      </c>
    </row>
    <row r="1152" spans="1:11" ht="42" customHeight="1">
      <c r="A1152" s="2" t="s">
        <v>3413</v>
      </c>
      <c r="B1152" s="2" t="s">
        <v>3413</v>
      </c>
      <c r="C1152" s="2" t="s">
        <v>25</v>
      </c>
      <c r="D1152" s="2" t="s">
        <v>26</v>
      </c>
      <c r="E1152" s="3" t="s">
        <v>216</v>
      </c>
      <c r="F1152" s="3" t="s">
        <v>217</v>
      </c>
      <c r="G1152" s="3" t="s">
        <v>270</v>
      </c>
      <c r="H1152" s="2" t="s">
        <v>55</v>
      </c>
      <c r="I1152" s="2" t="s">
        <v>3415</v>
      </c>
      <c r="J1152" s="3" t="str">
        <f>HYPERLINK("https://www.boe.es/gazeta/dias/1809/12/05/pdfs/GGB-H-1809-542.pdf#page=3","Abrir facsímil")</f>
        <v>Abrir facsímil</v>
      </c>
      <c r="K1152" s="3" t="s">
        <v>57</v>
      </c>
    </row>
    <row r="1153" spans="1:11" ht="42" customHeight="1">
      <c r="A1153" s="2" t="s">
        <v>3416</v>
      </c>
      <c r="B1153" s="2" t="s">
        <v>3417</v>
      </c>
      <c r="C1153" s="2" t="s">
        <v>17</v>
      </c>
      <c r="D1153" s="2" t="s">
        <v>18</v>
      </c>
      <c r="E1153" s="3" t="s">
        <v>33</v>
      </c>
      <c r="F1153" s="3" t="s">
        <v>34</v>
      </c>
      <c r="G1153" s="3" t="s">
        <v>493</v>
      </c>
      <c r="H1153" s="2" t="s">
        <v>55</v>
      </c>
      <c r="I1153" s="2" t="s">
        <v>3418</v>
      </c>
      <c r="J1153" s="3" t="str">
        <f>HYPERLINK("https://www.boe.es/gazeta/dias/1809/12/19/pdfs/GGB-1809-602.pdf#page=6","Abrir facsímil")</f>
        <v>Abrir facsímil</v>
      </c>
      <c r="K1153" s="3" t="s">
        <v>57</v>
      </c>
    </row>
    <row r="1154" spans="1:11" ht="42" customHeight="1">
      <c r="A1154" s="2" t="s">
        <v>3419</v>
      </c>
      <c r="B1154" s="2" t="s">
        <v>3419</v>
      </c>
      <c r="C1154" s="2" t="s">
        <v>25</v>
      </c>
      <c r="D1154" s="2" t="s">
        <v>26</v>
      </c>
      <c r="E1154" s="3" t="s">
        <v>1276</v>
      </c>
      <c r="F1154" s="3" t="s">
        <v>2088</v>
      </c>
      <c r="G1154" s="3" t="s">
        <v>651</v>
      </c>
      <c r="H1154" s="2" t="s">
        <v>55</v>
      </c>
      <c r="I1154" s="2" t="s">
        <v>3420</v>
      </c>
      <c r="J1154" s="3" t="str">
        <f>HYPERLINK("https://www.boe.es/gazeta/dias/1809/01/03/pdfs/GMD-1809-3.pdf#page=1","Abrir facsímil")</f>
        <v>Abrir facsímil</v>
      </c>
      <c r="K1154" s="3" t="s">
        <v>57</v>
      </c>
    </row>
    <row r="1155" spans="1:11" ht="42" customHeight="1">
      <c r="A1155" s="2" t="s">
        <v>3419</v>
      </c>
      <c r="B1155" s="2" t="s">
        <v>3419</v>
      </c>
      <c r="C1155" s="2" t="s">
        <v>17</v>
      </c>
      <c r="D1155" s="2" t="s">
        <v>18</v>
      </c>
      <c r="E1155" s="3" t="s">
        <v>1123</v>
      </c>
      <c r="F1155" s="3" t="s">
        <v>1124</v>
      </c>
      <c r="G1155" s="3" t="s">
        <v>154</v>
      </c>
      <c r="H1155" s="2" t="s">
        <v>55</v>
      </c>
      <c r="I1155" s="2" t="s">
        <v>3421</v>
      </c>
      <c r="J1155" s="3" t="str">
        <f>HYPERLINK("https://www.boe.es/gazeta/dias/1809/01/08/pdfs/GMD-1809-8.pdf#page=2","Abrir facsímil")</f>
        <v>Abrir facsímil</v>
      </c>
      <c r="K1155" s="3" t="s">
        <v>57</v>
      </c>
    </row>
    <row r="1156" spans="1:11" ht="42" customHeight="1">
      <c r="A1156" s="2" t="s">
        <v>3419</v>
      </c>
      <c r="B1156" s="2" t="s">
        <v>3419</v>
      </c>
      <c r="C1156" s="2" t="s">
        <v>17</v>
      </c>
      <c r="D1156" s="2" t="s">
        <v>18</v>
      </c>
      <c r="E1156" s="3" t="s">
        <v>424</v>
      </c>
      <c r="F1156" s="3" t="s">
        <v>425</v>
      </c>
      <c r="G1156" s="3" t="s">
        <v>154</v>
      </c>
      <c r="H1156" s="2" t="s">
        <v>55</v>
      </c>
      <c r="I1156" s="2" t="s">
        <v>3422</v>
      </c>
      <c r="J1156" s="3" t="str">
        <f>HYPERLINK("https://www.boe.es/gazeta/dias/1809/05/10/pdfs/GMD-1809-130.pdf#page=4","Abrir facsímil")</f>
        <v>Abrir facsímil</v>
      </c>
      <c r="K1156" s="3" t="s">
        <v>57</v>
      </c>
    </row>
    <row r="1157" spans="1:11" ht="42" customHeight="1">
      <c r="A1157" s="2" t="s">
        <v>3419</v>
      </c>
      <c r="B1157" s="2" t="s">
        <v>3419</v>
      </c>
      <c r="C1157" s="2" t="s">
        <v>25</v>
      </c>
      <c r="D1157" s="2" t="s">
        <v>26</v>
      </c>
      <c r="E1157" s="3" t="s">
        <v>730</v>
      </c>
      <c r="F1157" s="3" t="s">
        <v>3423</v>
      </c>
      <c r="G1157" s="3" t="s">
        <v>379</v>
      </c>
      <c r="H1157" s="2" t="s">
        <v>55</v>
      </c>
      <c r="I1157" s="2" t="s">
        <v>3424</v>
      </c>
      <c r="J1157" s="3" t="str">
        <f>HYPERLINK("https://www.boe.es/gazeta/dias/1809/06/23/pdfs/GGB-1809-39.pdf#page=4","Abrir facsímil")</f>
        <v>Abrir facsímil</v>
      </c>
      <c r="K1157" s="3" t="s">
        <v>57</v>
      </c>
    </row>
    <row r="1158" spans="1:11" ht="42" customHeight="1">
      <c r="A1158" s="2" t="s">
        <v>3419</v>
      </c>
      <c r="B1158" s="2" t="s">
        <v>3419</v>
      </c>
      <c r="C1158" s="2" t="s">
        <v>17</v>
      </c>
      <c r="D1158" s="2" t="s">
        <v>18</v>
      </c>
      <c r="E1158" s="3" t="s">
        <v>3425</v>
      </c>
      <c r="F1158" s="3" t="s">
        <v>3426</v>
      </c>
      <c r="G1158" s="3" t="s">
        <v>234</v>
      </c>
      <c r="H1158" s="2" t="s">
        <v>55</v>
      </c>
      <c r="I1158" s="2" t="s">
        <v>3427</v>
      </c>
      <c r="J1158" s="3" t="str">
        <f>HYPERLINK("https://www.boe.es/gazeta/dias/1809/07/23/pdfs/GMD-1809-204.pdf#page=3","Abrir facsímil")</f>
        <v>Abrir facsímil</v>
      </c>
      <c r="K1158" s="3" t="s">
        <v>57</v>
      </c>
    </row>
    <row r="1159" spans="1:11" ht="42" customHeight="1">
      <c r="A1159" s="2" t="s">
        <v>3419</v>
      </c>
      <c r="B1159" s="2" t="s">
        <v>3419</v>
      </c>
      <c r="C1159" s="2" t="s">
        <v>25</v>
      </c>
      <c r="D1159" s="2" t="s">
        <v>26</v>
      </c>
      <c r="E1159" s="3" t="s">
        <v>442</v>
      </c>
      <c r="F1159" s="3" t="s">
        <v>443</v>
      </c>
      <c r="G1159" s="3" t="s">
        <v>234</v>
      </c>
      <c r="H1159" s="2" t="s">
        <v>55</v>
      </c>
      <c r="I1159" s="2" t="s">
        <v>3428</v>
      </c>
      <c r="J1159" s="3" t="str">
        <f>HYPERLINK("https://www.boe.es/gazeta/dias/1809/09/05/pdfs/GGB-1809-152.pdf#page=3","Abrir facsímil")</f>
        <v>Abrir facsímil</v>
      </c>
      <c r="K1159" s="3" t="s">
        <v>57</v>
      </c>
    </row>
    <row r="1160" spans="1:11" ht="42" customHeight="1">
      <c r="A1160" s="2" t="s">
        <v>3419</v>
      </c>
      <c r="B1160" s="2" t="s">
        <v>3419</v>
      </c>
      <c r="C1160" s="2" t="s">
        <v>17</v>
      </c>
      <c r="D1160" s="2" t="s">
        <v>18</v>
      </c>
      <c r="E1160" s="3" t="s">
        <v>216</v>
      </c>
      <c r="F1160" s="3" t="s">
        <v>2813</v>
      </c>
      <c r="G1160" s="3" t="s">
        <v>3429</v>
      </c>
      <c r="H1160" s="2" t="s">
        <v>55</v>
      </c>
      <c r="I1160" s="2" t="s">
        <v>3430</v>
      </c>
      <c r="J1160" s="3" t="str">
        <f>HYPERLINK("https://www.boe.es/gazeta/dias/1809/12/05/pdfs/GMD-1809-340.pdf#page=1","Abrir facsímil")</f>
        <v>Abrir facsímil</v>
      </c>
      <c r="K1160" s="3" t="s">
        <v>57</v>
      </c>
    </row>
    <row r="1161" spans="1:11" ht="42" customHeight="1">
      <c r="A1161" s="2" t="s">
        <v>3419</v>
      </c>
      <c r="B1161" s="2" t="s">
        <v>3419</v>
      </c>
      <c r="C1161" s="2" t="s">
        <v>25</v>
      </c>
      <c r="D1161" s="2" t="s">
        <v>18</v>
      </c>
      <c r="E1161" s="3" t="s">
        <v>3431</v>
      </c>
      <c r="F1161" s="3" t="s">
        <v>3432</v>
      </c>
      <c r="G1161" s="3" t="s">
        <v>416</v>
      </c>
      <c r="H1161" s="2" t="s">
        <v>55</v>
      </c>
      <c r="I1161" s="2" t="s">
        <v>3433</v>
      </c>
      <c r="J1161" s="3" t="str">
        <f>HYPERLINK("https://www.boe.es/gazeta/dias/1809/12/18/pdfs/GMD-1809-353.pdf#page=2","Abrir facsímil")</f>
        <v>Abrir facsímil</v>
      </c>
      <c r="K1161" s="3" t="s">
        <v>57</v>
      </c>
    </row>
    <row r="1162" spans="1:11" ht="42" customHeight="1">
      <c r="A1162" s="2" t="s">
        <v>3434</v>
      </c>
      <c r="B1162" s="2" t="s">
        <v>3435</v>
      </c>
      <c r="C1162" s="2" t="s">
        <v>25</v>
      </c>
      <c r="D1162" s="2" t="s">
        <v>26</v>
      </c>
      <c r="E1162" s="3" t="s">
        <v>1123</v>
      </c>
      <c r="F1162" s="3" t="s">
        <v>1124</v>
      </c>
      <c r="G1162" s="3" t="s">
        <v>21</v>
      </c>
      <c r="H1162" s="2" t="s">
        <v>55</v>
      </c>
      <c r="I1162" s="2" t="s">
        <v>3436</v>
      </c>
      <c r="J1162" s="3" t="str">
        <f>HYPERLINK("https://www.boe.es/gazeta/dias/1809/01/08/pdfs/GMD-1809-8.pdf#page=5","Abrir facsímil")</f>
        <v>Abrir facsímil</v>
      </c>
      <c r="K1162" s="3" t="s">
        <v>57</v>
      </c>
    </row>
    <row r="1163" spans="1:11" ht="42" customHeight="1">
      <c r="A1163" s="2" t="s">
        <v>3437</v>
      </c>
      <c r="B1163" s="2" t="s">
        <v>3438</v>
      </c>
      <c r="C1163" s="2" t="s">
        <v>25</v>
      </c>
      <c r="D1163" s="2" t="s">
        <v>80</v>
      </c>
      <c r="E1163" s="3" t="s">
        <v>81</v>
      </c>
      <c r="F1163" s="3" t="s">
        <v>82</v>
      </c>
      <c r="G1163" s="3" t="s">
        <v>120</v>
      </c>
      <c r="H1163" s="2" t="s">
        <v>55</v>
      </c>
      <c r="I1163" s="2" t="s">
        <v>3439</v>
      </c>
      <c r="J1163" s="3" t="str">
        <f>HYPERLINK("https://www.boe.es/gazeta/dias/1809/04/11/pdfs/GGB-1809-16E.pdf#page=5","Abrir facsímil")</f>
        <v>Abrir facsímil</v>
      </c>
      <c r="K1163" s="3" t="s">
        <v>57</v>
      </c>
    </row>
    <row r="1164" spans="1:11" ht="42" customHeight="1">
      <c r="A1164" s="2" t="s">
        <v>3440</v>
      </c>
      <c r="B1164" s="2" t="s">
        <v>3441</v>
      </c>
      <c r="C1164" s="2" t="s">
        <v>25</v>
      </c>
      <c r="D1164" s="2" t="s">
        <v>18</v>
      </c>
      <c r="E1164" s="3" t="s">
        <v>1640</v>
      </c>
      <c r="F1164" s="3" t="s">
        <v>2064</v>
      </c>
      <c r="G1164" s="3" t="s">
        <v>234</v>
      </c>
      <c r="H1164" s="2" t="s">
        <v>22</v>
      </c>
      <c r="I1164" s="2" t="s">
        <v>3442</v>
      </c>
      <c r="J1164" s="3" t="str">
        <f>HYPERLINK("https://www.boe.es/gazeta/dias/1809/01/06/pdfs/GMS-1809-64.pdf#page=7","Abrir facsímil")</f>
        <v>Abrir facsímil</v>
      </c>
      <c r="K1164" s="3" t="s">
        <v>24</v>
      </c>
    </row>
    <row r="1165" spans="1:11" ht="42" customHeight="1">
      <c r="A1165" s="2" t="s">
        <v>3443</v>
      </c>
      <c r="B1165" s="2" t="s">
        <v>3444</v>
      </c>
      <c r="C1165" s="2" t="s">
        <v>25</v>
      </c>
      <c r="D1165" s="2" t="s">
        <v>26</v>
      </c>
      <c r="E1165" s="3" t="s">
        <v>627</v>
      </c>
      <c r="F1165" s="3" t="s">
        <v>628</v>
      </c>
      <c r="G1165" s="3" t="s">
        <v>270</v>
      </c>
      <c r="H1165" s="2" t="s">
        <v>55</v>
      </c>
      <c r="I1165" s="2" t="s">
        <v>3445</v>
      </c>
      <c r="J1165" s="3" t="str">
        <f>HYPERLINK("https://www.boe.es/gazeta/dias/1809/08/28/pdfs/GMD-1809-241.pdf#page=3","Abrir facsímil")</f>
        <v>Abrir facsímil</v>
      </c>
      <c r="K1165" s="3" t="s">
        <v>57</v>
      </c>
    </row>
    <row r="1166" spans="1:11" ht="42" customHeight="1">
      <c r="A1166" s="2" t="s">
        <v>3446</v>
      </c>
      <c r="B1166" s="2" t="s">
        <v>3447</v>
      </c>
      <c r="C1166" s="2" t="s">
        <v>25</v>
      </c>
      <c r="D1166" s="2" t="s">
        <v>80</v>
      </c>
      <c r="E1166" s="3" t="s">
        <v>1608</v>
      </c>
      <c r="F1166" s="3" t="s">
        <v>1609</v>
      </c>
      <c r="G1166" s="3" t="s">
        <v>120</v>
      </c>
      <c r="H1166" s="2" t="s">
        <v>55</v>
      </c>
      <c r="I1166" s="2" t="s">
        <v>3448</v>
      </c>
      <c r="J1166" s="3" t="str">
        <f>HYPERLINK("https://www.boe.es/gazeta/dias/1809/04/15/pdfs/GGB-1809-18E.pdf#page=5","Abrir facsímil")</f>
        <v>Abrir facsímil</v>
      </c>
      <c r="K1166" s="3" t="s">
        <v>57</v>
      </c>
    </row>
    <row r="1167" spans="1:11" ht="42" customHeight="1">
      <c r="A1167" s="2" t="s">
        <v>3449</v>
      </c>
      <c r="B1167" s="2" t="s">
        <v>3450</v>
      </c>
      <c r="C1167" s="2" t="s">
        <v>25</v>
      </c>
      <c r="D1167" s="2" t="s">
        <v>26</v>
      </c>
      <c r="E1167" s="3" t="s">
        <v>92</v>
      </c>
      <c r="F1167" s="3" t="s">
        <v>93</v>
      </c>
      <c r="G1167" s="3" t="s">
        <v>94</v>
      </c>
      <c r="H1167" s="2" t="s">
        <v>55</v>
      </c>
      <c r="I1167" s="2" t="s">
        <v>3451</v>
      </c>
      <c r="J1167" s="3" t="str">
        <f>HYPERLINK("https://www.boe.es/gazeta/dias/1809/05/22/pdfs/GGB-G-1809-30.pdf#page=5","Abrir facsímil")</f>
        <v>Abrir facsímil</v>
      </c>
      <c r="K1167" s="3" t="s">
        <v>57</v>
      </c>
    </row>
    <row r="1168" spans="1:11" ht="42" customHeight="1">
      <c r="A1168" s="2" t="s">
        <v>3452</v>
      </c>
      <c r="B1168" s="2" t="s">
        <v>3453</v>
      </c>
      <c r="C1168" s="2" t="s">
        <v>25</v>
      </c>
      <c r="D1168" s="2" t="s">
        <v>80</v>
      </c>
      <c r="E1168" s="3" t="s">
        <v>179</v>
      </c>
      <c r="F1168" s="3" t="s">
        <v>180</v>
      </c>
      <c r="G1168" s="3" t="s">
        <v>239</v>
      </c>
      <c r="H1168" s="2" t="s">
        <v>55</v>
      </c>
      <c r="I1168" s="2" t="s">
        <v>3454</v>
      </c>
      <c r="J1168" s="3" t="str">
        <f>HYPERLINK("https://www.boe.es/gazeta/dias/1809/12/08/pdfs/GGB-1809-552E.pdf#page=2","Abrir facsímil")</f>
        <v>Abrir facsímil</v>
      </c>
      <c r="K1168" s="3" t="s">
        <v>57</v>
      </c>
    </row>
    <row r="1169" spans="1:11" ht="42" customHeight="1">
      <c r="A1169" s="2" t="s">
        <v>3455</v>
      </c>
      <c r="B1169" s="2" t="s">
        <v>3456</v>
      </c>
      <c r="C1169" s="2" t="s">
        <v>131</v>
      </c>
      <c r="D1169" s="2" t="s">
        <v>18</v>
      </c>
      <c r="E1169" s="3" t="s">
        <v>278</v>
      </c>
      <c r="F1169" s="3" t="s">
        <v>279</v>
      </c>
      <c r="G1169" s="3" t="s">
        <v>1680</v>
      </c>
      <c r="H1169" s="2" t="s">
        <v>55</v>
      </c>
      <c r="I1169" s="2" t="s">
        <v>3457</v>
      </c>
      <c r="J1169" s="3" t="str">
        <f>HYPERLINK("https://www.boe.es/gazeta/dias/1809/03/26/pdfs/GMD-1809-85.pdf#page=4","Abrir facsímil")</f>
        <v>Abrir facsímil</v>
      </c>
      <c r="K1169" s="3" t="s">
        <v>57</v>
      </c>
    </row>
    <row r="1170" spans="1:11" ht="42" customHeight="1">
      <c r="A1170" s="2" t="s">
        <v>3458</v>
      </c>
      <c r="B1170" s="2" t="s">
        <v>3459</v>
      </c>
      <c r="C1170" s="2" t="s">
        <v>369</v>
      </c>
      <c r="D1170" s="2" t="s">
        <v>18</v>
      </c>
      <c r="E1170" s="3" t="s">
        <v>1073</v>
      </c>
      <c r="F1170" s="3" t="s">
        <v>1074</v>
      </c>
      <c r="G1170" s="3" t="s">
        <v>2422</v>
      </c>
      <c r="H1170" s="2" t="s">
        <v>55</v>
      </c>
      <c r="I1170" s="2" t="s">
        <v>3460</v>
      </c>
      <c r="J1170" s="3" t="str">
        <f>HYPERLINK("https://www.boe.es/gazeta/dias/1809/01/13/pdfs/GMD-1809-13.pdf#page=4","Abrir facsímil")</f>
        <v>Abrir facsímil</v>
      </c>
      <c r="K1170" s="3" t="s">
        <v>57</v>
      </c>
    </row>
    <row r="1171" spans="1:11" ht="42" customHeight="1">
      <c r="A1171" s="2" t="s">
        <v>3458</v>
      </c>
      <c r="B1171" s="2" t="s">
        <v>3459</v>
      </c>
      <c r="C1171" s="2" t="s">
        <v>369</v>
      </c>
      <c r="D1171" s="2" t="s">
        <v>18</v>
      </c>
      <c r="E1171" s="3" t="s">
        <v>1076</v>
      </c>
      <c r="F1171" s="3" t="s">
        <v>1074</v>
      </c>
      <c r="G1171" s="3" t="s">
        <v>2422</v>
      </c>
      <c r="H1171" s="2" t="s">
        <v>55</v>
      </c>
      <c r="I1171" s="2" t="s">
        <v>3460</v>
      </c>
      <c r="J1171" s="3" t="str">
        <f>HYPERLINK("https://www.boe.es/gazeta/dias/1809/04/13/pdfs/GMD-1809-13.pdf#page=4","Abrir facsímil")</f>
        <v>Abrir facsímil</v>
      </c>
      <c r="K1171" s="3" t="s">
        <v>57</v>
      </c>
    </row>
    <row r="1172" spans="1:11" ht="42" customHeight="1">
      <c r="A1172" s="2" t="s">
        <v>3461</v>
      </c>
      <c r="B1172" s="2" t="s">
        <v>3462</v>
      </c>
      <c r="C1172" s="2" t="s">
        <v>17</v>
      </c>
      <c r="D1172" s="2" t="s">
        <v>18</v>
      </c>
      <c r="E1172" s="3" t="s">
        <v>838</v>
      </c>
      <c r="F1172" s="3" t="s">
        <v>839</v>
      </c>
      <c r="G1172" s="3" t="s">
        <v>906</v>
      </c>
      <c r="H1172" s="2" t="s">
        <v>55</v>
      </c>
      <c r="I1172" s="2" t="s">
        <v>3463</v>
      </c>
      <c r="J1172" s="3" t="str">
        <f>HYPERLINK("https://www.boe.es/gazeta/dias/1809/08/03/pdfs/GGB-1809-12.pdf#page=8","Abrir facsímil")</f>
        <v>Abrir facsímil</v>
      </c>
      <c r="K1172" s="3" t="s">
        <v>57</v>
      </c>
    </row>
    <row r="1173" spans="1:11" ht="42" customHeight="1">
      <c r="A1173" s="2" t="s">
        <v>3464</v>
      </c>
      <c r="B1173" s="2" t="s">
        <v>3465</v>
      </c>
      <c r="C1173" s="2" t="s">
        <v>288</v>
      </c>
      <c r="D1173" s="2" t="s">
        <v>18</v>
      </c>
      <c r="E1173" s="3" t="s">
        <v>2244</v>
      </c>
      <c r="F1173" s="3" t="s">
        <v>2245</v>
      </c>
      <c r="G1173" s="3" t="s">
        <v>3015</v>
      </c>
      <c r="H1173" s="2" t="s">
        <v>55</v>
      </c>
      <c r="I1173" s="2" t="s">
        <v>3466</v>
      </c>
      <c r="J1173" s="3" t="str">
        <f>HYPERLINK("https://www.boe.es/gazeta/dias/1809/03/27/pdfs/GGB-1809-13B.pdf#page=8","Abrir facsímil")</f>
        <v>Abrir facsímil</v>
      </c>
      <c r="K1173" s="3" t="s">
        <v>57</v>
      </c>
    </row>
    <row r="1174" spans="1:11" ht="42" customHeight="1">
      <c r="A1174" s="2" t="s">
        <v>3467</v>
      </c>
      <c r="B1174" s="2" t="s">
        <v>3468</v>
      </c>
      <c r="C1174" s="2" t="s">
        <v>25</v>
      </c>
      <c r="D1174" s="2" t="s">
        <v>18</v>
      </c>
      <c r="E1174" s="3" t="s">
        <v>621</v>
      </c>
      <c r="F1174" s="3" t="s">
        <v>622</v>
      </c>
      <c r="G1174" s="3" t="s">
        <v>623</v>
      </c>
      <c r="H1174" s="2" t="s">
        <v>55</v>
      </c>
      <c r="I1174" s="2" t="s">
        <v>3469</v>
      </c>
      <c r="J1174" s="3" t="str">
        <f>HYPERLINK("https://www.boe.es/gazeta/dias/1809/07/04/pdfs/GGB-1809-42.pdf#page=6","Abrir facsímil")</f>
        <v>Abrir facsímil</v>
      </c>
      <c r="K1174" s="3" t="s">
        <v>57</v>
      </c>
    </row>
    <row r="1175" spans="1:11" ht="42" customHeight="1">
      <c r="A1175" s="2" t="s">
        <v>3470</v>
      </c>
      <c r="B1175" s="2" t="s">
        <v>3471</v>
      </c>
      <c r="C1175" s="2" t="s">
        <v>17</v>
      </c>
      <c r="D1175" s="2" t="s">
        <v>18</v>
      </c>
      <c r="E1175" s="3" t="s">
        <v>925</v>
      </c>
      <c r="F1175" s="3" t="s">
        <v>1451</v>
      </c>
      <c r="G1175" s="3" t="s">
        <v>239</v>
      </c>
      <c r="H1175" s="2" t="s">
        <v>55</v>
      </c>
      <c r="I1175" s="2" t="s">
        <v>3472</v>
      </c>
      <c r="J1175" s="3" t="str">
        <f>HYPERLINK("https://www.boe.es/gazeta/dias/1809/01/11/pdfs/GMD-1809-11.pdf#page=4","Abrir facsímil")</f>
        <v>Abrir facsímil</v>
      </c>
      <c r="K1175" s="3" t="s">
        <v>57</v>
      </c>
    </row>
    <row r="1176" spans="1:11" ht="42" customHeight="1">
      <c r="A1176" s="2" t="s">
        <v>3473</v>
      </c>
      <c r="B1176" s="2" t="s">
        <v>3474</v>
      </c>
      <c r="C1176" s="2" t="s">
        <v>17</v>
      </c>
      <c r="D1176" s="2" t="s">
        <v>18</v>
      </c>
      <c r="E1176" s="3" t="s">
        <v>621</v>
      </c>
      <c r="F1176" s="3" t="s">
        <v>622</v>
      </c>
      <c r="G1176" s="3" t="s">
        <v>623</v>
      </c>
      <c r="H1176" s="2" t="s">
        <v>55</v>
      </c>
      <c r="I1176" s="2" t="s">
        <v>3475</v>
      </c>
      <c r="J1176" s="3" t="str">
        <f>HYPERLINK("https://www.boe.es/gazeta/dias/1809/07/04/pdfs/GGB-1809-42.pdf#page=6","Abrir facsímil")</f>
        <v>Abrir facsímil</v>
      </c>
      <c r="K1176" s="3" t="s">
        <v>57</v>
      </c>
    </row>
    <row r="1177" spans="1:11" ht="42" customHeight="1">
      <c r="A1177" s="2" t="s">
        <v>3476</v>
      </c>
      <c r="B1177" s="2" t="s">
        <v>3477</v>
      </c>
      <c r="C1177" s="2" t="s">
        <v>17</v>
      </c>
      <c r="D1177" s="2" t="s">
        <v>72</v>
      </c>
      <c r="E1177" s="3" t="s">
        <v>557</v>
      </c>
      <c r="F1177" s="3" t="s">
        <v>558</v>
      </c>
      <c r="G1177" s="3" t="s">
        <v>21</v>
      </c>
      <c r="H1177" s="2" t="s">
        <v>55</v>
      </c>
      <c r="I1177" s="2" t="s">
        <v>3478</v>
      </c>
      <c r="J1177" s="3" t="str">
        <f>HYPERLINK("https://www.boe.es/gazeta/dias/1809/04/19/pdfs/GMD-E-1809-109.pdf#page=1","Abrir facsímil")</f>
        <v>Abrir facsímil</v>
      </c>
      <c r="K1177" s="3" t="s">
        <v>57</v>
      </c>
    </row>
    <row r="1178" spans="1:11" ht="42" customHeight="1">
      <c r="A1178" s="2" t="s">
        <v>3479</v>
      </c>
      <c r="B1178" s="2" t="s">
        <v>3480</v>
      </c>
      <c r="C1178" s="2" t="s">
        <v>25</v>
      </c>
      <c r="D1178" s="2" t="s">
        <v>26</v>
      </c>
      <c r="E1178" s="3" t="s">
        <v>343</v>
      </c>
      <c r="F1178" s="3" t="s">
        <v>344</v>
      </c>
      <c r="G1178" s="3" t="s">
        <v>687</v>
      </c>
      <c r="H1178" s="2" t="s">
        <v>55</v>
      </c>
      <c r="I1178" s="2" t="s">
        <v>3481</v>
      </c>
      <c r="J1178" s="3" t="str">
        <f>HYPERLINK("https://www.boe.es/gazeta/dias/1809/03/01/pdfs/GGB-1809-9E2.pdf#page=1","Abrir facsímil")</f>
        <v>Abrir facsímil</v>
      </c>
      <c r="K1178" s="3" t="s">
        <v>57</v>
      </c>
    </row>
    <row r="1179" spans="1:11" ht="42" customHeight="1">
      <c r="A1179" s="2" t="s">
        <v>3482</v>
      </c>
      <c r="B1179" s="2" t="s">
        <v>3483</v>
      </c>
      <c r="C1179" s="2" t="s">
        <v>25</v>
      </c>
      <c r="D1179" s="2" t="s">
        <v>80</v>
      </c>
      <c r="E1179" s="3" t="s">
        <v>179</v>
      </c>
      <c r="F1179" s="3" t="s">
        <v>180</v>
      </c>
      <c r="G1179" s="3" t="s">
        <v>239</v>
      </c>
      <c r="H1179" s="2" t="s">
        <v>55</v>
      </c>
      <c r="I1179" s="2" t="s">
        <v>3484</v>
      </c>
      <c r="J1179" s="3" t="str">
        <f>HYPERLINK("https://www.boe.es/gazeta/dias/1809/12/08/pdfs/GGB-1809-552E.pdf#page=2","Abrir facsímil")</f>
        <v>Abrir facsímil</v>
      </c>
      <c r="K1179" s="3" t="s">
        <v>57</v>
      </c>
    </row>
    <row r="1180" spans="1:11" ht="42" customHeight="1">
      <c r="A1180" s="2" t="s">
        <v>3485</v>
      </c>
      <c r="B1180" s="2" t="s">
        <v>3486</v>
      </c>
      <c r="C1180" s="2" t="s">
        <v>17</v>
      </c>
      <c r="D1180" s="2" t="s">
        <v>40</v>
      </c>
      <c r="E1180" s="3" t="s">
        <v>548</v>
      </c>
      <c r="F1180" s="3" t="s">
        <v>549</v>
      </c>
      <c r="G1180" s="3" t="s">
        <v>316</v>
      </c>
      <c r="H1180" s="2" t="s">
        <v>55</v>
      </c>
      <c r="I1180" s="2" t="s">
        <v>3487</v>
      </c>
      <c r="J1180" s="3" t="str">
        <f>HYPERLINK("https://www.boe.es/gazeta/dias/1809/03/12/pdfs/GMD-1809-71.pdf#page=4","Abrir facsímil")</f>
        <v>Abrir facsímil</v>
      </c>
      <c r="K1180" s="3" t="s">
        <v>57</v>
      </c>
    </row>
    <row r="1181" spans="1:11" ht="42" customHeight="1">
      <c r="A1181" s="2" t="s">
        <v>3488</v>
      </c>
      <c r="B1181" s="2" t="s">
        <v>3489</v>
      </c>
      <c r="C1181" s="2" t="s">
        <v>17</v>
      </c>
      <c r="D1181" s="2" t="s">
        <v>72</v>
      </c>
      <c r="E1181" s="3" t="s">
        <v>216</v>
      </c>
      <c r="F1181" s="3" t="s">
        <v>217</v>
      </c>
      <c r="G1181" s="3" t="s">
        <v>439</v>
      </c>
      <c r="H1181" s="2" t="s">
        <v>55</v>
      </c>
      <c r="I1181" s="2" t="s">
        <v>3490</v>
      </c>
      <c r="J1181" s="3" t="str">
        <f>HYPERLINK("https://www.boe.es/gazeta/dias/1809/12/05/pdfs/GGB-H-1809-542.pdf#page=7","Abrir facsímil")</f>
        <v>Abrir facsímil</v>
      </c>
      <c r="K1181" s="3" t="s">
        <v>57</v>
      </c>
    </row>
    <row r="1182" spans="1:11" ht="42" customHeight="1">
      <c r="A1182" s="2" t="s">
        <v>3491</v>
      </c>
      <c r="B1182" s="2" t="s">
        <v>3492</v>
      </c>
      <c r="C1182" s="2" t="s">
        <v>17</v>
      </c>
      <c r="D1182" s="2" t="s">
        <v>80</v>
      </c>
      <c r="E1182" s="3" t="s">
        <v>81</v>
      </c>
      <c r="F1182" s="3" t="s">
        <v>82</v>
      </c>
      <c r="G1182" s="3" t="s">
        <v>3332</v>
      </c>
      <c r="H1182" s="2" t="s">
        <v>55</v>
      </c>
      <c r="I1182" s="2" t="s">
        <v>3493</v>
      </c>
      <c r="J1182" s="3" t="str">
        <f>HYPERLINK("https://www.boe.es/gazeta/dias/1809/04/11/pdfs/GGB-1809-16E.pdf#page=8","Abrir facsímil")</f>
        <v>Abrir facsímil</v>
      </c>
      <c r="K1182" s="3" t="s">
        <v>57</v>
      </c>
    </row>
    <row r="1183" spans="1:11" ht="42" customHeight="1">
      <c r="A1183" s="2" t="s">
        <v>3494</v>
      </c>
      <c r="B1183" s="2" t="s">
        <v>3495</v>
      </c>
      <c r="C1183" s="2" t="s">
        <v>25</v>
      </c>
      <c r="D1183" s="2" t="s">
        <v>72</v>
      </c>
      <c r="E1183" s="3" t="s">
        <v>118</v>
      </c>
      <c r="F1183" s="3" t="s">
        <v>819</v>
      </c>
      <c r="G1183" s="3" t="s">
        <v>2287</v>
      </c>
      <c r="H1183" s="2" t="s">
        <v>55</v>
      </c>
      <c r="I1183" s="2" t="s">
        <v>3496</v>
      </c>
      <c r="J1183" s="3" t="str">
        <f>HYPERLINK("https://www.boe.es/gazeta/dias/1809/09/07/pdfs/GGB-H-1809-162.pdf#page=7","Abrir facsímil")</f>
        <v>Abrir facsímil</v>
      </c>
      <c r="K1183" s="3" t="s">
        <v>57</v>
      </c>
    </row>
    <row r="1184" spans="1:11" ht="42" customHeight="1">
      <c r="A1184" s="2" t="s">
        <v>3497</v>
      </c>
      <c r="B1184" s="2" t="s">
        <v>3498</v>
      </c>
      <c r="C1184" s="2" t="s">
        <v>17</v>
      </c>
      <c r="D1184" s="2" t="s">
        <v>18</v>
      </c>
      <c r="E1184" s="3" t="s">
        <v>893</v>
      </c>
      <c r="F1184" s="3" t="s">
        <v>1348</v>
      </c>
      <c r="G1184" s="3" t="s">
        <v>1349</v>
      </c>
      <c r="H1184" s="2" t="s">
        <v>55</v>
      </c>
      <c r="I1184" s="2" t="s">
        <v>3499</v>
      </c>
      <c r="J1184" s="3" t="str">
        <f>HYPERLINK("https://www.boe.es/gazeta/dias/1809/11/02/pdfs/GGB-1809-402.pdf#page=4","Abrir facsímil")</f>
        <v>Abrir facsímil</v>
      </c>
      <c r="K1184" s="3" t="s">
        <v>57</v>
      </c>
    </row>
    <row r="1185" spans="1:11" ht="42" customHeight="1">
      <c r="A1185" s="2" t="s">
        <v>3500</v>
      </c>
      <c r="B1185" s="2" t="s">
        <v>3501</v>
      </c>
      <c r="C1185" s="2" t="s">
        <v>17</v>
      </c>
      <c r="D1185" s="2" t="s">
        <v>18</v>
      </c>
      <c r="E1185" s="3" t="s">
        <v>432</v>
      </c>
      <c r="F1185" s="3" t="s">
        <v>1525</v>
      </c>
      <c r="G1185" s="3" t="s">
        <v>234</v>
      </c>
      <c r="H1185" s="2" t="s">
        <v>55</v>
      </c>
      <c r="I1185" s="2" t="s">
        <v>3502</v>
      </c>
      <c r="J1185" s="3" t="str">
        <f>HYPERLINK("https://www.boe.es/gazeta/dias/1809/07/11/pdfs/GGB-1809-44.pdf#page=11","Abrir facsímil")</f>
        <v>Abrir facsímil</v>
      </c>
      <c r="K1185" s="3" t="s">
        <v>57</v>
      </c>
    </row>
    <row r="1186" spans="1:11" ht="42" customHeight="1">
      <c r="A1186" s="2" t="s">
        <v>3503</v>
      </c>
      <c r="B1186" s="2" t="s">
        <v>3504</v>
      </c>
      <c r="C1186" s="2" t="s">
        <v>25</v>
      </c>
      <c r="D1186" s="2" t="s">
        <v>72</v>
      </c>
      <c r="E1186" s="3" t="s">
        <v>190</v>
      </c>
      <c r="F1186" s="3" t="s">
        <v>3505</v>
      </c>
      <c r="G1186" s="3" t="s">
        <v>1278</v>
      </c>
      <c r="H1186" s="2" t="s">
        <v>55</v>
      </c>
      <c r="I1186" s="2" t="s">
        <v>3506</v>
      </c>
      <c r="J1186" s="3" t="str">
        <f>HYPERLINK("https://www.boe.es/gazeta/dias/1809/10/14/pdfs/GGB-H-1809-322.pdf#page=6","Abrir facsímil")</f>
        <v>Abrir facsímil</v>
      </c>
      <c r="K1186" s="3" t="s">
        <v>57</v>
      </c>
    </row>
    <row r="1187" spans="1:11" ht="42" customHeight="1">
      <c r="A1187" s="2" t="s">
        <v>3507</v>
      </c>
      <c r="B1187" s="2" t="s">
        <v>3508</v>
      </c>
      <c r="C1187" s="2" t="s">
        <v>17</v>
      </c>
      <c r="D1187" s="2" t="s">
        <v>18</v>
      </c>
      <c r="E1187" s="3" t="s">
        <v>893</v>
      </c>
      <c r="F1187" s="3" t="s">
        <v>894</v>
      </c>
      <c r="G1187" s="3" t="s">
        <v>225</v>
      </c>
      <c r="H1187" s="2" t="s">
        <v>55</v>
      </c>
      <c r="I1187" s="2" t="s">
        <v>3509</v>
      </c>
      <c r="J1187" s="3" t="str">
        <f>HYPERLINK("https://www.boe.es/gazeta/dias/1809/11/02/pdfs/GMD-1809-307.pdf#page=4","Abrir facsímil")</f>
        <v>Abrir facsímil</v>
      </c>
      <c r="K1187" s="3" t="s">
        <v>57</v>
      </c>
    </row>
    <row r="1188" spans="1:11" ht="42" customHeight="1">
      <c r="A1188" s="2" t="s">
        <v>3510</v>
      </c>
      <c r="B1188" s="2" t="s">
        <v>3511</v>
      </c>
      <c r="C1188" s="2" t="s">
        <v>25</v>
      </c>
      <c r="D1188" s="2" t="s">
        <v>107</v>
      </c>
      <c r="E1188" s="3" t="s">
        <v>81</v>
      </c>
      <c r="F1188" s="3" t="s">
        <v>82</v>
      </c>
      <c r="G1188" s="3" t="s">
        <v>3332</v>
      </c>
      <c r="H1188" s="2" t="s">
        <v>55</v>
      </c>
      <c r="I1188" s="2" t="s">
        <v>3512</v>
      </c>
      <c r="J1188" s="3" t="str">
        <f>HYPERLINK("https://www.boe.es/gazeta/dias/1809/04/11/pdfs/GGB-1809-16E.pdf#page=8","Abrir facsímil")</f>
        <v>Abrir facsímil</v>
      </c>
      <c r="K1188" s="3" t="s">
        <v>57</v>
      </c>
    </row>
    <row r="1189" spans="1:11" ht="42" customHeight="1">
      <c r="A1189" s="2" t="s">
        <v>3513</v>
      </c>
      <c r="B1189" s="2" t="s">
        <v>3514</v>
      </c>
      <c r="C1189" s="2" t="s">
        <v>17</v>
      </c>
      <c r="D1189" s="2" t="s">
        <v>18</v>
      </c>
      <c r="E1189" s="3" t="s">
        <v>87</v>
      </c>
      <c r="F1189" s="3" t="s">
        <v>88</v>
      </c>
      <c r="G1189" s="3" t="s">
        <v>239</v>
      </c>
      <c r="H1189" s="2" t="s">
        <v>55</v>
      </c>
      <c r="I1189" s="2" t="s">
        <v>3515</v>
      </c>
      <c r="J1189" s="3" t="str">
        <f>HYPERLINK("https://www.boe.es/gazeta/dias/1809/02/15/pdfs/GMD-1809-46.pdf#page=3","Abrir facsímil")</f>
        <v>Abrir facsímil</v>
      </c>
      <c r="K1189" s="3" t="s">
        <v>57</v>
      </c>
    </row>
    <row r="1190" spans="1:11" ht="42" customHeight="1">
      <c r="A1190" s="2" t="s">
        <v>3516</v>
      </c>
      <c r="B1190" s="2" t="s">
        <v>3517</v>
      </c>
      <c r="C1190" s="2" t="s">
        <v>17</v>
      </c>
      <c r="D1190" s="2" t="s">
        <v>18</v>
      </c>
      <c r="E1190" s="3" t="s">
        <v>1603</v>
      </c>
      <c r="F1190" s="3" t="s">
        <v>2120</v>
      </c>
      <c r="G1190" s="3" t="s">
        <v>587</v>
      </c>
      <c r="H1190" s="2" t="s">
        <v>55</v>
      </c>
      <c r="I1190" s="2" t="s">
        <v>3518</v>
      </c>
      <c r="J1190" s="3" t="str">
        <f>HYPERLINK("https://www.boe.es/gazeta/dias/1809/03/31/pdfs/GMD-1809-90.pdf#page=3","Abrir facsímil")</f>
        <v>Abrir facsímil</v>
      </c>
      <c r="K1190" s="3" t="s">
        <v>57</v>
      </c>
    </row>
    <row r="1191" spans="1:11" ht="42" customHeight="1">
      <c r="A1191" s="2" t="s">
        <v>3519</v>
      </c>
      <c r="B1191" s="2" t="s">
        <v>3520</v>
      </c>
      <c r="C1191" s="2" t="s">
        <v>25</v>
      </c>
      <c r="D1191" s="2" t="s">
        <v>18</v>
      </c>
      <c r="E1191" s="3" t="s">
        <v>3521</v>
      </c>
      <c r="F1191" s="3" t="s">
        <v>3522</v>
      </c>
      <c r="G1191" s="3" t="s">
        <v>110</v>
      </c>
      <c r="H1191" s="2" t="s">
        <v>55</v>
      </c>
      <c r="I1191" s="2" t="s">
        <v>3523</v>
      </c>
      <c r="J1191" s="3" t="str">
        <f>HYPERLINK("https://www.boe.es/gazeta/dias/1809/02/24/pdfs/GGB-1809-9.pdf#page=6","Abrir facsímil")</f>
        <v>Abrir facsímil</v>
      </c>
      <c r="K1191" s="3" t="s">
        <v>57</v>
      </c>
    </row>
    <row r="1192" spans="1:11" ht="42" customHeight="1">
      <c r="A1192" s="2" t="s">
        <v>3524</v>
      </c>
      <c r="B1192" s="2" t="s">
        <v>3525</v>
      </c>
      <c r="C1192" s="2" t="s">
        <v>17</v>
      </c>
      <c r="D1192" s="2" t="s">
        <v>40</v>
      </c>
      <c r="E1192" s="3" t="s">
        <v>635</v>
      </c>
      <c r="F1192" s="3" t="s">
        <v>636</v>
      </c>
      <c r="G1192" s="3" t="s">
        <v>21</v>
      </c>
      <c r="H1192" s="2" t="s">
        <v>55</v>
      </c>
      <c r="I1192" s="2" t="s">
        <v>3526</v>
      </c>
      <c r="J1192" s="3" t="str">
        <f>HYPERLINK("https://www.boe.es/gazeta/dias/1809/12/16/pdfs/GGB-1809-592.pdf#page=7","Abrir facsímil")</f>
        <v>Abrir facsímil</v>
      </c>
      <c r="K1192" s="3" t="s">
        <v>57</v>
      </c>
    </row>
    <row r="1193" spans="1:11" ht="42" customHeight="1">
      <c r="A1193" s="2" t="s">
        <v>3527</v>
      </c>
      <c r="B1193" s="2" t="s">
        <v>3528</v>
      </c>
      <c r="C1193" s="2" t="s">
        <v>25</v>
      </c>
      <c r="D1193" s="2" t="s">
        <v>107</v>
      </c>
      <c r="E1193" s="3" t="s">
        <v>3258</v>
      </c>
      <c r="F1193" s="3" t="s">
        <v>3529</v>
      </c>
      <c r="G1193" s="3" t="s">
        <v>110</v>
      </c>
      <c r="H1193" s="2" t="s">
        <v>55</v>
      </c>
      <c r="I1193" s="2" t="s">
        <v>3530</v>
      </c>
      <c r="J1193" s="3" t="str">
        <f>HYPERLINK("https://www.boe.es/gazeta/dias/1809/04/03/pdfs/GGB-1809-14B.pdf#page=2","Abrir facsímil")</f>
        <v>Abrir facsímil</v>
      </c>
      <c r="K1193" s="3" t="s">
        <v>57</v>
      </c>
    </row>
    <row r="1194" spans="1:11" ht="42" customHeight="1">
      <c r="A1194" s="2" t="s">
        <v>3531</v>
      </c>
      <c r="B1194" s="2" t="s">
        <v>3532</v>
      </c>
      <c r="C1194" s="2" t="s">
        <v>17</v>
      </c>
      <c r="D1194" s="2" t="s">
        <v>107</v>
      </c>
      <c r="E1194" s="3" t="s">
        <v>776</v>
      </c>
      <c r="F1194" s="3" t="s">
        <v>1485</v>
      </c>
      <c r="G1194" s="3" t="s">
        <v>129</v>
      </c>
      <c r="H1194" s="2" t="s">
        <v>55</v>
      </c>
      <c r="I1194" s="2" t="s">
        <v>3533</v>
      </c>
      <c r="J1194" s="3" t="str">
        <f>HYPERLINK("https://www.boe.es/gazeta/dias/1809/05/28/pdfs/GGB-1809-31E2.pdf#page=2","Abrir facsímil")</f>
        <v>Abrir facsímil</v>
      </c>
      <c r="K1194" s="3" t="s">
        <v>57</v>
      </c>
    </row>
    <row r="1195" spans="1:11" ht="42" customHeight="1">
      <c r="A1195" s="2" t="s">
        <v>3534</v>
      </c>
      <c r="B1195" s="2" t="s">
        <v>3535</v>
      </c>
      <c r="C1195" s="2" t="s">
        <v>17</v>
      </c>
      <c r="D1195" s="2" t="s">
        <v>107</v>
      </c>
      <c r="E1195" s="3" t="s">
        <v>73</v>
      </c>
      <c r="F1195" s="3" t="s">
        <v>822</v>
      </c>
      <c r="G1195" s="3" t="s">
        <v>3536</v>
      </c>
      <c r="H1195" s="2" t="s">
        <v>55</v>
      </c>
      <c r="I1195" s="2" t="s">
        <v>3537</v>
      </c>
      <c r="J1195" s="3" t="str">
        <f>HYPERLINK("https://www.boe.es/gazeta/dias/1809/09/21/pdfs/GGB-1809-222.pdf#page=8","Abrir facsímil")</f>
        <v>Abrir facsímil</v>
      </c>
      <c r="K1195" s="3" t="s">
        <v>57</v>
      </c>
    </row>
    <row r="1196" spans="1:11" ht="42" customHeight="1">
      <c r="A1196" s="2" t="s">
        <v>3538</v>
      </c>
      <c r="B1196" s="2" t="s">
        <v>3539</v>
      </c>
      <c r="C1196" s="2" t="s">
        <v>25</v>
      </c>
      <c r="D1196" s="2" t="s">
        <v>26</v>
      </c>
      <c r="E1196" s="3" t="s">
        <v>838</v>
      </c>
      <c r="F1196" s="3" t="s">
        <v>839</v>
      </c>
      <c r="G1196" s="3" t="s">
        <v>906</v>
      </c>
      <c r="H1196" s="2" t="s">
        <v>55</v>
      </c>
      <c r="I1196" s="2" t="s">
        <v>3540</v>
      </c>
      <c r="J1196" s="3" t="str">
        <f>HYPERLINK("https://www.boe.es/gazeta/dias/1809/08/03/pdfs/GGB-1809-12.pdf#page=8","Abrir facsímil")</f>
        <v>Abrir facsímil</v>
      </c>
      <c r="K1196" s="3" t="s">
        <v>57</v>
      </c>
    </row>
    <row r="1197" spans="1:11" ht="42" customHeight="1">
      <c r="A1197" s="2" t="s">
        <v>3541</v>
      </c>
      <c r="B1197" s="2" t="s">
        <v>3542</v>
      </c>
      <c r="C1197" s="2" t="s">
        <v>47</v>
      </c>
      <c r="D1197" s="2" t="s">
        <v>18</v>
      </c>
      <c r="E1197" s="3" t="s">
        <v>299</v>
      </c>
      <c r="F1197" s="3" t="s">
        <v>300</v>
      </c>
      <c r="G1197" s="3" t="s">
        <v>693</v>
      </c>
      <c r="H1197" s="2" t="s">
        <v>55</v>
      </c>
      <c r="I1197" s="2" t="s">
        <v>3543</v>
      </c>
      <c r="J1197" s="3" t="str">
        <f>HYPERLINK("https://www.boe.es/gazeta/dias/1809/05/26/pdfs/GGB-1809-31.pdf#page=9","Abrir facsímil")</f>
        <v>Abrir facsímil</v>
      </c>
      <c r="K1197" s="3" t="s">
        <v>57</v>
      </c>
    </row>
    <row r="1198" spans="1:11" ht="42" customHeight="1">
      <c r="A1198" s="2" t="s">
        <v>3544</v>
      </c>
      <c r="B1198" s="2" t="s">
        <v>3545</v>
      </c>
      <c r="C1198" s="2" t="s">
        <v>17</v>
      </c>
      <c r="D1198" s="2" t="s">
        <v>72</v>
      </c>
      <c r="E1198" s="3" t="s">
        <v>394</v>
      </c>
      <c r="F1198" s="3" t="s">
        <v>395</v>
      </c>
      <c r="G1198" s="3" t="s">
        <v>396</v>
      </c>
      <c r="H1198" s="2" t="s">
        <v>55</v>
      </c>
      <c r="I1198" s="2" t="s">
        <v>3546</v>
      </c>
      <c r="J1198" s="3" t="str">
        <f>HYPERLINK("https://www.boe.es/gazeta/dias/1809/12/14/pdfs/GGB-H-1809-582.pdf#page=2","Abrir facsímil")</f>
        <v>Abrir facsímil</v>
      </c>
      <c r="K1198" s="3" t="s">
        <v>57</v>
      </c>
    </row>
    <row r="1199" spans="1:11" ht="42" customHeight="1">
      <c r="A1199" s="2" t="s">
        <v>3547</v>
      </c>
      <c r="B1199" s="2" t="s">
        <v>3548</v>
      </c>
      <c r="C1199" s="2" t="s">
        <v>25</v>
      </c>
      <c r="D1199" s="2" t="s">
        <v>26</v>
      </c>
      <c r="E1199" s="3" t="s">
        <v>113</v>
      </c>
      <c r="F1199" s="3" t="s">
        <v>3549</v>
      </c>
      <c r="G1199" s="3" t="s">
        <v>3550</v>
      </c>
      <c r="H1199" s="2" t="s">
        <v>55</v>
      </c>
      <c r="I1199" s="2" t="s">
        <v>3551</v>
      </c>
      <c r="J1199" s="3" t="str">
        <f>HYPERLINK("https://www.boe.es/gazeta/dias/1809/04/24/pdfs/GGB-G-1809-21.pdf#page=5","Abrir facsímil")</f>
        <v>Abrir facsímil</v>
      </c>
      <c r="K1199" s="3" t="s">
        <v>57</v>
      </c>
    </row>
    <row r="1200" spans="1:11" ht="42" customHeight="1">
      <c r="A1200" s="2" t="s">
        <v>3552</v>
      </c>
      <c r="B1200" s="2" t="s">
        <v>3553</v>
      </c>
      <c r="C1200" s="2" t="s">
        <v>17</v>
      </c>
      <c r="D1200" s="2" t="s">
        <v>72</v>
      </c>
      <c r="E1200" s="3" t="s">
        <v>787</v>
      </c>
      <c r="F1200" s="3" t="s">
        <v>788</v>
      </c>
      <c r="G1200" s="3" t="s">
        <v>416</v>
      </c>
      <c r="H1200" s="2" t="s">
        <v>55</v>
      </c>
      <c r="I1200" s="2" t="s">
        <v>3554</v>
      </c>
      <c r="J1200" s="3" t="str">
        <f>HYPERLINK("https://www.boe.es/gazeta/dias/1809/04/29/pdfs/GMD-E-1809-119.pdf#page=2","Abrir facsímil")</f>
        <v>Abrir facsímil</v>
      </c>
      <c r="K1200" s="3" t="s">
        <v>57</v>
      </c>
    </row>
    <row r="1201" spans="1:11" ht="42" customHeight="1">
      <c r="A1201" s="2" t="s">
        <v>3555</v>
      </c>
      <c r="B1201" s="2" t="s">
        <v>3556</v>
      </c>
      <c r="C1201" s="2" t="s">
        <v>288</v>
      </c>
      <c r="D1201" s="2" t="s">
        <v>72</v>
      </c>
      <c r="E1201" s="3" t="s">
        <v>243</v>
      </c>
      <c r="F1201" s="3" t="s">
        <v>244</v>
      </c>
      <c r="G1201" s="3" t="s">
        <v>541</v>
      </c>
      <c r="H1201" s="2" t="s">
        <v>55</v>
      </c>
      <c r="I1201" s="2" t="s">
        <v>3557</v>
      </c>
      <c r="J1201" s="3" t="str">
        <f>HYPERLINK("https://www.boe.es/gazeta/dias/1809/02/17/pdfs/GGB-G-1809-8.pdf#page=8","Abrir facsímil")</f>
        <v>Abrir facsímil</v>
      </c>
      <c r="K1201" s="3" t="s">
        <v>57</v>
      </c>
    </row>
    <row r="1202" spans="1:11" ht="42" customHeight="1">
      <c r="A1202" s="2" t="s">
        <v>3558</v>
      </c>
      <c r="B1202" s="2" t="s">
        <v>3559</v>
      </c>
      <c r="C1202" s="2" t="s">
        <v>25</v>
      </c>
      <c r="D1202" s="2" t="s">
        <v>18</v>
      </c>
      <c r="E1202" s="3" t="s">
        <v>589</v>
      </c>
      <c r="F1202" s="3" t="s">
        <v>590</v>
      </c>
      <c r="G1202" s="3" t="s">
        <v>591</v>
      </c>
      <c r="H1202" s="2" t="s">
        <v>55</v>
      </c>
      <c r="I1202" s="2" t="s">
        <v>3560</v>
      </c>
      <c r="J1202" s="3" t="str">
        <f>HYPERLINK("https://www.boe.es/gazeta/dias/1809/10/05/pdfs/GGB-1809-282.pdf#page=2","Abrir facsímil")</f>
        <v>Abrir facsímil</v>
      </c>
      <c r="K1202" s="3" t="s">
        <v>57</v>
      </c>
    </row>
    <row r="1203" spans="1:11" ht="42" customHeight="1">
      <c r="A1203" s="2" t="s">
        <v>3561</v>
      </c>
      <c r="B1203" s="2" t="s">
        <v>3562</v>
      </c>
      <c r="C1203" s="2" t="s">
        <v>25</v>
      </c>
      <c r="D1203" s="2" t="s">
        <v>80</v>
      </c>
      <c r="E1203" s="3" t="s">
        <v>81</v>
      </c>
      <c r="F1203" s="3" t="s">
        <v>82</v>
      </c>
      <c r="G1203" s="3" t="s">
        <v>120</v>
      </c>
      <c r="H1203" s="2" t="s">
        <v>55</v>
      </c>
      <c r="I1203" s="2" t="s">
        <v>3563</v>
      </c>
      <c r="J1203" s="3" t="str">
        <f>HYPERLINK("https://www.boe.es/gazeta/dias/1809/04/11/pdfs/GGB-1809-16E.pdf#page=5","Abrir facsímil")</f>
        <v>Abrir facsímil</v>
      </c>
      <c r="K1203" s="3" t="s">
        <v>57</v>
      </c>
    </row>
    <row r="1204" spans="1:11" ht="42" customHeight="1">
      <c r="A1204" s="2" t="s">
        <v>3564</v>
      </c>
      <c r="B1204" s="2" t="s">
        <v>3565</v>
      </c>
      <c r="C1204" s="2" t="s">
        <v>17</v>
      </c>
      <c r="D1204" s="2" t="s">
        <v>18</v>
      </c>
      <c r="E1204" s="3" t="s">
        <v>432</v>
      </c>
      <c r="F1204" s="3" t="s">
        <v>1525</v>
      </c>
      <c r="G1204" s="3" t="s">
        <v>234</v>
      </c>
      <c r="H1204" s="2" t="s">
        <v>55</v>
      </c>
      <c r="I1204" s="2" t="s">
        <v>3566</v>
      </c>
      <c r="J1204" s="3" t="str">
        <f>HYPERLINK("https://www.boe.es/gazeta/dias/1809/07/11/pdfs/GGB-1809-44.pdf#page=11","Abrir facsímil")</f>
        <v>Abrir facsímil</v>
      </c>
      <c r="K1204" s="3" t="s">
        <v>57</v>
      </c>
    </row>
    <row r="1205" spans="1:11" ht="42" customHeight="1">
      <c r="A1205" s="2" t="s">
        <v>3567</v>
      </c>
      <c r="B1205" s="2" t="s">
        <v>3568</v>
      </c>
      <c r="C1205" s="2" t="s">
        <v>17</v>
      </c>
      <c r="D1205" s="2" t="s">
        <v>18</v>
      </c>
      <c r="E1205" s="3" t="s">
        <v>347</v>
      </c>
      <c r="F1205" s="3" t="s">
        <v>348</v>
      </c>
      <c r="G1205" s="3" t="s">
        <v>270</v>
      </c>
      <c r="H1205" s="2" t="s">
        <v>55</v>
      </c>
      <c r="I1205" s="2" t="s">
        <v>3569</v>
      </c>
      <c r="J1205" s="3" t="str">
        <f>HYPERLINK("https://www.boe.es/gazeta/dias/1809/03/07/pdfs/GMD-1809-66.pdf#page=4","Abrir facsímil")</f>
        <v>Abrir facsímil</v>
      </c>
      <c r="K1205" s="3" t="s">
        <v>57</v>
      </c>
    </row>
    <row r="1206" spans="1:11" ht="42" customHeight="1">
      <c r="A1206" s="2" t="s">
        <v>3570</v>
      </c>
      <c r="B1206" s="2" t="s">
        <v>3571</v>
      </c>
      <c r="C1206" s="2" t="s">
        <v>17</v>
      </c>
      <c r="D1206" s="2" t="s">
        <v>72</v>
      </c>
      <c r="E1206" s="3" t="s">
        <v>787</v>
      </c>
      <c r="F1206" s="3" t="s">
        <v>788</v>
      </c>
      <c r="G1206" s="3" t="s">
        <v>789</v>
      </c>
      <c r="H1206" s="2" t="s">
        <v>55</v>
      </c>
      <c r="I1206" s="2" t="s">
        <v>3572</v>
      </c>
      <c r="J1206" s="3" t="str">
        <f>HYPERLINK("https://www.boe.es/gazeta/dias/1809/04/29/pdfs/GMD-E-1809-119.pdf#page=1","Abrir facsímil")</f>
        <v>Abrir facsímil</v>
      </c>
      <c r="K1206" s="3" t="s">
        <v>57</v>
      </c>
    </row>
    <row r="1207" spans="1:11" ht="42" customHeight="1">
      <c r="A1207" s="2" t="s">
        <v>3573</v>
      </c>
      <c r="B1207" s="2" t="s">
        <v>3574</v>
      </c>
      <c r="C1207" s="2" t="s">
        <v>17</v>
      </c>
      <c r="D1207" s="2" t="s">
        <v>18</v>
      </c>
      <c r="E1207" s="3" t="s">
        <v>113</v>
      </c>
      <c r="F1207" s="3" t="s">
        <v>1982</v>
      </c>
      <c r="G1207" s="3" t="s">
        <v>141</v>
      </c>
      <c r="H1207" s="2" t="s">
        <v>55</v>
      </c>
      <c r="I1207" s="2" t="s">
        <v>3575</v>
      </c>
      <c r="J1207" s="3" t="str">
        <f>HYPERLINK("https://www.boe.es/gazeta/dias/1809/04/24/pdfs/GGB-1809-21.pdf#page=9","Abrir facsímil")</f>
        <v>Abrir facsímil</v>
      </c>
      <c r="K1207" s="3" t="s">
        <v>57</v>
      </c>
    </row>
    <row r="1208" spans="1:11" ht="42" customHeight="1">
      <c r="A1208" s="2" t="s">
        <v>3576</v>
      </c>
      <c r="B1208" s="2" t="s">
        <v>3577</v>
      </c>
      <c r="C1208" s="2" t="s">
        <v>25</v>
      </c>
      <c r="D1208" s="2" t="s">
        <v>72</v>
      </c>
      <c r="E1208" s="3" t="s">
        <v>1206</v>
      </c>
      <c r="F1208" s="3" t="s">
        <v>1207</v>
      </c>
      <c r="G1208" s="3" t="s">
        <v>3149</v>
      </c>
      <c r="H1208" s="2" t="s">
        <v>55</v>
      </c>
      <c r="I1208" s="2" t="s">
        <v>3578</v>
      </c>
      <c r="J1208" s="3" t="str">
        <f>HYPERLINK("https://www.boe.es/gazeta/dias/1809/09/23/pdfs/GGB-H-1809-232.pdf#page=2","Abrir facsímil")</f>
        <v>Abrir facsímil</v>
      </c>
      <c r="K1208" s="3" t="s">
        <v>57</v>
      </c>
    </row>
    <row r="1209" spans="1:11" ht="42" customHeight="1">
      <c r="A1209" s="2" t="s">
        <v>3579</v>
      </c>
      <c r="B1209" s="2" t="s">
        <v>3580</v>
      </c>
      <c r="C1209" s="2" t="s">
        <v>25</v>
      </c>
      <c r="D1209" s="2" t="s">
        <v>26</v>
      </c>
      <c r="E1209" s="3" t="s">
        <v>1514</v>
      </c>
      <c r="F1209" s="3" t="s">
        <v>1515</v>
      </c>
      <c r="G1209" s="3" t="s">
        <v>416</v>
      </c>
      <c r="H1209" s="2" t="s">
        <v>55</v>
      </c>
      <c r="I1209" s="2" t="s">
        <v>3581</v>
      </c>
      <c r="J1209" s="3" t="str">
        <f>HYPERLINK("https://www.boe.es/gazeta/dias/1809/04/17/pdfs/GGB-G-1809-19.pdf#page=2","Abrir facsímil")</f>
        <v>Abrir facsímil</v>
      </c>
      <c r="K1209" s="3" t="s">
        <v>57</v>
      </c>
    </row>
    <row r="1210" spans="1:11" ht="42" customHeight="1">
      <c r="A1210" s="2" t="s">
        <v>3582</v>
      </c>
      <c r="B1210" s="2" t="s">
        <v>3583</v>
      </c>
      <c r="C1210" s="2" t="s">
        <v>25</v>
      </c>
      <c r="D1210" s="2" t="s">
        <v>18</v>
      </c>
      <c r="E1210" s="3" t="s">
        <v>496</v>
      </c>
      <c r="F1210" s="3" t="s">
        <v>497</v>
      </c>
      <c r="G1210" s="3" t="s">
        <v>21</v>
      </c>
      <c r="H1210" s="2" t="s">
        <v>55</v>
      </c>
      <c r="I1210" s="2" t="s">
        <v>3584</v>
      </c>
      <c r="J1210" s="3" t="str">
        <f>HYPERLINK("https://www.boe.es/gazeta/dias/1809/03/13/pdfs/GMD-1809-72.pdf#page=4","Abrir facsímil")</f>
        <v>Abrir facsímil</v>
      </c>
      <c r="K1210" s="3" t="s">
        <v>57</v>
      </c>
    </row>
    <row r="1211" spans="1:11" ht="42" customHeight="1">
      <c r="A1211" s="2" t="s">
        <v>3585</v>
      </c>
      <c r="B1211" s="2" t="s">
        <v>3586</v>
      </c>
      <c r="C1211" s="2" t="s">
        <v>131</v>
      </c>
      <c r="D1211" s="2" t="s">
        <v>26</v>
      </c>
      <c r="E1211" s="3" t="s">
        <v>663</v>
      </c>
      <c r="F1211" s="3" t="s">
        <v>664</v>
      </c>
      <c r="G1211" s="3" t="s">
        <v>3208</v>
      </c>
      <c r="H1211" s="2" t="s">
        <v>55</v>
      </c>
      <c r="I1211" s="2" t="s">
        <v>3587</v>
      </c>
      <c r="J1211" s="3" t="str">
        <f>HYPERLINK("https://www.boe.es/gazeta/dias/1809/08/21/pdfs/GMD-1809-234.pdf#page=1","Abrir facsímil")</f>
        <v>Abrir facsímil</v>
      </c>
      <c r="K1211" s="3" t="s">
        <v>57</v>
      </c>
    </row>
    <row r="1212" spans="1:11" ht="42" customHeight="1">
      <c r="A1212" s="2" t="s">
        <v>3588</v>
      </c>
      <c r="B1212" s="2" t="s">
        <v>3589</v>
      </c>
      <c r="C1212" s="2" t="s">
        <v>17</v>
      </c>
      <c r="D1212" s="2" t="s">
        <v>18</v>
      </c>
      <c r="E1212" s="3" t="s">
        <v>3214</v>
      </c>
      <c r="F1212" s="3" t="s">
        <v>3215</v>
      </c>
      <c r="G1212" s="3" t="s">
        <v>3216</v>
      </c>
      <c r="H1212" s="2" t="s">
        <v>55</v>
      </c>
      <c r="I1212" s="2" t="s">
        <v>3590</v>
      </c>
      <c r="J1212" s="3" t="str">
        <f>HYPERLINK("https://www.boe.es/gazeta/dias/1809/09/11/pdfs/GMD-1809-255.pdf#page=1","Abrir facsímil")</f>
        <v>Abrir facsímil</v>
      </c>
      <c r="K1212" s="3" t="s">
        <v>57</v>
      </c>
    </row>
    <row r="1213" spans="1:11" ht="42" customHeight="1">
      <c r="A1213" s="2" t="s">
        <v>3591</v>
      </c>
      <c r="B1213" s="2" t="s">
        <v>3592</v>
      </c>
      <c r="C1213" s="2" t="s">
        <v>17</v>
      </c>
      <c r="D1213" s="2" t="s">
        <v>40</v>
      </c>
      <c r="E1213" s="3" t="s">
        <v>3214</v>
      </c>
      <c r="F1213" s="3" t="s">
        <v>3215</v>
      </c>
      <c r="G1213" s="3" t="s">
        <v>129</v>
      </c>
      <c r="H1213" s="2" t="s">
        <v>55</v>
      </c>
      <c r="I1213" s="2" t="s">
        <v>3593</v>
      </c>
      <c r="J1213" s="3" t="str">
        <f>HYPERLINK("https://www.boe.es/gazeta/dias/1809/09/11/pdfs/GMD-1809-255.pdf#page=2","Abrir facsímil")</f>
        <v>Abrir facsímil</v>
      </c>
      <c r="K1213" s="3" t="s">
        <v>57</v>
      </c>
    </row>
    <row r="1214" spans="1:11" ht="42" customHeight="1">
      <c r="A1214" s="2" t="s">
        <v>3594</v>
      </c>
      <c r="B1214" s="2" t="s">
        <v>3595</v>
      </c>
      <c r="C1214" s="2" t="s">
        <v>17</v>
      </c>
      <c r="D1214" s="2" t="s">
        <v>18</v>
      </c>
      <c r="E1214" s="3" t="s">
        <v>347</v>
      </c>
      <c r="F1214" s="3" t="s">
        <v>348</v>
      </c>
      <c r="G1214" s="3" t="s">
        <v>270</v>
      </c>
      <c r="H1214" s="2" t="s">
        <v>55</v>
      </c>
      <c r="I1214" s="2" t="s">
        <v>3596</v>
      </c>
      <c r="J1214" s="3" t="str">
        <f>HYPERLINK("https://www.boe.es/gazeta/dias/1809/03/07/pdfs/GMD-1809-66.pdf#page=4","Abrir facsímil")</f>
        <v>Abrir facsímil</v>
      </c>
      <c r="K1214" s="3" t="s">
        <v>57</v>
      </c>
    </row>
    <row r="1215" spans="1:11" ht="42" customHeight="1">
      <c r="A1215" s="2" t="s">
        <v>3597</v>
      </c>
      <c r="B1215" s="2" t="s">
        <v>3598</v>
      </c>
      <c r="C1215" s="2" t="s">
        <v>47</v>
      </c>
      <c r="D1215" s="2" t="s">
        <v>18</v>
      </c>
      <c r="E1215" s="3" t="s">
        <v>551</v>
      </c>
      <c r="F1215" s="3" t="s">
        <v>552</v>
      </c>
      <c r="G1215" s="3" t="s">
        <v>129</v>
      </c>
      <c r="H1215" s="2" t="s">
        <v>55</v>
      </c>
      <c r="I1215" s="2" t="s">
        <v>3599</v>
      </c>
      <c r="J1215" s="3" t="str">
        <f>HYPERLINK("https://www.boe.es/gazeta/dias/1809/05/04/pdfs/GMD-1809-124.pdf#page=2","Abrir facsímil")</f>
        <v>Abrir facsímil</v>
      </c>
      <c r="K1215" s="3" t="s">
        <v>57</v>
      </c>
    </row>
    <row r="1216" spans="1:11" ht="42" customHeight="1">
      <c r="A1216" s="2" t="s">
        <v>3600</v>
      </c>
      <c r="B1216" s="2" t="s">
        <v>3601</v>
      </c>
      <c r="C1216" s="2" t="s">
        <v>17</v>
      </c>
      <c r="D1216" s="2" t="s">
        <v>18</v>
      </c>
      <c r="E1216" s="3" t="s">
        <v>299</v>
      </c>
      <c r="F1216" s="3" t="s">
        <v>300</v>
      </c>
      <c r="G1216" s="3" t="s">
        <v>693</v>
      </c>
      <c r="H1216" s="2" t="s">
        <v>55</v>
      </c>
      <c r="I1216" s="2" t="s">
        <v>3602</v>
      </c>
      <c r="J1216" s="3" t="str">
        <f>HYPERLINK("https://www.boe.es/gazeta/dias/1809/05/26/pdfs/GGB-1809-31.pdf#page=9","Abrir facsímil")</f>
        <v>Abrir facsímil</v>
      </c>
      <c r="K1216" s="3" t="s">
        <v>57</v>
      </c>
    </row>
    <row r="1217" spans="1:11" ht="42" customHeight="1">
      <c r="A1217" s="2" t="s">
        <v>3603</v>
      </c>
      <c r="B1217" s="2" t="s">
        <v>3604</v>
      </c>
      <c r="C1217" s="2" t="s">
        <v>17</v>
      </c>
      <c r="D1217" s="2" t="s">
        <v>18</v>
      </c>
      <c r="E1217" s="3" t="s">
        <v>567</v>
      </c>
      <c r="F1217" s="3" t="s">
        <v>568</v>
      </c>
      <c r="G1217" s="3" t="s">
        <v>225</v>
      </c>
      <c r="H1217" s="2" t="s">
        <v>55</v>
      </c>
      <c r="I1217" s="2" t="s">
        <v>3605</v>
      </c>
      <c r="J1217" s="3" t="str">
        <f>HYPERLINK("https://www.boe.es/gazeta/dias/1809/06/03/pdfs/GMD-1809-154.pdf#page=4","Abrir facsímil")</f>
        <v>Abrir facsímil</v>
      </c>
      <c r="K1217" s="3" t="s">
        <v>57</v>
      </c>
    </row>
    <row r="1218" spans="1:11" ht="42" customHeight="1">
      <c r="A1218" s="2" t="s">
        <v>3606</v>
      </c>
      <c r="B1218" s="2" t="s">
        <v>3607</v>
      </c>
      <c r="C1218" s="2" t="s">
        <v>17</v>
      </c>
      <c r="D1218" s="2" t="s">
        <v>18</v>
      </c>
      <c r="E1218" s="3" t="s">
        <v>33</v>
      </c>
      <c r="F1218" s="3" t="s">
        <v>34</v>
      </c>
      <c r="G1218" s="3" t="s">
        <v>35</v>
      </c>
      <c r="H1218" s="2" t="s">
        <v>55</v>
      </c>
      <c r="I1218" s="2" t="s">
        <v>3608</v>
      </c>
      <c r="J1218" s="3" t="str">
        <f>HYPERLINK("https://www.boe.es/gazeta/dias/1809/12/19/pdfs/GGB-1809-602.pdf#page=5","Abrir facsímil")</f>
        <v>Abrir facsímil</v>
      </c>
      <c r="K1218" s="3" t="s">
        <v>57</v>
      </c>
    </row>
    <row r="1219" spans="1:11" ht="42" customHeight="1">
      <c r="A1219" s="2" t="s">
        <v>3609</v>
      </c>
      <c r="B1219" s="2" t="s">
        <v>3610</v>
      </c>
      <c r="C1219" s="2" t="s">
        <v>25</v>
      </c>
      <c r="D1219" s="2" t="s">
        <v>26</v>
      </c>
      <c r="E1219" s="3" t="s">
        <v>1288</v>
      </c>
      <c r="F1219" s="3" t="s">
        <v>1289</v>
      </c>
      <c r="G1219" s="3" t="s">
        <v>270</v>
      </c>
      <c r="H1219" s="2" t="s">
        <v>55</v>
      </c>
      <c r="I1219" s="2" t="s">
        <v>3611</v>
      </c>
      <c r="J1219" s="3" t="str">
        <f>HYPERLINK("https://www.boe.es/gazeta/dias/1809/07/28/pdfs/GGB-1809-49.pdf#page=7","Abrir facsímil")</f>
        <v>Abrir facsímil</v>
      </c>
      <c r="K1219" s="3" t="s">
        <v>57</v>
      </c>
    </row>
    <row r="1220" spans="1:11" ht="42" customHeight="1">
      <c r="A1220" s="2" t="s">
        <v>3609</v>
      </c>
      <c r="B1220" s="2" t="s">
        <v>3610</v>
      </c>
      <c r="C1220" s="2" t="s">
        <v>17</v>
      </c>
      <c r="D1220" s="2" t="s">
        <v>18</v>
      </c>
      <c r="E1220" s="3" t="s">
        <v>1288</v>
      </c>
      <c r="F1220" s="3" t="s">
        <v>1289</v>
      </c>
      <c r="G1220" s="3" t="s">
        <v>3612</v>
      </c>
      <c r="H1220" s="2" t="s">
        <v>55</v>
      </c>
      <c r="I1220" s="2" t="s">
        <v>3613</v>
      </c>
      <c r="J1220" s="3" t="str">
        <f>HYPERLINK("https://www.boe.es/gazeta/dias/1809/07/28/pdfs/GGB-1809-49.pdf#page=8","Abrir facsímil")</f>
        <v>Abrir facsímil</v>
      </c>
      <c r="K1220" s="3" t="s">
        <v>57</v>
      </c>
    </row>
    <row r="1221" spans="1:11" ht="42" customHeight="1">
      <c r="A1221" s="2" t="s">
        <v>3614</v>
      </c>
      <c r="B1221" s="2" t="s">
        <v>3615</v>
      </c>
      <c r="C1221" s="2" t="s">
        <v>25</v>
      </c>
      <c r="D1221" s="2" t="s">
        <v>26</v>
      </c>
      <c r="E1221" s="3" t="s">
        <v>1276</v>
      </c>
      <c r="F1221" s="3" t="s">
        <v>2088</v>
      </c>
      <c r="G1221" s="3" t="s">
        <v>525</v>
      </c>
      <c r="H1221" s="2" t="s">
        <v>55</v>
      </c>
      <c r="I1221" s="2" t="s">
        <v>3616</v>
      </c>
      <c r="J1221" s="3" t="str">
        <f>HYPERLINK("https://www.boe.es/gazeta/dias/1809/01/03/pdfs/GMD-1809-3.pdf#page=2","Abrir facsímil")</f>
        <v>Abrir facsímil</v>
      </c>
      <c r="K1221" s="3" t="s">
        <v>57</v>
      </c>
    </row>
    <row r="1222" spans="1:11" ht="42" customHeight="1">
      <c r="A1222" s="2" t="s">
        <v>3617</v>
      </c>
      <c r="B1222" s="2" t="s">
        <v>3618</v>
      </c>
      <c r="C1222" s="2" t="s">
        <v>17</v>
      </c>
      <c r="D1222" s="2" t="s">
        <v>18</v>
      </c>
      <c r="E1222" s="3" t="s">
        <v>464</v>
      </c>
      <c r="F1222" s="3" t="s">
        <v>465</v>
      </c>
      <c r="G1222" s="3" t="s">
        <v>861</v>
      </c>
      <c r="H1222" s="2" t="s">
        <v>55</v>
      </c>
      <c r="I1222" s="2" t="s">
        <v>3619</v>
      </c>
      <c r="J1222" s="3" t="str">
        <f>HYPERLINK("https://www.boe.es/gazeta/dias/1809/07/05/pdfs/GMD-1809-186.pdf#page=2","Abrir facsímil")</f>
        <v>Abrir facsímil</v>
      </c>
      <c r="K1222" s="3" t="s">
        <v>57</v>
      </c>
    </row>
    <row r="1223" spans="1:11" ht="42" customHeight="1">
      <c r="A1223" s="2" t="s">
        <v>3620</v>
      </c>
      <c r="B1223" s="2" t="s">
        <v>3621</v>
      </c>
      <c r="C1223" s="2" t="s">
        <v>47</v>
      </c>
      <c r="D1223" s="2" t="s">
        <v>18</v>
      </c>
      <c r="E1223" s="3" t="s">
        <v>2705</v>
      </c>
      <c r="F1223" s="3" t="s">
        <v>3622</v>
      </c>
      <c r="G1223" s="3" t="s">
        <v>120</v>
      </c>
      <c r="H1223" s="2" t="s">
        <v>55</v>
      </c>
      <c r="I1223" s="2" t="s">
        <v>3623</v>
      </c>
      <c r="J1223" s="3" t="str">
        <f>HYPERLINK("https://www.boe.es/gazeta/dias/1809/08/05/pdfs/GGB-1809-22.pdf#page=1","Abrir facsímil")</f>
        <v>Abrir facsímil</v>
      </c>
      <c r="K1223" s="3" t="s">
        <v>57</v>
      </c>
    </row>
    <row r="1224" spans="1:11" ht="42" customHeight="1">
      <c r="A1224" s="2" t="s">
        <v>3624</v>
      </c>
      <c r="B1224" s="2" t="s">
        <v>3625</v>
      </c>
      <c r="C1224" s="2" t="s">
        <v>25</v>
      </c>
      <c r="D1224" s="2" t="s">
        <v>26</v>
      </c>
      <c r="E1224" s="3" t="s">
        <v>167</v>
      </c>
      <c r="F1224" s="3" t="s">
        <v>168</v>
      </c>
      <c r="G1224" s="3" t="s">
        <v>120</v>
      </c>
      <c r="H1224" s="2" t="s">
        <v>55</v>
      </c>
      <c r="I1224" s="2" t="s">
        <v>3626</v>
      </c>
      <c r="J1224" s="3" t="str">
        <f>HYPERLINK("https://www.boe.es/gazeta/dias/1809/06/19/pdfs/GGB-1809-38.pdf#page=8","Abrir facsímil")</f>
        <v>Abrir facsímil</v>
      </c>
      <c r="K1224" s="3" t="s">
        <v>57</v>
      </c>
    </row>
    <row r="1225" spans="1:11" ht="42" customHeight="1">
      <c r="A1225" s="2" t="s">
        <v>3627</v>
      </c>
      <c r="B1225" s="2" t="s">
        <v>3628</v>
      </c>
      <c r="C1225" s="2" t="s">
        <v>17</v>
      </c>
      <c r="D1225" s="2" t="s">
        <v>18</v>
      </c>
      <c r="E1225" s="3" t="s">
        <v>33</v>
      </c>
      <c r="F1225" s="3" t="s">
        <v>34</v>
      </c>
      <c r="G1225" s="3" t="s">
        <v>493</v>
      </c>
      <c r="H1225" s="2" t="s">
        <v>55</v>
      </c>
      <c r="I1225" s="2" t="s">
        <v>3629</v>
      </c>
      <c r="J1225" s="3" t="str">
        <f>HYPERLINK("https://www.boe.es/gazeta/dias/1809/12/19/pdfs/GGB-1809-602.pdf#page=6","Abrir facsímil")</f>
        <v>Abrir facsímil</v>
      </c>
      <c r="K1225" s="3" t="s">
        <v>57</v>
      </c>
    </row>
    <row r="1226" spans="1:11" ht="42" customHeight="1">
      <c r="A1226" s="2" t="s">
        <v>3630</v>
      </c>
      <c r="B1226" s="2" t="s">
        <v>3631</v>
      </c>
      <c r="C1226" s="2" t="s">
        <v>25</v>
      </c>
      <c r="D1226" s="2" t="s">
        <v>26</v>
      </c>
      <c r="E1226" s="3" t="s">
        <v>1288</v>
      </c>
      <c r="F1226" s="3" t="s">
        <v>1289</v>
      </c>
      <c r="G1226" s="3" t="s">
        <v>270</v>
      </c>
      <c r="H1226" s="2" t="s">
        <v>55</v>
      </c>
      <c r="I1226" s="2" t="s">
        <v>3632</v>
      </c>
      <c r="J1226" s="3" t="str">
        <f>HYPERLINK("https://www.boe.es/gazeta/dias/1809/07/28/pdfs/GGB-1809-49.pdf#page=9","Abrir facsímil")</f>
        <v>Abrir facsímil</v>
      </c>
      <c r="K1226" s="3" t="s">
        <v>57</v>
      </c>
    </row>
    <row r="1227" spans="1:11" ht="42" customHeight="1">
      <c r="A1227" s="2" t="s">
        <v>3633</v>
      </c>
      <c r="B1227" s="2" t="s">
        <v>3634</v>
      </c>
      <c r="C1227" s="2" t="s">
        <v>25</v>
      </c>
      <c r="D1227" s="2" t="s">
        <v>26</v>
      </c>
      <c r="E1227" s="3" t="s">
        <v>370</v>
      </c>
      <c r="F1227" s="3" t="s">
        <v>371</v>
      </c>
      <c r="G1227" s="3" t="s">
        <v>239</v>
      </c>
      <c r="H1227" s="2" t="s">
        <v>55</v>
      </c>
      <c r="I1227" s="2" t="s">
        <v>3635</v>
      </c>
      <c r="J1227" s="3" t="str">
        <f>HYPERLINK("https://www.boe.es/gazeta/dias/1809/08/20/pdfs/GMD-1809-233.pdf#page=1","Abrir facsímil")</f>
        <v>Abrir facsímil</v>
      </c>
      <c r="K1227" s="3" t="s">
        <v>57</v>
      </c>
    </row>
    <row r="1228" spans="1:11" ht="42" customHeight="1">
      <c r="A1228" s="2" t="s">
        <v>3636</v>
      </c>
      <c r="B1228" s="2" t="s">
        <v>3637</v>
      </c>
      <c r="C1228" s="2" t="s">
        <v>17</v>
      </c>
      <c r="D1228" s="2" t="s">
        <v>72</v>
      </c>
      <c r="E1228" s="3" t="s">
        <v>243</v>
      </c>
      <c r="F1228" s="3" t="s">
        <v>244</v>
      </c>
      <c r="G1228" s="3" t="s">
        <v>110</v>
      </c>
      <c r="H1228" s="2" t="s">
        <v>55</v>
      </c>
      <c r="I1228" s="2" t="s">
        <v>3638</v>
      </c>
      <c r="J1228" s="3" t="str">
        <f>HYPERLINK("https://www.boe.es/gazeta/dias/1809/02/17/pdfs/GGB-G-1809-8.pdf#page=6","Abrir facsímil")</f>
        <v>Abrir facsímil</v>
      </c>
      <c r="K1228" s="3" t="s">
        <v>57</v>
      </c>
    </row>
    <row r="1229" spans="1:11" ht="42" customHeight="1">
      <c r="A1229" s="2" t="s">
        <v>3639</v>
      </c>
      <c r="B1229" s="2" t="s">
        <v>3640</v>
      </c>
      <c r="C1229" s="2" t="s">
        <v>17</v>
      </c>
      <c r="D1229" s="2" t="s">
        <v>18</v>
      </c>
      <c r="E1229" s="3" t="s">
        <v>1468</v>
      </c>
      <c r="F1229" s="3" t="s">
        <v>1469</v>
      </c>
      <c r="G1229" s="3" t="s">
        <v>104</v>
      </c>
      <c r="H1229" s="2" t="s">
        <v>55</v>
      </c>
      <c r="I1229" s="2" t="s">
        <v>3641</v>
      </c>
      <c r="J1229" s="3" t="str">
        <f>HYPERLINK("https://www.boe.es/gazeta/dias/1809/02/12/pdfs/GMD-1809-43.pdf#page=6","Abrir facsímil")</f>
        <v>Abrir facsímil</v>
      </c>
      <c r="K1229" s="3" t="s">
        <v>57</v>
      </c>
    </row>
    <row r="1230" spans="1:11" ht="42" customHeight="1">
      <c r="A1230" s="2" t="s">
        <v>3642</v>
      </c>
      <c r="B1230" s="2" t="s">
        <v>3643</v>
      </c>
      <c r="C1230" s="2" t="s">
        <v>25</v>
      </c>
      <c r="D1230" s="2" t="s">
        <v>72</v>
      </c>
      <c r="E1230" s="3" t="s">
        <v>143</v>
      </c>
      <c r="F1230" s="3" t="s">
        <v>705</v>
      </c>
      <c r="G1230" s="3" t="s">
        <v>225</v>
      </c>
      <c r="H1230" s="2" t="s">
        <v>55</v>
      </c>
      <c r="I1230" s="2" t="s">
        <v>3644</v>
      </c>
      <c r="J1230" s="3" t="str">
        <f>HYPERLINK("https://www.boe.es/gazeta/dias/1809/11/16/pdfs/GGB-H-1809-462.pdf#page=4","Abrir facsímil")</f>
        <v>Abrir facsímil</v>
      </c>
      <c r="K1230" s="3" t="s">
        <v>57</v>
      </c>
    </row>
    <row r="1231" spans="1:11" ht="42" customHeight="1">
      <c r="A1231" s="2" t="s">
        <v>3645</v>
      </c>
      <c r="B1231" s="2" t="s">
        <v>3646</v>
      </c>
      <c r="C1231" s="2" t="s">
        <v>17</v>
      </c>
      <c r="D1231" s="2" t="s">
        <v>18</v>
      </c>
      <c r="E1231" s="3" t="s">
        <v>1736</v>
      </c>
      <c r="F1231" s="3" t="s">
        <v>1737</v>
      </c>
      <c r="G1231" s="3" t="s">
        <v>3028</v>
      </c>
      <c r="H1231" s="2" t="s">
        <v>55</v>
      </c>
      <c r="I1231" s="2" t="s">
        <v>3647</v>
      </c>
      <c r="J1231" s="3" t="str">
        <f>HYPERLINK("https://www.boe.es/gazeta/dias/1809/02/28/pdfs/GMD-1809-59.pdf#page=4","Abrir facsímil")</f>
        <v>Abrir facsímil</v>
      </c>
      <c r="K1231" s="3" t="s">
        <v>57</v>
      </c>
    </row>
    <row r="1232" spans="1:11" ht="42" customHeight="1">
      <c r="A1232" s="2" t="s">
        <v>3648</v>
      </c>
      <c r="B1232" s="2" t="s">
        <v>3649</v>
      </c>
      <c r="C1232" s="2" t="s">
        <v>39</v>
      </c>
      <c r="D1232" s="2" t="s">
        <v>40</v>
      </c>
      <c r="E1232" s="3" t="s">
        <v>1226</v>
      </c>
      <c r="F1232" s="3" t="s">
        <v>1566</v>
      </c>
      <c r="G1232" s="3" t="s">
        <v>3650</v>
      </c>
      <c r="H1232" s="2" t="s">
        <v>55</v>
      </c>
      <c r="I1232" s="2" t="s">
        <v>3651</v>
      </c>
      <c r="J1232" s="3" t="str">
        <f>HYPERLINK("https://www.boe.es/gazeta/dias/1809/11/09/pdfs/GGB-1809-432.pdf#page=7","Abrir facsímil")</f>
        <v>Abrir facsímil</v>
      </c>
      <c r="K1232" s="3" t="s">
        <v>57</v>
      </c>
    </row>
    <row r="1233" spans="1:11" ht="42" customHeight="1">
      <c r="A1233" s="2" t="s">
        <v>3652</v>
      </c>
      <c r="B1233" s="2" t="s">
        <v>3653</v>
      </c>
      <c r="C1233" s="2" t="s">
        <v>25</v>
      </c>
      <c r="D1233" s="2" t="s">
        <v>26</v>
      </c>
      <c r="E1233" s="3" t="s">
        <v>258</v>
      </c>
      <c r="F1233" s="3" t="s">
        <v>910</v>
      </c>
      <c r="G1233" s="3" t="s">
        <v>693</v>
      </c>
      <c r="H1233" s="2" t="s">
        <v>22</v>
      </c>
      <c r="I1233" s="2" t="s">
        <v>3654</v>
      </c>
      <c r="J1233" s="3" t="str">
        <f>HYPERLINK("https://www.boe.es/gazeta/dias/1809/03/17/pdfs/GGB-1809-12.pdf#page=9","Abrir facsímil")</f>
        <v>Abrir facsímil</v>
      </c>
      <c r="K1233" s="3" t="s">
        <v>24</v>
      </c>
    </row>
    <row r="1234" spans="1:11" ht="42" customHeight="1">
      <c r="A1234" s="2" t="s">
        <v>3655</v>
      </c>
      <c r="B1234" s="2" t="s">
        <v>3656</v>
      </c>
      <c r="C1234" s="2" t="s">
        <v>25</v>
      </c>
      <c r="D1234" s="2" t="s">
        <v>72</v>
      </c>
      <c r="E1234" s="3" t="s">
        <v>635</v>
      </c>
      <c r="F1234" s="3" t="s">
        <v>2073</v>
      </c>
      <c r="G1234" s="3" t="s">
        <v>239</v>
      </c>
      <c r="H1234" s="2" t="s">
        <v>55</v>
      </c>
      <c r="I1234" s="2" t="s">
        <v>3657</v>
      </c>
      <c r="J1234" s="3" t="str">
        <f>HYPERLINK("https://www.boe.es/gazeta/dias/1809/12/16/pdfs/GGB-H-1809-592.pdf#page=4","Abrir facsímil")</f>
        <v>Abrir facsímil</v>
      </c>
      <c r="K1234" s="3" t="s">
        <v>57</v>
      </c>
    </row>
    <row r="1235" spans="1:11" ht="42" customHeight="1">
      <c r="A1235" s="2" t="s">
        <v>3658</v>
      </c>
      <c r="B1235" s="2" t="s">
        <v>3659</v>
      </c>
      <c r="C1235" s="2" t="s">
        <v>25</v>
      </c>
      <c r="D1235" s="2" t="s">
        <v>18</v>
      </c>
      <c r="E1235" s="3" t="s">
        <v>243</v>
      </c>
      <c r="F1235" s="3" t="s">
        <v>352</v>
      </c>
      <c r="G1235" s="3" t="s">
        <v>21</v>
      </c>
      <c r="H1235" s="2" t="s">
        <v>55</v>
      </c>
      <c r="I1235" s="2" t="s">
        <v>3660</v>
      </c>
      <c r="J1235" s="3" t="str">
        <f>HYPERLINK("https://www.boe.es/gazeta/dias/1809/02/17/pdfs/GMD-1809-48.pdf#page=8","Abrir facsímil")</f>
        <v>Abrir facsímil</v>
      </c>
      <c r="K1235" s="3" t="s">
        <v>57</v>
      </c>
    </row>
    <row r="1236" spans="1:11" ht="42" customHeight="1">
      <c r="A1236" s="2" t="s">
        <v>3661</v>
      </c>
      <c r="B1236" s="2" t="s">
        <v>3662</v>
      </c>
      <c r="C1236" s="2" t="s">
        <v>17</v>
      </c>
      <c r="D1236" s="2" t="s">
        <v>80</v>
      </c>
      <c r="E1236" s="3" t="s">
        <v>776</v>
      </c>
      <c r="F1236" s="3" t="s">
        <v>1485</v>
      </c>
      <c r="G1236" s="3" t="s">
        <v>129</v>
      </c>
      <c r="H1236" s="2" t="s">
        <v>55</v>
      </c>
      <c r="I1236" s="2" t="s">
        <v>3663</v>
      </c>
      <c r="J1236" s="3" t="str">
        <f>HYPERLINK("https://www.boe.es/gazeta/dias/1809/05/28/pdfs/GGB-1809-31E2.pdf#page=2","Abrir facsímil")</f>
        <v>Abrir facsímil</v>
      </c>
      <c r="K1236" s="3" t="s">
        <v>57</v>
      </c>
    </row>
    <row r="1237" spans="1:11" ht="42" customHeight="1">
      <c r="A1237" s="2" t="s">
        <v>3664</v>
      </c>
      <c r="B1237" s="2" t="s">
        <v>3665</v>
      </c>
      <c r="C1237" s="2" t="s">
        <v>25</v>
      </c>
      <c r="D1237" s="2" t="s">
        <v>72</v>
      </c>
      <c r="E1237" s="3" t="s">
        <v>739</v>
      </c>
      <c r="F1237" s="3" t="s">
        <v>3666</v>
      </c>
      <c r="G1237" s="3" t="s">
        <v>349</v>
      </c>
      <c r="H1237" s="2" t="s">
        <v>55</v>
      </c>
      <c r="I1237" s="2" t="s">
        <v>3667</v>
      </c>
      <c r="J1237" s="3" t="str">
        <f>HYPERLINK("https://www.boe.es/gazeta/dias/1809/05/08/pdfs/GGB-G-1809-25.pdf#page=6","Abrir facsímil")</f>
        <v>Abrir facsímil</v>
      </c>
      <c r="K1237" s="3" t="s">
        <v>57</v>
      </c>
    </row>
    <row r="1238" spans="1:11" ht="42" customHeight="1">
      <c r="A1238" s="2" t="s">
        <v>3664</v>
      </c>
      <c r="B1238" s="2" t="s">
        <v>3665</v>
      </c>
      <c r="C1238" s="2" t="s">
        <v>17</v>
      </c>
      <c r="D1238" s="2" t="s">
        <v>107</v>
      </c>
      <c r="E1238" s="3" t="s">
        <v>1581</v>
      </c>
      <c r="F1238" s="3" t="s">
        <v>3668</v>
      </c>
      <c r="G1238" s="3" t="s">
        <v>110</v>
      </c>
      <c r="H1238" s="2" t="s">
        <v>55</v>
      </c>
      <c r="I1238" s="2" t="s">
        <v>3669</v>
      </c>
      <c r="J1238" s="3" t="str">
        <f>HYPERLINK("https://www.boe.es/gazeta/dias/1809/05/30/pdfs/GGB-1809-32E.pdf#page=4","Abrir facsímil")</f>
        <v>Abrir facsímil</v>
      </c>
      <c r="K1238" s="3" t="s">
        <v>57</v>
      </c>
    </row>
    <row r="1239" spans="1:11" ht="42" customHeight="1">
      <c r="A1239" s="2" t="s">
        <v>3664</v>
      </c>
      <c r="B1239" s="2" t="s">
        <v>3665</v>
      </c>
      <c r="C1239" s="2" t="s">
        <v>25</v>
      </c>
      <c r="D1239" s="2" t="s">
        <v>40</v>
      </c>
      <c r="E1239" s="3" t="s">
        <v>589</v>
      </c>
      <c r="F1239" s="3" t="s">
        <v>590</v>
      </c>
      <c r="G1239" s="3" t="s">
        <v>3670</v>
      </c>
      <c r="H1239" s="2" t="s">
        <v>55</v>
      </c>
      <c r="I1239" s="2" t="s">
        <v>3671</v>
      </c>
      <c r="J1239" s="3" t="str">
        <f>HYPERLINK("https://www.boe.es/gazeta/dias/1809/10/05/pdfs/GGB-1809-282.pdf#page=7","Abrir facsímil")</f>
        <v>Abrir facsímil</v>
      </c>
      <c r="K1239" s="3" t="s">
        <v>57</v>
      </c>
    </row>
    <row r="1240" spans="1:11" ht="42" customHeight="1">
      <c r="A1240" s="2" t="s">
        <v>3672</v>
      </c>
      <c r="B1240" s="2" t="s">
        <v>3673</v>
      </c>
      <c r="C1240" s="2" t="s">
        <v>25</v>
      </c>
      <c r="D1240" s="2" t="s">
        <v>80</v>
      </c>
      <c r="E1240" s="3" t="s">
        <v>1700</v>
      </c>
      <c r="F1240" s="3" t="s">
        <v>1701</v>
      </c>
      <c r="G1240" s="3" t="s">
        <v>349</v>
      </c>
      <c r="H1240" s="2" t="s">
        <v>55</v>
      </c>
      <c r="I1240" s="2" t="s">
        <v>3674</v>
      </c>
      <c r="J1240" s="3" t="str">
        <f>HYPERLINK("https://www.boe.es/gazeta/dias/1809/01/16/pdfs/GGB-1809-3E.pdf#page=3","Abrir facsímil")</f>
        <v>Abrir facsímil</v>
      </c>
      <c r="K1240" s="3" t="s">
        <v>57</v>
      </c>
    </row>
    <row r="1241" spans="1:11" ht="42" customHeight="1">
      <c r="A1241" s="2" t="s">
        <v>3675</v>
      </c>
      <c r="B1241" s="2" t="s">
        <v>3676</v>
      </c>
      <c r="C1241" s="2" t="s">
        <v>17</v>
      </c>
      <c r="D1241" s="2" t="s">
        <v>18</v>
      </c>
      <c r="E1241" s="3" t="s">
        <v>432</v>
      </c>
      <c r="F1241" s="3" t="s">
        <v>1525</v>
      </c>
      <c r="G1241" s="3" t="s">
        <v>234</v>
      </c>
      <c r="H1241" s="2" t="s">
        <v>55</v>
      </c>
      <c r="I1241" s="2" t="s">
        <v>3677</v>
      </c>
      <c r="J1241" s="3" t="str">
        <f>HYPERLINK("https://www.boe.es/gazeta/dias/1809/07/11/pdfs/GGB-1809-44.pdf#page=11","Abrir facsímil")</f>
        <v>Abrir facsímil</v>
      </c>
      <c r="K1241" s="3" t="s">
        <v>57</v>
      </c>
    </row>
    <row r="1242" spans="1:11" ht="42" customHeight="1">
      <c r="A1242" s="2" t="s">
        <v>3678</v>
      </c>
      <c r="B1242" s="2" t="s">
        <v>3679</v>
      </c>
      <c r="C1242" s="2" t="s">
        <v>17</v>
      </c>
      <c r="D1242" s="2" t="s">
        <v>18</v>
      </c>
      <c r="E1242" s="3" t="s">
        <v>635</v>
      </c>
      <c r="F1242" s="3" t="s">
        <v>636</v>
      </c>
      <c r="G1242" s="3" t="s">
        <v>637</v>
      </c>
      <c r="H1242" s="2" t="s">
        <v>55</v>
      </c>
      <c r="I1242" s="2" t="s">
        <v>3680</v>
      </c>
      <c r="J1242" s="3" t="str">
        <f>HYPERLINK("https://www.boe.es/gazeta/dias/1809/12/16/pdfs/GGB-1809-592.pdf#page=6","Abrir facsímil")</f>
        <v>Abrir facsímil</v>
      </c>
      <c r="K1242" s="3" t="s">
        <v>57</v>
      </c>
    </row>
    <row r="1243" spans="1:11" ht="42" customHeight="1">
      <c r="A1243" s="2" t="s">
        <v>3681</v>
      </c>
      <c r="B1243" s="2" t="s">
        <v>3682</v>
      </c>
      <c r="C1243" s="2" t="s">
        <v>25</v>
      </c>
      <c r="D1243" s="2" t="s">
        <v>26</v>
      </c>
      <c r="E1243" s="3" t="s">
        <v>60</v>
      </c>
      <c r="F1243" s="3" t="s">
        <v>61</v>
      </c>
      <c r="G1243" s="3" t="s">
        <v>396</v>
      </c>
      <c r="H1243" s="2" t="s">
        <v>55</v>
      </c>
      <c r="I1243" s="2" t="s">
        <v>3683</v>
      </c>
      <c r="J1243" s="3" t="str">
        <f>HYPERLINK("https://www.boe.es/gazeta/dias/1809/02/07/pdfs/GMD-1809-38.pdf#page=1","Abrir facsímil")</f>
        <v>Abrir facsímil</v>
      </c>
      <c r="K1243" s="3" t="s">
        <v>57</v>
      </c>
    </row>
    <row r="1244" spans="1:11" ht="42" customHeight="1">
      <c r="A1244" s="2" t="s">
        <v>3684</v>
      </c>
      <c r="B1244" s="2" t="s">
        <v>3685</v>
      </c>
      <c r="C1244" s="2" t="s">
        <v>25</v>
      </c>
      <c r="D1244" s="2" t="s">
        <v>18</v>
      </c>
      <c r="E1244" s="3" t="s">
        <v>2599</v>
      </c>
      <c r="F1244" s="3" t="s">
        <v>2600</v>
      </c>
      <c r="G1244" s="3" t="s">
        <v>21</v>
      </c>
      <c r="H1244" s="2" t="s">
        <v>55</v>
      </c>
      <c r="I1244" s="2" t="s">
        <v>3686</v>
      </c>
      <c r="J1244" s="3" t="str">
        <f>HYPERLINK("https://www.boe.es/gazeta/dias/1809/05/11/pdfs/GMD-1809-131.pdf#page=4","Abrir facsímil")</f>
        <v>Abrir facsímil</v>
      </c>
      <c r="K1244" s="3" t="s">
        <v>57</v>
      </c>
    </row>
    <row r="1245" spans="1:11" ht="42" customHeight="1">
      <c r="A1245" s="2" t="s">
        <v>3687</v>
      </c>
      <c r="B1245" s="2" t="s">
        <v>3688</v>
      </c>
      <c r="C1245" s="2" t="s">
        <v>47</v>
      </c>
      <c r="D1245" s="2" t="s">
        <v>18</v>
      </c>
      <c r="E1245" s="3" t="s">
        <v>755</v>
      </c>
      <c r="F1245" s="3" t="s">
        <v>756</v>
      </c>
      <c r="G1245" s="3" t="s">
        <v>525</v>
      </c>
      <c r="H1245" s="2" t="s">
        <v>55</v>
      </c>
      <c r="I1245" s="2" t="s">
        <v>3689</v>
      </c>
      <c r="J1245" s="3" t="str">
        <f>HYPERLINK("https://www.boe.es/gazeta/dias/1809/05/20/pdfs/GMD-1809-140.pdf#page=4","Abrir facsímil")</f>
        <v>Abrir facsímil</v>
      </c>
      <c r="K1245" s="3" t="s">
        <v>57</v>
      </c>
    </row>
    <row r="1246" spans="1:11" ht="42" customHeight="1">
      <c r="A1246" s="2" t="s">
        <v>3690</v>
      </c>
      <c r="B1246" s="2" t="s">
        <v>3691</v>
      </c>
      <c r="C1246" s="2" t="s">
        <v>17</v>
      </c>
      <c r="D1246" s="2" t="s">
        <v>72</v>
      </c>
      <c r="E1246" s="3" t="s">
        <v>243</v>
      </c>
      <c r="F1246" s="3" t="s">
        <v>244</v>
      </c>
      <c r="G1246" s="3" t="s">
        <v>110</v>
      </c>
      <c r="H1246" s="2" t="s">
        <v>55</v>
      </c>
      <c r="I1246" s="2" t="s">
        <v>3692</v>
      </c>
      <c r="J1246" s="3" t="str">
        <f>HYPERLINK("https://www.boe.es/gazeta/dias/1809/02/17/pdfs/GGB-G-1809-8.pdf#page=6","Abrir facsímil")</f>
        <v>Abrir facsímil</v>
      </c>
      <c r="K1246" s="3" t="s">
        <v>57</v>
      </c>
    </row>
    <row r="1247" spans="1:11" ht="42" customHeight="1">
      <c r="A1247" s="2" t="s">
        <v>3693</v>
      </c>
      <c r="B1247" s="2" t="s">
        <v>3694</v>
      </c>
      <c r="C1247" s="2" t="s">
        <v>17</v>
      </c>
      <c r="D1247" s="2" t="s">
        <v>72</v>
      </c>
      <c r="E1247" s="3" t="s">
        <v>163</v>
      </c>
      <c r="F1247" s="3" t="s">
        <v>164</v>
      </c>
      <c r="G1247" s="3" t="s">
        <v>21</v>
      </c>
      <c r="H1247" s="2" t="s">
        <v>55</v>
      </c>
      <c r="I1247" s="2" t="s">
        <v>3695</v>
      </c>
      <c r="J1247" s="3" t="str">
        <f>HYPERLINK("https://www.boe.es/gazeta/dias/1809/03/10/pdfs/GGB-H-1809-11.pdf#page=8","Abrir facsímil")</f>
        <v>Abrir facsímil</v>
      </c>
      <c r="K1247" s="3" t="s">
        <v>57</v>
      </c>
    </row>
    <row r="1248" spans="1:11" ht="42" customHeight="1">
      <c r="A1248" s="2" t="s">
        <v>3696</v>
      </c>
      <c r="B1248" s="2" t="s">
        <v>3697</v>
      </c>
      <c r="C1248" s="2" t="s">
        <v>17</v>
      </c>
      <c r="D1248" s="2" t="s">
        <v>72</v>
      </c>
      <c r="E1248" s="3" t="s">
        <v>3178</v>
      </c>
      <c r="F1248" s="3" t="s">
        <v>3179</v>
      </c>
      <c r="G1248" s="3" t="s">
        <v>396</v>
      </c>
      <c r="H1248" s="2" t="s">
        <v>55</v>
      </c>
      <c r="I1248" s="2" t="s">
        <v>3698</v>
      </c>
      <c r="J1248" s="3" t="str">
        <f>HYPERLINK("https://www.boe.es/gazeta/dias/1809/04/20/pdfs/GMD-E-1809-110.pdf#page=1","Abrir facsímil")</f>
        <v>Abrir facsímil</v>
      </c>
      <c r="K1248" s="3" t="s">
        <v>57</v>
      </c>
    </row>
    <row r="1249" spans="1:11" ht="42" customHeight="1">
      <c r="A1249" s="2" t="s">
        <v>3699</v>
      </c>
      <c r="B1249" s="2" t="s">
        <v>3700</v>
      </c>
      <c r="C1249" s="2" t="s">
        <v>131</v>
      </c>
      <c r="D1249" s="2" t="s">
        <v>107</v>
      </c>
      <c r="E1249" s="3" t="s">
        <v>749</v>
      </c>
      <c r="F1249" s="3" t="s">
        <v>750</v>
      </c>
      <c r="G1249" s="3" t="s">
        <v>1441</v>
      </c>
      <c r="H1249" s="2" t="s">
        <v>55</v>
      </c>
      <c r="I1249" s="2" t="s">
        <v>3701</v>
      </c>
      <c r="J1249" s="3" t="str">
        <f>HYPERLINK("https://www.boe.es/gazeta/dias/1809/05/19/pdfs/GGB-1809-29.pdf#page=8","Abrir facsímil")</f>
        <v>Abrir facsímil</v>
      </c>
      <c r="K1249" s="3" t="s">
        <v>57</v>
      </c>
    </row>
    <row r="1250" spans="1:11" ht="42" customHeight="1">
      <c r="A1250" s="2" t="s">
        <v>3702</v>
      </c>
      <c r="B1250" s="2" t="s">
        <v>3703</v>
      </c>
      <c r="C1250" s="2" t="s">
        <v>39</v>
      </c>
      <c r="D1250" s="2" t="s">
        <v>72</v>
      </c>
      <c r="E1250" s="3" t="s">
        <v>787</v>
      </c>
      <c r="F1250" s="3" t="s">
        <v>788</v>
      </c>
      <c r="G1250" s="3" t="s">
        <v>789</v>
      </c>
      <c r="H1250" s="2" t="s">
        <v>55</v>
      </c>
      <c r="I1250" s="2" t="s">
        <v>3704</v>
      </c>
      <c r="J1250" s="3" t="str">
        <f>HYPERLINK("https://www.boe.es/gazeta/dias/1809/04/29/pdfs/GMD-E-1809-119.pdf#page=1","Abrir facsímil")</f>
        <v>Abrir facsímil</v>
      </c>
      <c r="K1250" s="3" t="s">
        <v>57</v>
      </c>
    </row>
    <row r="1251" spans="1:11" ht="42" customHeight="1">
      <c r="A1251" s="2" t="s">
        <v>3705</v>
      </c>
      <c r="B1251" s="2" t="s">
        <v>3706</v>
      </c>
      <c r="C1251" s="2" t="s">
        <v>17</v>
      </c>
      <c r="D1251" s="2" t="s">
        <v>72</v>
      </c>
      <c r="E1251" s="3" t="s">
        <v>190</v>
      </c>
      <c r="F1251" s="3" t="s">
        <v>3505</v>
      </c>
      <c r="G1251" s="3" t="s">
        <v>906</v>
      </c>
      <c r="H1251" s="2" t="s">
        <v>55</v>
      </c>
      <c r="I1251" s="2" t="s">
        <v>3707</v>
      </c>
      <c r="J1251" s="3" t="str">
        <f>HYPERLINK("https://www.boe.es/gazeta/dias/1809/10/14/pdfs/GGB-H-1809-322.pdf#page=8","Abrir facsímil")</f>
        <v>Abrir facsímil</v>
      </c>
      <c r="K1251" s="3" t="s">
        <v>57</v>
      </c>
    </row>
    <row r="1252" spans="1:11" ht="42" customHeight="1">
      <c r="A1252" s="2" t="s">
        <v>3708</v>
      </c>
      <c r="B1252" s="2" t="s">
        <v>3709</v>
      </c>
      <c r="C1252" s="2" t="s">
        <v>79</v>
      </c>
      <c r="D1252" s="2" t="s">
        <v>18</v>
      </c>
      <c r="E1252" s="3" t="s">
        <v>48</v>
      </c>
      <c r="F1252" s="3" t="s">
        <v>1718</v>
      </c>
      <c r="G1252" s="3" t="s">
        <v>3710</v>
      </c>
      <c r="H1252" s="2" t="s">
        <v>55</v>
      </c>
      <c r="I1252" s="2" t="s">
        <v>3711</v>
      </c>
      <c r="J1252" s="3" t="str">
        <f>HYPERLINK("https://www.boe.es/gazeta/dias/1809/10/03/pdfs/GGB-1809-272.pdf#page=3","Abrir facsímil")</f>
        <v>Abrir facsímil</v>
      </c>
      <c r="K1252" s="3" t="s">
        <v>57</v>
      </c>
    </row>
    <row r="1253" spans="1:11" ht="42" customHeight="1">
      <c r="A1253" s="2" t="s">
        <v>3712</v>
      </c>
      <c r="B1253" s="2" t="s">
        <v>3713</v>
      </c>
      <c r="C1253" s="2" t="s">
        <v>131</v>
      </c>
      <c r="D1253" s="2" t="s">
        <v>26</v>
      </c>
      <c r="E1253" s="3" t="s">
        <v>3714</v>
      </c>
      <c r="F1253" s="3" t="s">
        <v>3715</v>
      </c>
      <c r="G1253" s="3" t="s">
        <v>225</v>
      </c>
      <c r="H1253" s="2" t="s">
        <v>55</v>
      </c>
      <c r="I1253" s="2" t="s">
        <v>3716</v>
      </c>
      <c r="J1253" s="3" t="str">
        <f>HYPERLINK("https://www.boe.es/gazeta/dias/1809/12/07/pdfs/GMD-1809-342.pdf#page=4","Abrir facsímil")</f>
        <v>Abrir facsímil</v>
      </c>
      <c r="K1253" s="3" t="s">
        <v>57</v>
      </c>
    </row>
    <row r="1254" spans="1:11" ht="42" customHeight="1">
      <c r="A1254" s="2" t="s">
        <v>3717</v>
      </c>
      <c r="B1254" s="2" t="s">
        <v>3718</v>
      </c>
      <c r="C1254" s="2" t="s">
        <v>17</v>
      </c>
      <c r="D1254" s="2" t="s">
        <v>18</v>
      </c>
      <c r="E1254" s="3" t="s">
        <v>3521</v>
      </c>
      <c r="F1254" s="3" t="s">
        <v>3522</v>
      </c>
      <c r="G1254" s="3" t="s">
        <v>110</v>
      </c>
      <c r="H1254" s="2" t="s">
        <v>55</v>
      </c>
      <c r="I1254" s="2" t="s">
        <v>3719</v>
      </c>
      <c r="J1254" s="3" t="str">
        <f>HYPERLINK("https://www.boe.es/gazeta/dias/1809/02/24/pdfs/GGB-1809-9.pdf#page=7","Abrir facsímil")</f>
        <v>Abrir facsímil</v>
      </c>
      <c r="K1254" s="3" t="s">
        <v>57</v>
      </c>
    </row>
    <row r="1255" spans="1:11" ht="42" customHeight="1">
      <c r="A1255" s="2" t="s">
        <v>3720</v>
      </c>
      <c r="B1255" s="2" t="s">
        <v>3721</v>
      </c>
      <c r="C1255" s="2" t="s">
        <v>17</v>
      </c>
      <c r="D1255" s="2" t="s">
        <v>72</v>
      </c>
      <c r="E1255" s="3" t="s">
        <v>243</v>
      </c>
      <c r="F1255" s="3" t="s">
        <v>244</v>
      </c>
      <c r="G1255" s="3" t="s">
        <v>541</v>
      </c>
      <c r="H1255" s="2" t="s">
        <v>55</v>
      </c>
      <c r="I1255" s="2" t="s">
        <v>3722</v>
      </c>
      <c r="J1255" s="3" t="str">
        <f>HYPERLINK("https://www.boe.es/gazeta/dias/1809/02/17/pdfs/GGB-G-1809-8.pdf#page=8","Abrir facsímil")</f>
        <v>Abrir facsímil</v>
      </c>
      <c r="K1255" s="3" t="s">
        <v>57</v>
      </c>
    </row>
    <row r="1256" spans="1:11" ht="42" customHeight="1">
      <c r="A1256" s="2" t="s">
        <v>3723</v>
      </c>
      <c r="B1256" s="2" t="s">
        <v>3724</v>
      </c>
      <c r="C1256" s="2" t="s">
        <v>17</v>
      </c>
      <c r="D1256" s="2" t="s">
        <v>18</v>
      </c>
      <c r="E1256" s="3" t="s">
        <v>1640</v>
      </c>
      <c r="F1256" s="3" t="s">
        <v>3725</v>
      </c>
      <c r="G1256" s="3" t="s">
        <v>129</v>
      </c>
      <c r="H1256" s="2" t="s">
        <v>55</v>
      </c>
      <c r="I1256" s="2" t="s">
        <v>3726</v>
      </c>
      <c r="J1256" s="3" t="str">
        <f>HYPERLINK("https://www.boe.es/gazeta/dias/1809/01/06/pdfs/GMD-1809-6.pdf#page=2","Abrir facsímil")</f>
        <v>Abrir facsímil</v>
      </c>
      <c r="K1256" s="3" t="s">
        <v>57</v>
      </c>
    </row>
    <row r="1257" spans="1:11" ht="42" customHeight="1">
      <c r="A1257" s="2" t="s">
        <v>3727</v>
      </c>
      <c r="B1257" s="2" t="s">
        <v>3728</v>
      </c>
      <c r="C1257" s="2" t="s">
        <v>25</v>
      </c>
      <c r="D1257" s="2" t="s">
        <v>18</v>
      </c>
      <c r="E1257" s="3" t="s">
        <v>390</v>
      </c>
      <c r="F1257" s="3" t="s">
        <v>391</v>
      </c>
      <c r="G1257" s="3" t="s">
        <v>3729</v>
      </c>
      <c r="H1257" s="2" t="s">
        <v>55</v>
      </c>
      <c r="I1257" s="2" t="s">
        <v>3730</v>
      </c>
      <c r="J1257" s="3" t="str">
        <f>HYPERLINK("https://www.boe.es/gazeta/dias/1809/10/19/pdfs/GGB-1809-342.pdf#page=7","Abrir facsímil")</f>
        <v>Abrir facsímil</v>
      </c>
      <c r="K1257" s="3" t="s">
        <v>57</v>
      </c>
    </row>
    <row r="1258" spans="1:11" ht="42" customHeight="1">
      <c r="A1258" s="2" t="s">
        <v>3731</v>
      </c>
      <c r="B1258" s="2" t="s">
        <v>3732</v>
      </c>
      <c r="C1258" s="2" t="s">
        <v>17</v>
      </c>
      <c r="D1258" s="2" t="s">
        <v>107</v>
      </c>
      <c r="E1258" s="3" t="s">
        <v>2599</v>
      </c>
      <c r="F1258" s="3" t="s">
        <v>2600</v>
      </c>
      <c r="G1258" s="3" t="s">
        <v>21</v>
      </c>
      <c r="H1258" s="2" t="s">
        <v>55</v>
      </c>
      <c r="I1258" s="2" t="s">
        <v>3733</v>
      </c>
      <c r="J1258" s="3" t="str">
        <f>HYPERLINK("https://www.boe.es/gazeta/dias/1809/05/11/pdfs/GMD-1809-131.pdf#page=4","Abrir facsímil")</f>
        <v>Abrir facsímil</v>
      </c>
      <c r="K1258" s="3" t="s">
        <v>57</v>
      </c>
    </row>
    <row r="1259" spans="1:11" ht="42" customHeight="1">
      <c r="A1259" s="2" t="s">
        <v>3734</v>
      </c>
      <c r="B1259" s="2" t="s">
        <v>3735</v>
      </c>
      <c r="C1259" s="2" t="s">
        <v>17</v>
      </c>
      <c r="D1259" s="2" t="s">
        <v>18</v>
      </c>
      <c r="E1259" s="3" t="s">
        <v>1640</v>
      </c>
      <c r="F1259" s="3" t="s">
        <v>3725</v>
      </c>
      <c r="G1259" s="3" t="s">
        <v>29</v>
      </c>
      <c r="H1259" s="2" t="s">
        <v>55</v>
      </c>
      <c r="I1259" s="2" t="s">
        <v>3736</v>
      </c>
      <c r="J1259" s="3" t="str">
        <f>HYPERLINK("https://www.boe.es/gazeta/dias/1809/01/06/pdfs/GMD-1809-6.pdf#page=3","Abrir facsímil")</f>
        <v>Abrir facsímil</v>
      </c>
      <c r="K1259" s="3" t="s">
        <v>57</v>
      </c>
    </row>
    <row r="1260" spans="1:11" ht="42" customHeight="1">
      <c r="A1260" s="2" t="s">
        <v>3734</v>
      </c>
      <c r="B1260" s="2" t="s">
        <v>3735</v>
      </c>
      <c r="C1260" s="2" t="s">
        <v>17</v>
      </c>
      <c r="D1260" s="2" t="s">
        <v>18</v>
      </c>
      <c r="E1260" s="3" t="s">
        <v>1640</v>
      </c>
      <c r="F1260" s="3" t="s">
        <v>3725</v>
      </c>
      <c r="G1260" s="3" t="s">
        <v>316</v>
      </c>
      <c r="H1260" s="2" t="s">
        <v>55</v>
      </c>
      <c r="I1260" s="2" t="s">
        <v>3737</v>
      </c>
      <c r="J1260" s="3" t="str">
        <f>HYPERLINK("https://www.boe.es/gazeta/dias/1809/01/06/pdfs/GMD-1809-6.pdf#page=4","Abrir facsímil")</f>
        <v>Abrir facsímil</v>
      </c>
      <c r="K1260" s="3" t="s">
        <v>57</v>
      </c>
    </row>
    <row r="1261" spans="1:11" ht="42" customHeight="1">
      <c r="A1261" s="2" t="s">
        <v>3734</v>
      </c>
      <c r="B1261" s="2" t="s">
        <v>3735</v>
      </c>
      <c r="C1261" s="2" t="s">
        <v>17</v>
      </c>
      <c r="D1261" s="2" t="s">
        <v>72</v>
      </c>
      <c r="E1261" s="3" t="s">
        <v>184</v>
      </c>
      <c r="F1261" s="3" t="s">
        <v>185</v>
      </c>
      <c r="G1261" s="3" t="s">
        <v>186</v>
      </c>
      <c r="H1261" s="2" t="s">
        <v>55</v>
      </c>
      <c r="I1261" s="2" t="s">
        <v>3738</v>
      </c>
      <c r="J1261" s="3" t="str">
        <f>HYPERLINK("https://www.boe.es/gazeta/dias/1809/01/07/pdfs/GMD-E-1809-7.pdf#page=3","Abrir facsímil")</f>
        <v>Abrir facsímil</v>
      </c>
      <c r="K1261" s="3" t="s">
        <v>57</v>
      </c>
    </row>
    <row r="1262" spans="1:11" ht="42" customHeight="1">
      <c r="A1262" s="2" t="s">
        <v>3734</v>
      </c>
      <c r="B1262" s="2" t="s">
        <v>3735</v>
      </c>
      <c r="C1262" s="2" t="s">
        <v>17</v>
      </c>
      <c r="D1262" s="2" t="s">
        <v>72</v>
      </c>
      <c r="E1262" s="3" t="s">
        <v>184</v>
      </c>
      <c r="F1262" s="3" t="s">
        <v>185</v>
      </c>
      <c r="G1262" s="3" t="s">
        <v>861</v>
      </c>
      <c r="H1262" s="2" t="s">
        <v>55</v>
      </c>
      <c r="I1262" s="2" t="s">
        <v>3739</v>
      </c>
      <c r="J1262" s="3" t="str">
        <f>HYPERLINK("https://www.boe.es/gazeta/dias/1809/01/07/pdfs/GMD-E-1809-7.pdf#page=4","Abrir facsímil")</f>
        <v>Abrir facsímil</v>
      </c>
      <c r="K1262" s="3" t="s">
        <v>57</v>
      </c>
    </row>
    <row r="1263" spans="1:11" ht="42" customHeight="1">
      <c r="A1263" s="2" t="s">
        <v>3740</v>
      </c>
      <c r="B1263" s="2" t="s">
        <v>3741</v>
      </c>
      <c r="C1263" s="2" t="s">
        <v>17</v>
      </c>
      <c r="D1263" s="2" t="s">
        <v>18</v>
      </c>
      <c r="E1263" s="3" t="s">
        <v>216</v>
      </c>
      <c r="F1263" s="3" t="s">
        <v>2440</v>
      </c>
      <c r="G1263" s="3" t="s">
        <v>3742</v>
      </c>
      <c r="H1263" s="2" t="s">
        <v>55</v>
      </c>
      <c r="I1263" s="2" t="s">
        <v>3743</v>
      </c>
      <c r="J1263" s="3" t="str">
        <f>HYPERLINK("https://www.boe.es/gazeta/dias/1809/12/05/pdfs/GGB-1809-542.pdf#page=3","Abrir facsímil")</f>
        <v>Abrir facsímil</v>
      </c>
      <c r="K1263" s="3" t="s">
        <v>57</v>
      </c>
    </row>
    <row r="1264" spans="1:11" ht="42" customHeight="1">
      <c r="A1264" s="2" t="s">
        <v>3744</v>
      </c>
      <c r="B1264" s="2" t="s">
        <v>3745</v>
      </c>
      <c r="C1264" s="2" t="s">
        <v>79</v>
      </c>
      <c r="D1264" s="2" t="s">
        <v>18</v>
      </c>
      <c r="E1264" s="3" t="s">
        <v>730</v>
      </c>
      <c r="F1264" s="3" t="s">
        <v>731</v>
      </c>
      <c r="G1264" s="3" t="s">
        <v>62</v>
      </c>
      <c r="H1264" s="2" t="s">
        <v>55</v>
      </c>
      <c r="I1264" s="2" t="s">
        <v>3746</v>
      </c>
      <c r="J1264" s="3" t="str">
        <f>HYPERLINK("https://www.boe.es/gazeta/dias/1809/06/23/pdfs/GMD-1809-174.pdf#page=3","Abrir facsímil")</f>
        <v>Abrir facsímil</v>
      </c>
      <c r="K1264" s="3" t="s">
        <v>57</v>
      </c>
    </row>
    <row r="1265" spans="1:11" ht="42" customHeight="1">
      <c r="A1265" s="2" t="s">
        <v>3747</v>
      </c>
      <c r="B1265" s="2" t="s">
        <v>3748</v>
      </c>
      <c r="C1265" s="2" t="s">
        <v>369</v>
      </c>
      <c r="D1265" s="2" t="s">
        <v>18</v>
      </c>
      <c r="E1265" s="3" t="s">
        <v>278</v>
      </c>
      <c r="F1265" s="3" t="s">
        <v>279</v>
      </c>
      <c r="G1265" s="3" t="s">
        <v>1680</v>
      </c>
      <c r="H1265" s="2" t="s">
        <v>55</v>
      </c>
      <c r="I1265" s="2" t="s">
        <v>3749</v>
      </c>
      <c r="J1265" s="3" t="str">
        <f>HYPERLINK("https://www.boe.es/gazeta/dias/1809/03/26/pdfs/GMD-1809-85.pdf#page=4","Abrir facsímil")</f>
        <v>Abrir facsímil</v>
      </c>
      <c r="K1265" s="3" t="s">
        <v>57</v>
      </c>
    </row>
    <row r="1266" spans="1:11" ht="42" customHeight="1">
      <c r="A1266" s="2" t="s">
        <v>3750</v>
      </c>
      <c r="B1266" s="2" t="s">
        <v>3751</v>
      </c>
      <c r="C1266" s="2" t="s">
        <v>17</v>
      </c>
      <c r="D1266" s="2" t="s">
        <v>18</v>
      </c>
      <c r="E1266" s="3" t="s">
        <v>1514</v>
      </c>
      <c r="F1266" s="3" t="s">
        <v>1840</v>
      </c>
      <c r="G1266" s="3" t="s">
        <v>316</v>
      </c>
      <c r="H1266" s="2" t="s">
        <v>55</v>
      </c>
      <c r="I1266" s="2" t="s">
        <v>3752</v>
      </c>
      <c r="J1266" s="3" t="str">
        <f>HYPERLINK("https://www.boe.es/gazeta/dias/1809/04/17/pdfs/GGB-1809-19.pdf#page=1","Abrir facsímil")</f>
        <v>Abrir facsímil</v>
      </c>
      <c r="K1266" s="3" t="s">
        <v>57</v>
      </c>
    </row>
    <row r="1267" spans="1:11" ht="42" customHeight="1">
      <c r="A1267" s="2" t="s">
        <v>3753</v>
      </c>
      <c r="B1267" s="2" t="s">
        <v>3754</v>
      </c>
      <c r="C1267" s="2" t="s">
        <v>17</v>
      </c>
      <c r="D1267" s="2" t="s">
        <v>40</v>
      </c>
      <c r="E1267" s="3" t="s">
        <v>776</v>
      </c>
      <c r="F1267" s="3" t="s">
        <v>777</v>
      </c>
      <c r="G1267" s="3" t="s">
        <v>736</v>
      </c>
      <c r="H1267" s="2" t="s">
        <v>55</v>
      </c>
      <c r="I1267" s="2" t="s">
        <v>3755</v>
      </c>
      <c r="J1267" s="3" t="str">
        <f>HYPERLINK("https://www.boe.es/gazeta/dias/1809/05/28/pdfs/GMD-E-1809-148.pdf#page=1","Abrir facsímil")</f>
        <v>Abrir facsímil</v>
      </c>
      <c r="K1267" s="3" t="s">
        <v>57</v>
      </c>
    </row>
    <row r="1268" spans="1:11" ht="42" customHeight="1">
      <c r="A1268" s="2" t="s">
        <v>3756</v>
      </c>
      <c r="B1268" s="2" t="s">
        <v>3757</v>
      </c>
      <c r="C1268" s="2" t="s">
        <v>25</v>
      </c>
      <c r="D1268" s="2" t="s">
        <v>18</v>
      </c>
      <c r="E1268" s="3" t="s">
        <v>1687</v>
      </c>
      <c r="F1268" s="3" t="s">
        <v>1688</v>
      </c>
      <c r="G1268" s="3" t="s">
        <v>239</v>
      </c>
      <c r="H1268" s="2" t="s">
        <v>55</v>
      </c>
      <c r="I1268" s="2" t="s">
        <v>3758</v>
      </c>
      <c r="J1268" s="3" t="str">
        <f>HYPERLINK("https://www.boe.es/gazeta/dias/1809/02/25/pdfs/GMD-1809-56.pdf#page=3","Abrir facsímil")</f>
        <v>Abrir facsímil</v>
      </c>
      <c r="K1268" s="3" t="s">
        <v>57</v>
      </c>
    </row>
    <row r="1269" spans="1:11" ht="42" customHeight="1">
      <c r="A1269" s="2" t="s">
        <v>3759</v>
      </c>
      <c r="B1269" s="2" t="s">
        <v>3760</v>
      </c>
      <c r="C1269" s="2" t="s">
        <v>25</v>
      </c>
      <c r="D1269" s="2" t="s">
        <v>18</v>
      </c>
      <c r="E1269" s="3" t="s">
        <v>299</v>
      </c>
      <c r="F1269" s="3" t="s">
        <v>300</v>
      </c>
      <c r="G1269" s="3" t="s">
        <v>301</v>
      </c>
      <c r="H1269" s="2" t="s">
        <v>55</v>
      </c>
      <c r="I1269" s="2" t="s">
        <v>3761</v>
      </c>
      <c r="J1269" s="3" t="str">
        <f>HYPERLINK("https://www.boe.es/gazeta/dias/1809/05/26/pdfs/GGB-1809-31.pdf#page=10","Abrir facsímil")</f>
        <v>Abrir facsímil</v>
      </c>
      <c r="K1269" s="3" t="s">
        <v>57</v>
      </c>
    </row>
    <row r="1270" spans="1:11" ht="42" customHeight="1">
      <c r="A1270" s="2" t="s">
        <v>3762</v>
      </c>
      <c r="B1270" s="2" t="s">
        <v>3763</v>
      </c>
      <c r="C1270" s="2" t="s">
        <v>47</v>
      </c>
      <c r="D1270" s="2" t="s">
        <v>107</v>
      </c>
      <c r="E1270" s="3" t="s">
        <v>3764</v>
      </c>
      <c r="F1270" s="3" t="s">
        <v>3765</v>
      </c>
      <c r="G1270" s="3" t="s">
        <v>3766</v>
      </c>
      <c r="H1270" s="2" t="s">
        <v>55</v>
      </c>
      <c r="I1270" s="2" t="s">
        <v>3767</v>
      </c>
      <c r="J1270" s="3" t="str">
        <f>HYPERLINK("https://www.boe.es/gazeta/dias/1809/03/28/pdfs/GMD-1809-87.pdf#page=1","Abrir facsímil")</f>
        <v>Abrir facsímil</v>
      </c>
      <c r="K1270" s="3" t="s">
        <v>57</v>
      </c>
    </row>
    <row r="1271" spans="1:11" ht="42" customHeight="1">
      <c r="A1271" s="2" t="s">
        <v>3768</v>
      </c>
      <c r="B1271" s="2" t="s">
        <v>3769</v>
      </c>
      <c r="C1271" s="2" t="s">
        <v>369</v>
      </c>
      <c r="D1271" s="2" t="s">
        <v>18</v>
      </c>
      <c r="E1271" s="3" t="s">
        <v>758</v>
      </c>
      <c r="F1271" s="3" t="s">
        <v>759</v>
      </c>
      <c r="G1271" s="3" t="s">
        <v>62</v>
      </c>
      <c r="H1271" s="2" t="s">
        <v>55</v>
      </c>
      <c r="I1271" s="2" t="s">
        <v>3770</v>
      </c>
      <c r="J1271" s="3" t="str">
        <f>HYPERLINK("https://www.boe.es/gazeta/dias/1809/06/01/pdfs/GMD-1809-152.pdf#page=2","Abrir facsímil")</f>
        <v>Abrir facsímil</v>
      </c>
      <c r="K1271" s="3" t="s">
        <v>57</v>
      </c>
    </row>
    <row r="1272" spans="1:11" ht="42" customHeight="1">
      <c r="A1272" s="2" t="s">
        <v>3768</v>
      </c>
      <c r="B1272" s="2" t="s">
        <v>3769</v>
      </c>
      <c r="C1272" s="2" t="s">
        <v>369</v>
      </c>
      <c r="D1272" s="2" t="s">
        <v>107</v>
      </c>
      <c r="E1272" s="3" t="s">
        <v>761</v>
      </c>
      <c r="F1272" s="3" t="s">
        <v>762</v>
      </c>
      <c r="G1272" s="3" t="s">
        <v>3771</v>
      </c>
      <c r="H1272" s="2" t="s">
        <v>55</v>
      </c>
      <c r="I1272" s="2" t="s">
        <v>3772</v>
      </c>
      <c r="J1272" s="3" t="str">
        <f>HYPERLINK("https://www.boe.es/gazeta/dias/1809/06/02/pdfs/GMD-1809-153.pdf#page=2","Abrir facsímil")</f>
        <v>Abrir facsímil</v>
      </c>
      <c r="K1272" s="3" t="s">
        <v>57</v>
      </c>
    </row>
    <row r="1273" spans="1:11" ht="42" customHeight="1">
      <c r="A1273" s="2" t="s">
        <v>3773</v>
      </c>
      <c r="B1273" s="2" t="s">
        <v>3774</v>
      </c>
      <c r="C1273" s="2" t="s">
        <v>25</v>
      </c>
      <c r="D1273" s="2" t="s">
        <v>26</v>
      </c>
      <c r="E1273" s="3" t="s">
        <v>730</v>
      </c>
      <c r="F1273" s="3" t="s">
        <v>3423</v>
      </c>
      <c r="G1273" s="3" t="s">
        <v>918</v>
      </c>
      <c r="H1273" s="2" t="s">
        <v>55</v>
      </c>
      <c r="I1273" s="2" t="s">
        <v>3775</v>
      </c>
      <c r="J1273" s="3" t="str">
        <f>HYPERLINK("https://www.boe.es/gazeta/dias/1809/06/23/pdfs/GGB-1809-39.pdf#page=3","Abrir facsímil")</f>
        <v>Abrir facsímil</v>
      </c>
      <c r="K1273" s="3" t="s">
        <v>57</v>
      </c>
    </row>
    <row r="1274" spans="1:11" ht="42" customHeight="1">
      <c r="A1274" s="2" t="s">
        <v>3776</v>
      </c>
      <c r="B1274" s="2" t="s">
        <v>3777</v>
      </c>
      <c r="C1274" s="2" t="s">
        <v>25</v>
      </c>
      <c r="D1274" s="2" t="s">
        <v>72</v>
      </c>
      <c r="E1274" s="3" t="s">
        <v>294</v>
      </c>
      <c r="F1274" s="3" t="s">
        <v>295</v>
      </c>
      <c r="G1274" s="3" t="s">
        <v>154</v>
      </c>
      <c r="H1274" s="2" t="s">
        <v>55</v>
      </c>
      <c r="I1274" s="2" t="s">
        <v>3778</v>
      </c>
      <c r="J1274" s="3" t="str">
        <f>HYPERLINK("https://www.boe.es/gazeta/dias/1809/09/30/pdfs/GGB-H-1809-262.pdf#page=3","Abrir facsímil")</f>
        <v>Abrir facsímil</v>
      </c>
      <c r="K1274" s="3" t="s">
        <v>57</v>
      </c>
    </row>
    <row r="1275" spans="1:11" ht="42" customHeight="1">
      <c r="A1275" s="2" t="s">
        <v>3779</v>
      </c>
      <c r="B1275" s="2" t="s">
        <v>3780</v>
      </c>
      <c r="C1275" s="2" t="s">
        <v>17</v>
      </c>
      <c r="D1275" s="2" t="s">
        <v>18</v>
      </c>
      <c r="E1275" s="3" t="s">
        <v>3397</v>
      </c>
      <c r="F1275" s="3" t="s">
        <v>3398</v>
      </c>
      <c r="G1275" s="3" t="s">
        <v>225</v>
      </c>
      <c r="H1275" s="2" t="s">
        <v>55</v>
      </c>
      <c r="I1275" s="2" t="s">
        <v>3781</v>
      </c>
      <c r="J1275" s="3" t="str">
        <f>HYPERLINK("https://www.boe.es/gazeta/dias/1809/02/08/pdfs/GMD-1809-39.pdf#page=4","Abrir facsímil")</f>
        <v>Abrir facsímil</v>
      </c>
      <c r="K1275" s="3" t="s">
        <v>57</v>
      </c>
    </row>
    <row r="1276" spans="1:11" ht="42" customHeight="1">
      <c r="A1276" s="2" t="s">
        <v>3782</v>
      </c>
      <c r="B1276" s="2" t="s">
        <v>3783</v>
      </c>
      <c r="C1276" s="2" t="s">
        <v>25</v>
      </c>
      <c r="D1276" s="2" t="s">
        <v>18</v>
      </c>
      <c r="E1276" s="3" t="s">
        <v>1551</v>
      </c>
      <c r="F1276" s="3" t="s">
        <v>1552</v>
      </c>
      <c r="G1276" s="3" t="s">
        <v>301</v>
      </c>
      <c r="H1276" s="2" t="s">
        <v>55</v>
      </c>
      <c r="I1276" s="2" t="s">
        <v>3784</v>
      </c>
      <c r="J1276" s="3" t="str">
        <f>HYPERLINK("https://www.boe.es/gazeta/dias/1809/06/12/pdfs/GGB-1809-36.pdf#page=10","Abrir facsímil")</f>
        <v>Abrir facsímil</v>
      </c>
      <c r="K1276" s="3" t="s">
        <v>57</v>
      </c>
    </row>
    <row r="1277" spans="1:11" ht="42" customHeight="1">
      <c r="A1277" s="2" t="s">
        <v>3785</v>
      </c>
      <c r="B1277" s="2" t="s">
        <v>3786</v>
      </c>
      <c r="C1277" s="2" t="s">
        <v>25</v>
      </c>
      <c r="D1277" s="2" t="s">
        <v>40</v>
      </c>
      <c r="E1277" s="3" t="s">
        <v>904</v>
      </c>
      <c r="F1277" s="3" t="s">
        <v>2324</v>
      </c>
      <c r="G1277" s="3" t="s">
        <v>270</v>
      </c>
      <c r="H1277" s="2" t="s">
        <v>55</v>
      </c>
      <c r="I1277" s="2" t="s">
        <v>3787</v>
      </c>
      <c r="J1277" s="3" t="str">
        <f>HYPERLINK("https://www.boe.es/gazeta/dias/1809/07/07/pdfs/GGB-G-1809-43.pdf#page=1","Abrir facsímil")</f>
        <v>Abrir facsímil</v>
      </c>
      <c r="K1277" s="3" t="s">
        <v>57</v>
      </c>
    </row>
    <row r="1278" spans="1:11" ht="42" customHeight="1">
      <c r="A1278" s="2" t="s">
        <v>3788</v>
      </c>
      <c r="B1278" s="2" t="s">
        <v>3789</v>
      </c>
      <c r="C1278" s="2" t="s">
        <v>25</v>
      </c>
      <c r="D1278" s="2" t="s">
        <v>26</v>
      </c>
      <c r="E1278" s="3" t="s">
        <v>883</v>
      </c>
      <c r="F1278" s="3" t="s">
        <v>884</v>
      </c>
      <c r="G1278" s="3" t="s">
        <v>21</v>
      </c>
      <c r="H1278" s="2" t="s">
        <v>55</v>
      </c>
      <c r="I1278" s="2" t="s">
        <v>3790</v>
      </c>
      <c r="J1278" s="3" t="str">
        <f>HYPERLINK("https://www.boe.es/gazeta/dias/1809/12/21/pdfs/GMD-1809-356.pdf#page=3","Abrir facsímil")</f>
        <v>Abrir facsímil</v>
      </c>
      <c r="K1278" s="3" t="s">
        <v>57</v>
      </c>
    </row>
    <row r="1279" spans="1:11" ht="42" customHeight="1">
      <c r="A1279" s="2" t="s">
        <v>3791</v>
      </c>
      <c r="B1279" s="2" t="s">
        <v>3792</v>
      </c>
      <c r="C1279" s="2" t="s">
        <v>131</v>
      </c>
      <c r="D1279" s="2" t="s">
        <v>107</v>
      </c>
      <c r="E1279" s="3" t="s">
        <v>3195</v>
      </c>
      <c r="F1279" s="3" t="s">
        <v>3196</v>
      </c>
      <c r="G1279" s="3" t="s">
        <v>129</v>
      </c>
      <c r="H1279" s="2" t="s">
        <v>22</v>
      </c>
      <c r="I1279" s="2" t="s">
        <v>3793</v>
      </c>
      <c r="J1279" s="3" t="str">
        <f>HYPERLINK("https://www.boe.es/gazeta/dias/1809/01/26/pdfs/GMD-1809-26.pdf#page=2","Abrir facsímil")</f>
        <v>Abrir facsímil</v>
      </c>
      <c r="K1279" s="3" t="s">
        <v>24</v>
      </c>
    </row>
    <row r="1280" spans="1:11" ht="42" customHeight="1">
      <c r="A1280" s="2" t="s">
        <v>3794</v>
      </c>
      <c r="B1280" s="2" t="s">
        <v>3795</v>
      </c>
      <c r="C1280" s="2" t="s">
        <v>17</v>
      </c>
      <c r="D1280" s="2" t="s">
        <v>80</v>
      </c>
      <c r="E1280" s="3" t="s">
        <v>3796</v>
      </c>
      <c r="F1280" s="3" t="s">
        <v>3797</v>
      </c>
      <c r="G1280" s="3" t="s">
        <v>154</v>
      </c>
      <c r="H1280" s="2" t="s">
        <v>55</v>
      </c>
      <c r="I1280" s="2" t="s">
        <v>3798</v>
      </c>
      <c r="J1280" s="3" t="str">
        <f>HYPERLINK("https://www.boe.es/gazeta/dias/1809/02/18/pdfs/GGB-1809-8E.pdf#page=8","Abrir facsímil")</f>
        <v>Abrir facsímil</v>
      </c>
      <c r="K1280" s="3" t="s">
        <v>57</v>
      </c>
    </row>
    <row r="1281" spans="1:11" ht="42" customHeight="1">
      <c r="A1281" s="2" t="s">
        <v>3799</v>
      </c>
      <c r="B1281" s="2" t="s">
        <v>3800</v>
      </c>
      <c r="C1281" s="2" t="s">
        <v>25</v>
      </c>
      <c r="D1281" s="2" t="s">
        <v>26</v>
      </c>
      <c r="E1281" s="3" t="s">
        <v>3796</v>
      </c>
      <c r="F1281" s="3" t="s">
        <v>3797</v>
      </c>
      <c r="G1281" s="3" t="s">
        <v>239</v>
      </c>
      <c r="H1281" s="2" t="s">
        <v>55</v>
      </c>
      <c r="I1281" s="2" t="s">
        <v>3801</v>
      </c>
      <c r="J1281" s="3" t="str">
        <f>HYPERLINK("https://www.boe.es/gazeta/dias/1809/02/18/pdfs/GGB-1809-8E.pdf#page=3","Abrir facsímil")</f>
        <v>Abrir facsímil</v>
      </c>
      <c r="K1281" s="3" t="s">
        <v>57</v>
      </c>
    </row>
    <row r="1282" spans="1:11" ht="42" customHeight="1">
      <c r="A1282" s="2" t="s">
        <v>3799</v>
      </c>
      <c r="B1282" s="2" t="s">
        <v>3800</v>
      </c>
      <c r="C1282" s="2" t="s">
        <v>25</v>
      </c>
      <c r="D1282" s="2" t="s">
        <v>26</v>
      </c>
      <c r="E1282" s="3" t="s">
        <v>2060</v>
      </c>
      <c r="F1282" s="3" t="s">
        <v>2061</v>
      </c>
      <c r="G1282" s="3" t="s">
        <v>270</v>
      </c>
      <c r="H1282" s="2" t="s">
        <v>55</v>
      </c>
      <c r="I1282" s="2" t="s">
        <v>3802</v>
      </c>
      <c r="J1282" s="3" t="str">
        <f>HYPERLINK("https://www.boe.es/gazeta/dias/1809/07/18/pdfs/GGB-1809-46.pdf#page=6","Abrir facsímil")</f>
        <v>Abrir facsímil</v>
      </c>
      <c r="K1282" s="3" t="s">
        <v>57</v>
      </c>
    </row>
    <row r="1283" spans="1:11" ht="42" customHeight="1">
      <c r="A1283" s="2" t="s">
        <v>3803</v>
      </c>
      <c r="B1283" s="2" t="s">
        <v>3804</v>
      </c>
      <c r="C1283" s="2" t="s">
        <v>25</v>
      </c>
      <c r="D1283" s="2" t="s">
        <v>107</v>
      </c>
      <c r="E1283" s="3" t="s">
        <v>1872</v>
      </c>
      <c r="F1283" s="3" t="s">
        <v>1873</v>
      </c>
      <c r="G1283" s="3" t="s">
        <v>3300</v>
      </c>
      <c r="H1283" s="2" t="s">
        <v>55</v>
      </c>
      <c r="I1283" s="2" t="s">
        <v>3805</v>
      </c>
      <c r="J1283" s="3" t="str">
        <f>HYPERLINK("https://www.boe.es/gazeta/dias/1809/11/07/pdfs/GGB-1809-422.pdf#page=3","Abrir facsímil")</f>
        <v>Abrir facsímil</v>
      </c>
      <c r="K1283" s="3" t="s">
        <v>57</v>
      </c>
    </row>
    <row r="1284" spans="1:11" ht="42" customHeight="1">
      <c r="A1284" s="2" t="s">
        <v>3806</v>
      </c>
      <c r="B1284" s="2" t="s">
        <v>3807</v>
      </c>
      <c r="C1284" s="2" t="s">
        <v>25</v>
      </c>
      <c r="D1284" s="2" t="s">
        <v>26</v>
      </c>
      <c r="E1284" s="3" t="s">
        <v>27</v>
      </c>
      <c r="F1284" s="3" t="s">
        <v>254</v>
      </c>
      <c r="G1284" s="3" t="s">
        <v>3808</v>
      </c>
      <c r="H1284" s="2" t="s">
        <v>55</v>
      </c>
      <c r="I1284" s="2" t="s">
        <v>3809</v>
      </c>
      <c r="J1284" s="3" t="str">
        <f>HYPERLINK("https://www.boe.es/gazeta/dias/1809/05/12/pdfs/GGB-1809-26.pdf#page=2","Abrir facsímil")</f>
        <v>Abrir facsímil</v>
      </c>
      <c r="K1284" s="3" t="s">
        <v>57</v>
      </c>
    </row>
    <row r="1285" spans="1:11" ht="42" customHeight="1">
      <c r="A1285" s="2" t="s">
        <v>3810</v>
      </c>
      <c r="B1285" s="2" t="s">
        <v>3811</v>
      </c>
      <c r="C1285" s="2" t="s">
        <v>25</v>
      </c>
      <c r="D1285" s="2" t="s">
        <v>26</v>
      </c>
      <c r="E1285" s="3" t="s">
        <v>567</v>
      </c>
      <c r="F1285" s="3" t="s">
        <v>568</v>
      </c>
      <c r="G1285" s="3" t="s">
        <v>239</v>
      </c>
      <c r="H1285" s="2" t="s">
        <v>55</v>
      </c>
      <c r="I1285" s="2" t="s">
        <v>3812</v>
      </c>
      <c r="J1285" s="3" t="str">
        <f>HYPERLINK("https://www.boe.es/gazeta/dias/1809/06/03/pdfs/GMD-1809-154.pdf#page=2","Abrir facsímil")</f>
        <v>Abrir facsímil</v>
      </c>
      <c r="K1285" s="3" t="s">
        <v>57</v>
      </c>
    </row>
    <row r="1286" spans="1:11" ht="42" customHeight="1">
      <c r="A1286" s="2" t="s">
        <v>3813</v>
      </c>
      <c r="B1286" s="2" t="s">
        <v>3814</v>
      </c>
      <c r="C1286" s="2" t="s">
        <v>17</v>
      </c>
      <c r="D1286" s="2" t="s">
        <v>18</v>
      </c>
      <c r="E1286" s="3" t="s">
        <v>925</v>
      </c>
      <c r="F1286" s="3" t="s">
        <v>926</v>
      </c>
      <c r="G1286" s="3" t="s">
        <v>595</v>
      </c>
      <c r="H1286" s="2" t="s">
        <v>55</v>
      </c>
      <c r="I1286" s="2" t="s">
        <v>3815</v>
      </c>
      <c r="J1286" s="3" t="str">
        <f>HYPERLINK("https://www.boe.es/gazeta/dias/1809/01/11/pdfs/GGB-1809-2.pdf#page=7","Abrir facsímil")</f>
        <v>Abrir facsímil</v>
      </c>
      <c r="K1286" s="3" t="s">
        <v>57</v>
      </c>
    </row>
    <row r="1287" spans="1:11" ht="42" customHeight="1">
      <c r="A1287" s="2" t="s">
        <v>3816</v>
      </c>
      <c r="B1287" s="2" t="s">
        <v>3817</v>
      </c>
      <c r="C1287" s="2" t="s">
        <v>17</v>
      </c>
      <c r="D1287" s="2" t="s">
        <v>72</v>
      </c>
      <c r="E1287" s="3" t="s">
        <v>776</v>
      </c>
      <c r="F1287" s="3" t="s">
        <v>777</v>
      </c>
      <c r="G1287" s="3" t="s">
        <v>736</v>
      </c>
      <c r="H1287" s="2" t="s">
        <v>55</v>
      </c>
      <c r="I1287" s="2" t="s">
        <v>3818</v>
      </c>
      <c r="J1287" s="3" t="str">
        <f>HYPERLINK("https://www.boe.es/gazeta/dias/1809/05/28/pdfs/GMD-E-1809-148.pdf#page=1","Abrir facsímil")</f>
        <v>Abrir facsímil</v>
      </c>
      <c r="K1287" s="3" t="s">
        <v>57</v>
      </c>
    </row>
    <row r="1288" spans="1:11" ht="42" customHeight="1">
      <c r="A1288" s="2" t="s">
        <v>3819</v>
      </c>
      <c r="B1288" s="2" t="s">
        <v>3820</v>
      </c>
      <c r="C1288" s="2" t="s">
        <v>17</v>
      </c>
      <c r="D1288" s="2" t="s">
        <v>80</v>
      </c>
      <c r="E1288" s="3" t="s">
        <v>179</v>
      </c>
      <c r="F1288" s="3" t="s">
        <v>180</v>
      </c>
      <c r="G1288" s="3" t="s">
        <v>966</v>
      </c>
      <c r="H1288" s="2" t="s">
        <v>55</v>
      </c>
      <c r="I1288" s="2" t="s">
        <v>3821</v>
      </c>
      <c r="J1288" s="3" t="str">
        <f>HYPERLINK("https://www.boe.es/gazeta/dias/1809/12/08/pdfs/GGB-1809-552E.pdf#page=3","Abrir facsímil")</f>
        <v>Abrir facsímil</v>
      </c>
      <c r="K1288" s="3" t="s">
        <v>57</v>
      </c>
    </row>
    <row r="1289" spans="1:11" ht="42" customHeight="1">
      <c r="A1289" s="2" t="s">
        <v>3822</v>
      </c>
      <c r="B1289" s="2" t="s">
        <v>3823</v>
      </c>
      <c r="C1289" s="2" t="s">
        <v>17</v>
      </c>
      <c r="D1289" s="2" t="s">
        <v>80</v>
      </c>
      <c r="E1289" s="3" t="s">
        <v>81</v>
      </c>
      <c r="F1289" s="3" t="s">
        <v>82</v>
      </c>
      <c r="G1289" s="3" t="s">
        <v>3332</v>
      </c>
      <c r="H1289" s="2" t="s">
        <v>55</v>
      </c>
      <c r="I1289" s="2" t="s">
        <v>3824</v>
      </c>
      <c r="J1289" s="3" t="str">
        <f>HYPERLINK("https://www.boe.es/gazeta/dias/1809/04/11/pdfs/GGB-1809-16E.pdf#page=8","Abrir facsímil")</f>
        <v>Abrir facsímil</v>
      </c>
      <c r="K1289" s="3" t="s">
        <v>57</v>
      </c>
    </row>
    <row r="1290" spans="1:11" ht="42" customHeight="1">
      <c r="A1290" s="2" t="s">
        <v>3825</v>
      </c>
      <c r="B1290" s="2" t="s">
        <v>3826</v>
      </c>
      <c r="C1290" s="2" t="s">
        <v>17</v>
      </c>
      <c r="D1290" s="2" t="s">
        <v>18</v>
      </c>
      <c r="E1290" s="3" t="s">
        <v>33</v>
      </c>
      <c r="F1290" s="3" t="s">
        <v>34</v>
      </c>
      <c r="G1290" s="3" t="s">
        <v>493</v>
      </c>
      <c r="H1290" s="2" t="s">
        <v>55</v>
      </c>
      <c r="I1290" s="2" t="s">
        <v>3827</v>
      </c>
      <c r="J1290" s="3" t="str">
        <f>HYPERLINK("https://www.boe.es/gazeta/dias/1809/12/19/pdfs/GGB-1809-602.pdf#page=6","Abrir facsímil")</f>
        <v>Abrir facsímil</v>
      </c>
      <c r="K1290" s="3" t="s">
        <v>57</v>
      </c>
    </row>
    <row r="1291" spans="1:11" ht="42" customHeight="1">
      <c r="A1291" s="2" t="s">
        <v>3828</v>
      </c>
      <c r="B1291" s="2" t="s">
        <v>3829</v>
      </c>
      <c r="C1291" s="2" t="s">
        <v>131</v>
      </c>
      <c r="D1291" s="2" t="s">
        <v>26</v>
      </c>
      <c r="E1291" s="3" t="s">
        <v>190</v>
      </c>
      <c r="F1291" s="3" t="s">
        <v>3283</v>
      </c>
      <c r="G1291" s="3" t="s">
        <v>21</v>
      </c>
      <c r="H1291" s="2" t="s">
        <v>55</v>
      </c>
      <c r="I1291" s="2" t="s">
        <v>3830</v>
      </c>
      <c r="J1291" s="3" t="str">
        <f>HYPERLINK("https://www.boe.es/gazeta/dias/1809/10/14/pdfs/GMD-1809-288.pdf#page=3","Abrir facsímil")</f>
        <v>Abrir facsímil</v>
      </c>
      <c r="K1291" s="3" t="s">
        <v>57</v>
      </c>
    </row>
    <row r="1292" spans="1:11" ht="42" customHeight="1">
      <c r="A1292" s="2" t="s">
        <v>3831</v>
      </c>
      <c r="B1292" s="2" t="s">
        <v>3832</v>
      </c>
      <c r="C1292" s="2" t="s">
        <v>39</v>
      </c>
      <c r="D1292" s="2" t="s">
        <v>18</v>
      </c>
      <c r="E1292" s="3" t="s">
        <v>102</v>
      </c>
      <c r="F1292" s="3" t="s">
        <v>103</v>
      </c>
      <c r="G1292" s="3" t="s">
        <v>1706</v>
      </c>
      <c r="H1292" s="2" t="s">
        <v>55</v>
      </c>
      <c r="I1292" s="2" t="s">
        <v>3833</v>
      </c>
      <c r="J1292" s="3" t="str">
        <f>HYPERLINK("https://www.boe.es/gazeta/dias/1809/09/28/pdfs/GGB-1809-252.pdf#page=5","Abrir facsímil")</f>
        <v>Abrir facsímil</v>
      </c>
      <c r="K1292" s="3" t="s">
        <v>57</v>
      </c>
    </row>
    <row r="1293" spans="1:11" ht="42" customHeight="1">
      <c r="A1293" s="2" t="s">
        <v>3834</v>
      </c>
      <c r="B1293" s="2" t="s">
        <v>3835</v>
      </c>
      <c r="C1293" s="2" t="s">
        <v>131</v>
      </c>
      <c r="D1293" s="2" t="s">
        <v>26</v>
      </c>
      <c r="E1293" s="3" t="s">
        <v>548</v>
      </c>
      <c r="F1293" s="3" t="s">
        <v>549</v>
      </c>
      <c r="G1293" s="3" t="s">
        <v>687</v>
      </c>
      <c r="H1293" s="2" t="s">
        <v>55</v>
      </c>
      <c r="I1293" s="2" t="s">
        <v>3836</v>
      </c>
      <c r="J1293" s="3" t="str">
        <f>HYPERLINK("https://www.boe.es/gazeta/dias/1809/03/12/pdfs/GMD-1809-71.pdf#page=2","Abrir facsímil")</f>
        <v>Abrir facsímil</v>
      </c>
      <c r="K1293" s="3" t="s">
        <v>57</v>
      </c>
    </row>
    <row r="1294" spans="1:11" ht="42" customHeight="1">
      <c r="A1294" s="2" t="s">
        <v>3837</v>
      </c>
      <c r="B1294" s="2" t="s">
        <v>3838</v>
      </c>
      <c r="C1294" s="2" t="s">
        <v>17</v>
      </c>
      <c r="D1294" s="2" t="s">
        <v>18</v>
      </c>
      <c r="E1294" s="3" t="s">
        <v>761</v>
      </c>
      <c r="F1294" s="3" t="s">
        <v>762</v>
      </c>
      <c r="G1294" s="3" t="s">
        <v>270</v>
      </c>
      <c r="H1294" s="2" t="s">
        <v>55</v>
      </c>
      <c r="I1294" s="2" t="s">
        <v>3839</v>
      </c>
      <c r="J1294" s="3" t="str">
        <f>HYPERLINK("https://www.boe.es/gazeta/dias/1809/06/02/pdfs/GMD-1809-153.pdf#page=4","Abrir facsímil")</f>
        <v>Abrir facsímil</v>
      </c>
      <c r="K1294" s="3" t="s">
        <v>57</v>
      </c>
    </row>
    <row r="1295" spans="1:11" ht="42" customHeight="1">
      <c r="A1295" s="2" t="s">
        <v>3840</v>
      </c>
      <c r="B1295" s="2" t="s">
        <v>3841</v>
      </c>
      <c r="C1295" s="2" t="s">
        <v>25</v>
      </c>
      <c r="D1295" s="2" t="s">
        <v>26</v>
      </c>
      <c r="E1295" s="3" t="s">
        <v>118</v>
      </c>
      <c r="F1295" s="3" t="s">
        <v>819</v>
      </c>
      <c r="G1295" s="3" t="s">
        <v>541</v>
      </c>
      <c r="H1295" s="2" t="s">
        <v>55</v>
      </c>
      <c r="I1295" s="2" t="s">
        <v>3842</v>
      </c>
      <c r="J1295" s="3" t="str">
        <f>HYPERLINK("https://www.boe.es/gazeta/dias/1809/09/07/pdfs/GGB-H-1809-162.pdf#page=6","Abrir facsímil")</f>
        <v>Abrir facsímil</v>
      </c>
      <c r="K1295" s="3" t="s">
        <v>57</v>
      </c>
    </row>
    <row r="1296" spans="1:11" ht="42" customHeight="1">
      <c r="A1296" s="2" t="s">
        <v>3843</v>
      </c>
      <c r="B1296" s="2" t="s">
        <v>3844</v>
      </c>
      <c r="C1296" s="2" t="s">
        <v>17</v>
      </c>
      <c r="D1296" s="2" t="s">
        <v>18</v>
      </c>
      <c r="E1296" s="3" t="s">
        <v>432</v>
      </c>
      <c r="F1296" s="3" t="s">
        <v>1525</v>
      </c>
      <c r="G1296" s="3" t="s">
        <v>234</v>
      </c>
      <c r="H1296" s="2" t="s">
        <v>55</v>
      </c>
      <c r="I1296" s="2" t="s">
        <v>3845</v>
      </c>
      <c r="J1296" s="3" t="str">
        <f>HYPERLINK("https://www.boe.es/gazeta/dias/1809/07/11/pdfs/GGB-1809-44.pdf#page=11","Abrir facsímil")</f>
        <v>Abrir facsímil</v>
      </c>
      <c r="K1296" s="3" t="s">
        <v>57</v>
      </c>
    </row>
    <row r="1297" spans="1:11" ht="42" customHeight="1">
      <c r="A1297" s="2" t="s">
        <v>3846</v>
      </c>
      <c r="B1297" s="2" t="s">
        <v>3847</v>
      </c>
      <c r="C1297" s="2" t="s">
        <v>47</v>
      </c>
      <c r="D1297" s="2" t="s">
        <v>18</v>
      </c>
      <c r="E1297" s="3" t="s">
        <v>1586</v>
      </c>
      <c r="F1297" s="3" t="s">
        <v>1587</v>
      </c>
      <c r="G1297" s="3" t="s">
        <v>1909</v>
      </c>
      <c r="H1297" s="2" t="s">
        <v>55</v>
      </c>
      <c r="I1297" s="2" t="s">
        <v>3848</v>
      </c>
      <c r="J1297" s="3" t="str">
        <f>HYPERLINK("https://www.boe.es/gazeta/dias/1809/02/20/pdfs/GMD-1809-51.pdf#page=4","Abrir facsímil")</f>
        <v>Abrir facsímil</v>
      </c>
      <c r="K1297" s="3" t="s">
        <v>57</v>
      </c>
    </row>
    <row r="1298" spans="1:11" ht="42" customHeight="1">
      <c r="A1298" s="2" t="s">
        <v>3849</v>
      </c>
      <c r="B1298" s="2" t="s">
        <v>3850</v>
      </c>
      <c r="C1298" s="2" t="s">
        <v>17</v>
      </c>
      <c r="D1298" s="2" t="s">
        <v>72</v>
      </c>
      <c r="E1298" s="3" t="s">
        <v>776</v>
      </c>
      <c r="F1298" s="3" t="s">
        <v>777</v>
      </c>
      <c r="G1298" s="3" t="s">
        <v>736</v>
      </c>
      <c r="H1298" s="2" t="s">
        <v>55</v>
      </c>
      <c r="I1298" s="2" t="s">
        <v>3851</v>
      </c>
      <c r="J1298" s="3" t="str">
        <f>HYPERLINK("https://www.boe.es/gazeta/dias/1809/05/28/pdfs/GMD-E-1809-148.pdf#page=1","Abrir facsímil")</f>
        <v>Abrir facsímil</v>
      </c>
      <c r="K1298" s="3" t="s">
        <v>57</v>
      </c>
    </row>
    <row r="1299" spans="1:11" ht="42" customHeight="1">
      <c r="A1299" s="2" t="s">
        <v>3852</v>
      </c>
      <c r="B1299" s="2" t="s">
        <v>3853</v>
      </c>
      <c r="C1299" s="2" t="s">
        <v>25</v>
      </c>
      <c r="D1299" s="2" t="s">
        <v>80</v>
      </c>
      <c r="E1299" s="3" t="s">
        <v>179</v>
      </c>
      <c r="F1299" s="3" t="s">
        <v>180</v>
      </c>
      <c r="G1299" s="3" t="s">
        <v>239</v>
      </c>
      <c r="H1299" s="2" t="s">
        <v>55</v>
      </c>
      <c r="I1299" s="2" t="s">
        <v>3854</v>
      </c>
      <c r="J1299" s="3" t="str">
        <f>HYPERLINK("https://www.boe.es/gazeta/dias/1809/12/08/pdfs/GGB-1809-552E.pdf#page=2","Abrir facsímil")</f>
        <v>Abrir facsímil</v>
      </c>
      <c r="K1299" s="3" t="s">
        <v>57</v>
      </c>
    </row>
    <row r="1300" spans="1:11" ht="42" customHeight="1">
      <c r="A1300" s="2" t="s">
        <v>3855</v>
      </c>
      <c r="B1300" s="2" t="s">
        <v>3856</v>
      </c>
      <c r="C1300" s="2" t="s">
        <v>17</v>
      </c>
      <c r="D1300" s="2" t="s">
        <v>18</v>
      </c>
      <c r="E1300" s="3" t="s">
        <v>243</v>
      </c>
      <c r="F1300" s="3" t="s">
        <v>735</v>
      </c>
      <c r="G1300" s="3" t="s">
        <v>484</v>
      </c>
      <c r="H1300" s="2" t="s">
        <v>55</v>
      </c>
      <c r="I1300" s="2" t="s">
        <v>3857</v>
      </c>
      <c r="J1300" s="3" t="str">
        <f>HYPERLINK("https://www.boe.es/gazeta/dias/1809/02/17/pdfs/GGB-1809-8.pdf#page=5","Abrir facsímil")</f>
        <v>Abrir facsímil</v>
      </c>
      <c r="K1300" s="3" t="s">
        <v>57</v>
      </c>
    </row>
    <row r="1301" spans="1:11" ht="42" customHeight="1">
      <c r="A1301" s="2" t="s">
        <v>3855</v>
      </c>
      <c r="B1301" s="2" t="s">
        <v>3856</v>
      </c>
      <c r="C1301" s="2" t="s">
        <v>131</v>
      </c>
      <c r="D1301" s="2" t="s">
        <v>18</v>
      </c>
      <c r="E1301" s="3" t="s">
        <v>143</v>
      </c>
      <c r="F1301" s="3" t="s">
        <v>144</v>
      </c>
      <c r="G1301" s="3" t="s">
        <v>3858</v>
      </c>
      <c r="H1301" s="2" t="s">
        <v>55</v>
      </c>
      <c r="I1301" s="2" t="s">
        <v>3859</v>
      </c>
      <c r="J1301" s="3" t="str">
        <f>HYPERLINK("https://www.boe.es/gazeta/dias/1809/11/16/pdfs/GGB-1809-462.pdf#page=8","Abrir facsímil")</f>
        <v>Abrir facsímil</v>
      </c>
      <c r="K1301" s="3" t="s">
        <v>57</v>
      </c>
    </row>
    <row r="1302" spans="1:11" ht="42" customHeight="1">
      <c r="A1302" s="2" t="s">
        <v>3860</v>
      </c>
      <c r="B1302" s="2" t="s">
        <v>3861</v>
      </c>
      <c r="C1302" s="2" t="s">
        <v>369</v>
      </c>
      <c r="D1302" s="2" t="s">
        <v>18</v>
      </c>
      <c r="E1302" s="3" t="s">
        <v>87</v>
      </c>
      <c r="F1302" s="3" t="s">
        <v>88</v>
      </c>
      <c r="G1302" s="3" t="s">
        <v>998</v>
      </c>
      <c r="H1302" s="2" t="s">
        <v>55</v>
      </c>
      <c r="I1302" s="2" t="s">
        <v>3862</v>
      </c>
      <c r="J1302" s="3" t="str">
        <f>HYPERLINK("https://www.boe.es/gazeta/dias/1809/02/15/pdfs/GMD-1809-46.pdf#page=2","Abrir facsímil")</f>
        <v>Abrir facsímil</v>
      </c>
      <c r="K1302" s="3" t="s">
        <v>57</v>
      </c>
    </row>
    <row r="1303" spans="1:11" ht="42" customHeight="1">
      <c r="A1303" s="2" t="s">
        <v>3863</v>
      </c>
      <c r="B1303" s="2" t="s">
        <v>3864</v>
      </c>
      <c r="C1303" s="2" t="s">
        <v>25</v>
      </c>
      <c r="D1303" s="2" t="s">
        <v>40</v>
      </c>
      <c r="E1303" s="3" t="s">
        <v>216</v>
      </c>
      <c r="F1303" s="3" t="s">
        <v>2440</v>
      </c>
      <c r="G1303" s="3" t="s">
        <v>110</v>
      </c>
      <c r="H1303" s="2" t="s">
        <v>55</v>
      </c>
      <c r="I1303" s="2" t="s">
        <v>3865</v>
      </c>
      <c r="J1303" s="3" t="str">
        <f>HYPERLINK("https://www.boe.es/gazeta/dias/1809/12/05/pdfs/GGB-1809-542.pdf#page=8","Abrir facsímil")</f>
        <v>Abrir facsímil</v>
      </c>
      <c r="K1303" s="3" t="s">
        <v>57</v>
      </c>
    </row>
    <row r="1304" spans="1:11" ht="42" customHeight="1">
      <c r="A1304" s="2" t="s">
        <v>3866</v>
      </c>
      <c r="B1304" s="2" t="s">
        <v>3867</v>
      </c>
      <c r="C1304" s="2" t="s">
        <v>17</v>
      </c>
      <c r="D1304" s="2" t="s">
        <v>18</v>
      </c>
      <c r="E1304" s="3" t="s">
        <v>1206</v>
      </c>
      <c r="F1304" s="3" t="s">
        <v>1612</v>
      </c>
      <c r="G1304" s="3" t="s">
        <v>62</v>
      </c>
      <c r="H1304" s="2" t="s">
        <v>55</v>
      </c>
      <c r="I1304" s="2" t="s">
        <v>3868</v>
      </c>
      <c r="J1304" s="3" t="str">
        <f>HYPERLINK("https://www.boe.es/gazeta/dias/1809/09/23/pdfs/GMD-1809-267.pdf#page=3","Abrir facsímil")</f>
        <v>Abrir facsímil</v>
      </c>
      <c r="K1304" s="3" t="s">
        <v>57</v>
      </c>
    </row>
    <row r="1305" spans="1:11" ht="42" customHeight="1">
      <c r="A1305" s="2" t="s">
        <v>3869</v>
      </c>
      <c r="B1305" s="2" t="s">
        <v>3870</v>
      </c>
      <c r="C1305" s="2" t="s">
        <v>17</v>
      </c>
      <c r="D1305" s="2" t="s">
        <v>72</v>
      </c>
      <c r="E1305" s="3" t="s">
        <v>557</v>
      </c>
      <c r="F1305" s="3" t="s">
        <v>558</v>
      </c>
      <c r="G1305" s="3" t="s">
        <v>21</v>
      </c>
      <c r="H1305" s="2" t="s">
        <v>55</v>
      </c>
      <c r="I1305" s="2" t="s">
        <v>3871</v>
      </c>
      <c r="J1305" s="3" t="str">
        <f>HYPERLINK("https://www.boe.es/gazeta/dias/1809/04/19/pdfs/GMD-E-1809-109.pdf#page=1","Abrir facsímil")</f>
        <v>Abrir facsímil</v>
      </c>
      <c r="K1305" s="3" t="s">
        <v>57</v>
      </c>
    </row>
    <row r="1306" spans="1:11" ht="42" customHeight="1">
      <c r="A1306" s="2" t="s">
        <v>3872</v>
      </c>
      <c r="B1306" s="2" t="s">
        <v>3873</v>
      </c>
      <c r="C1306" s="2" t="s">
        <v>25</v>
      </c>
      <c r="D1306" s="2" t="s">
        <v>80</v>
      </c>
      <c r="E1306" s="3" t="s">
        <v>1700</v>
      </c>
      <c r="F1306" s="3" t="s">
        <v>1701</v>
      </c>
      <c r="G1306" s="3" t="s">
        <v>225</v>
      </c>
      <c r="H1306" s="2" t="s">
        <v>55</v>
      </c>
      <c r="I1306" s="2" t="s">
        <v>3874</v>
      </c>
      <c r="J1306" s="3" t="str">
        <f>HYPERLINK("https://www.boe.es/gazeta/dias/1809/01/16/pdfs/GGB-1809-3E.pdf#page=4","Abrir facsímil")</f>
        <v>Abrir facsímil</v>
      </c>
      <c r="K1306" s="3" t="s">
        <v>57</v>
      </c>
    </row>
    <row r="1307" spans="1:11" ht="42" customHeight="1">
      <c r="A1307" s="2" t="s">
        <v>3875</v>
      </c>
      <c r="B1307" s="2" t="s">
        <v>3876</v>
      </c>
      <c r="C1307" s="2" t="s">
        <v>17</v>
      </c>
      <c r="D1307" s="2" t="s">
        <v>72</v>
      </c>
      <c r="E1307" s="3" t="s">
        <v>1640</v>
      </c>
      <c r="F1307" s="3" t="s">
        <v>1641</v>
      </c>
      <c r="G1307" s="3" t="s">
        <v>225</v>
      </c>
      <c r="H1307" s="2" t="s">
        <v>55</v>
      </c>
      <c r="I1307" s="2" t="s">
        <v>3877</v>
      </c>
      <c r="J1307" s="3" t="str">
        <f>HYPERLINK("https://www.boe.es/gazeta/dias/1809/01/06/pdfs/GGB-G-1809-1.pdf#page=4","Abrir facsímil")</f>
        <v>Abrir facsímil</v>
      </c>
      <c r="K1307" s="3" t="s">
        <v>57</v>
      </c>
    </row>
    <row r="1308" spans="1:11" ht="42" customHeight="1">
      <c r="A1308" s="2" t="s">
        <v>3875</v>
      </c>
      <c r="B1308" s="2" t="s">
        <v>3876</v>
      </c>
      <c r="C1308" s="2" t="s">
        <v>17</v>
      </c>
      <c r="D1308" s="2" t="s">
        <v>72</v>
      </c>
      <c r="E1308" s="3" t="s">
        <v>1123</v>
      </c>
      <c r="F1308" s="3" t="s">
        <v>1641</v>
      </c>
      <c r="G1308" s="3" t="s">
        <v>225</v>
      </c>
      <c r="H1308" s="2" t="s">
        <v>55</v>
      </c>
      <c r="I1308" s="2" t="s">
        <v>3877</v>
      </c>
      <c r="J1308" s="3" t="str">
        <f>HYPERLINK("https://www.boe.es/gazeta/dias/1809/01/08/pdfs/GGB-G-1809-1.pdf#page=4","Abrir facsímil")</f>
        <v>Abrir facsímil</v>
      </c>
      <c r="K1308" s="3" t="s">
        <v>57</v>
      </c>
    </row>
    <row r="1309" spans="1:11" ht="42" customHeight="1">
      <c r="A1309" s="2" t="s">
        <v>3878</v>
      </c>
      <c r="B1309" s="2" t="s">
        <v>3879</v>
      </c>
      <c r="C1309" s="2" t="s">
        <v>25</v>
      </c>
      <c r="D1309" s="2" t="s">
        <v>80</v>
      </c>
      <c r="E1309" s="3" t="s">
        <v>3880</v>
      </c>
      <c r="F1309" s="3" t="s">
        <v>3881</v>
      </c>
      <c r="G1309" s="3" t="s">
        <v>62</v>
      </c>
      <c r="H1309" s="2" t="s">
        <v>55</v>
      </c>
      <c r="I1309" s="2" t="s">
        <v>3882</v>
      </c>
      <c r="J1309" s="3" t="str">
        <f>HYPERLINK("https://www.boe.es/gazeta/dias/1809/03/25/pdfs/GGB-1809-13E.pdf#page=2","Abrir facsímil")</f>
        <v>Abrir facsímil</v>
      </c>
      <c r="K1309" s="3" t="s">
        <v>57</v>
      </c>
    </row>
    <row r="1310" spans="1:11" ht="42" customHeight="1">
      <c r="A1310" s="2" t="s">
        <v>3883</v>
      </c>
      <c r="B1310" s="2" t="s">
        <v>3884</v>
      </c>
      <c r="C1310" s="2" t="s">
        <v>17</v>
      </c>
      <c r="D1310" s="2" t="s">
        <v>72</v>
      </c>
      <c r="E1310" s="3" t="s">
        <v>243</v>
      </c>
      <c r="F1310" s="3" t="s">
        <v>244</v>
      </c>
      <c r="G1310" s="3" t="s">
        <v>582</v>
      </c>
      <c r="H1310" s="2" t="s">
        <v>55</v>
      </c>
      <c r="I1310" s="2" t="s">
        <v>3885</v>
      </c>
      <c r="J1310" s="3" t="str">
        <f>HYPERLINK("https://www.boe.es/gazeta/dias/1809/02/17/pdfs/GGB-G-1809-8.pdf#page=7","Abrir facsímil")</f>
        <v>Abrir facsímil</v>
      </c>
      <c r="K1310" s="3" t="s">
        <v>57</v>
      </c>
    </row>
    <row r="1311" spans="1:11" ht="42" customHeight="1">
      <c r="A1311" s="2" t="s">
        <v>3886</v>
      </c>
      <c r="B1311" s="2" t="s">
        <v>3887</v>
      </c>
      <c r="C1311" s="2" t="s">
        <v>25</v>
      </c>
      <c r="D1311" s="2" t="s">
        <v>18</v>
      </c>
      <c r="E1311" s="3" t="s">
        <v>933</v>
      </c>
      <c r="F1311" s="3" t="s">
        <v>1363</v>
      </c>
      <c r="G1311" s="3" t="s">
        <v>3888</v>
      </c>
      <c r="H1311" s="2" t="s">
        <v>55</v>
      </c>
      <c r="I1311" s="2" t="s">
        <v>3889</v>
      </c>
      <c r="J1311" s="3" t="str">
        <f>HYPERLINK("https://www.boe.es/gazeta/dias/1809/10/28/pdfs/GGB-1809-382.pdf#page=2","Abrir facsímil")</f>
        <v>Abrir facsímil</v>
      </c>
      <c r="K1311" s="3" t="s">
        <v>57</v>
      </c>
    </row>
    <row r="1312" spans="1:11" ht="42" customHeight="1">
      <c r="A1312" s="2" t="s">
        <v>3890</v>
      </c>
      <c r="B1312" s="2" t="s">
        <v>3891</v>
      </c>
      <c r="C1312" s="2" t="s">
        <v>25</v>
      </c>
      <c r="D1312" s="2" t="s">
        <v>107</v>
      </c>
      <c r="E1312" s="3" t="s">
        <v>1011</v>
      </c>
      <c r="F1312" s="3" t="s">
        <v>1012</v>
      </c>
      <c r="G1312" s="3" t="s">
        <v>75</v>
      </c>
      <c r="H1312" s="2" t="s">
        <v>55</v>
      </c>
      <c r="I1312" s="2" t="s">
        <v>3892</v>
      </c>
      <c r="J1312" s="3" t="str">
        <f>HYPERLINK("https://www.boe.es/gazeta/dias/1809/08/01/pdfs/GGB-1809-50.pdf#page=1","Abrir facsímil")</f>
        <v>Abrir facsímil</v>
      </c>
      <c r="K1312" s="3" t="s">
        <v>57</v>
      </c>
    </row>
    <row r="1313" spans="1:11" ht="42" customHeight="1">
      <c r="A1313" s="2" t="s">
        <v>3893</v>
      </c>
      <c r="B1313" s="2" t="s">
        <v>3894</v>
      </c>
      <c r="C1313" s="2" t="s">
        <v>25</v>
      </c>
      <c r="D1313" s="2" t="s">
        <v>72</v>
      </c>
      <c r="E1313" s="3" t="s">
        <v>695</v>
      </c>
      <c r="F1313" s="3" t="s">
        <v>1658</v>
      </c>
      <c r="G1313" s="3" t="s">
        <v>154</v>
      </c>
      <c r="H1313" s="2" t="s">
        <v>55</v>
      </c>
      <c r="I1313" s="2" t="s">
        <v>3895</v>
      </c>
      <c r="J1313" s="3" t="str">
        <f>HYPERLINK("https://www.boe.es/gazeta/dias/1809/10/24/pdfs/GGB-H-1809-362.pdf#page=3","Abrir facsímil")</f>
        <v>Abrir facsímil</v>
      </c>
      <c r="K1313" s="3" t="s">
        <v>57</v>
      </c>
    </row>
    <row r="1314" spans="1:11" ht="42" customHeight="1">
      <c r="A1314" s="2" t="s">
        <v>3896</v>
      </c>
      <c r="B1314" s="2" t="s">
        <v>3897</v>
      </c>
      <c r="C1314" s="2" t="s">
        <v>25</v>
      </c>
      <c r="D1314" s="2" t="s">
        <v>72</v>
      </c>
      <c r="E1314" s="3" t="s">
        <v>695</v>
      </c>
      <c r="F1314" s="3" t="s">
        <v>1658</v>
      </c>
      <c r="G1314" s="3" t="s">
        <v>154</v>
      </c>
      <c r="H1314" s="2" t="s">
        <v>55</v>
      </c>
      <c r="I1314" s="2" t="s">
        <v>3898</v>
      </c>
      <c r="J1314" s="3" t="str">
        <f>HYPERLINK("https://www.boe.es/gazeta/dias/1809/10/24/pdfs/GGB-H-1809-362.pdf#page=3","Abrir facsímil")</f>
        <v>Abrir facsímil</v>
      </c>
      <c r="K1314" s="3" t="s">
        <v>57</v>
      </c>
    </row>
    <row r="1315" spans="1:11" ht="42" customHeight="1">
      <c r="A1315" s="2" t="s">
        <v>3899</v>
      </c>
      <c r="B1315" s="2" t="s">
        <v>3900</v>
      </c>
      <c r="C1315" s="2" t="s">
        <v>17</v>
      </c>
      <c r="D1315" s="2" t="s">
        <v>72</v>
      </c>
      <c r="E1315" s="3" t="s">
        <v>294</v>
      </c>
      <c r="F1315" s="3" t="s">
        <v>295</v>
      </c>
      <c r="G1315" s="3" t="s">
        <v>998</v>
      </c>
      <c r="H1315" s="2" t="s">
        <v>55</v>
      </c>
      <c r="I1315" s="2" t="s">
        <v>3901</v>
      </c>
      <c r="J1315" s="3" t="str">
        <f>HYPERLINK("https://www.boe.es/gazeta/dias/1809/09/30/pdfs/GGB-H-1809-262.pdf#page=4","Abrir facsímil")</f>
        <v>Abrir facsímil</v>
      </c>
      <c r="K1315" s="3" t="s">
        <v>57</v>
      </c>
    </row>
    <row r="1316" spans="1:11" ht="42" customHeight="1">
      <c r="A1316" s="2" t="s">
        <v>3902</v>
      </c>
      <c r="B1316" s="2" t="s">
        <v>3903</v>
      </c>
      <c r="C1316" s="2" t="s">
        <v>25</v>
      </c>
      <c r="D1316" s="2" t="s">
        <v>18</v>
      </c>
      <c r="E1316" s="3" t="s">
        <v>294</v>
      </c>
      <c r="F1316" s="3" t="s">
        <v>1360</v>
      </c>
      <c r="G1316" s="3" t="s">
        <v>830</v>
      </c>
      <c r="H1316" s="2" t="s">
        <v>55</v>
      </c>
      <c r="I1316" s="2" t="s">
        <v>3904</v>
      </c>
      <c r="J1316" s="3" t="str">
        <f>HYPERLINK("https://www.boe.es/gazeta/dias/1809/09/30/pdfs/GGB-1809-262.pdf#page=4","Abrir facsímil")</f>
        <v>Abrir facsímil</v>
      </c>
      <c r="K1316" s="3" t="s">
        <v>57</v>
      </c>
    </row>
    <row r="1317" spans="1:11" ht="42" customHeight="1">
      <c r="A1317" s="2" t="s">
        <v>3905</v>
      </c>
      <c r="B1317" s="2" t="s">
        <v>3906</v>
      </c>
      <c r="C1317" s="2" t="s">
        <v>288</v>
      </c>
      <c r="D1317" s="2" t="s">
        <v>18</v>
      </c>
      <c r="E1317" s="3" t="s">
        <v>123</v>
      </c>
      <c r="F1317" s="3" t="s">
        <v>310</v>
      </c>
      <c r="G1317" s="3" t="s">
        <v>110</v>
      </c>
      <c r="H1317" s="2" t="s">
        <v>55</v>
      </c>
      <c r="I1317" s="2" t="s">
        <v>3907</v>
      </c>
      <c r="J1317" s="3" t="str">
        <f>HYPERLINK("https://www.boe.es/gazeta/dias/1809/04/21/pdfs/GGB-1809-20.pdf#page=8","Abrir facsímil")</f>
        <v>Abrir facsímil</v>
      </c>
      <c r="K1317" s="3" t="s">
        <v>57</v>
      </c>
    </row>
    <row r="1318" spans="1:11" ht="42" customHeight="1">
      <c r="A1318" s="2" t="s">
        <v>3908</v>
      </c>
      <c r="B1318" s="2" t="s">
        <v>3909</v>
      </c>
      <c r="C1318" s="2" t="s">
        <v>17</v>
      </c>
      <c r="D1318" s="2" t="s">
        <v>72</v>
      </c>
      <c r="E1318" s="3" t="s">
        <v>113</v>
      </c>
      <c r="F1318" s="3" t="s">
        <v>3549</v>
      </c>
      <c r="G1318" s="3" t="s">
        <v>3910</v>
      </c>
      <c r="H1318" s="2" t="s">
        <v>55</v>
      </c>
      <c r="I1318" s="2" t="s">
        <v>3911</v>
      </c>
      <c r="J1318" s="3" t="str">
        <f>HYPERLINK("https://www.boe.es/gazeta/dias/1809/04/24/pdfs/GGB-G-1809-21.pdf#page=8","Abrir facsímil")</f>
        <v>Abrir facsímil</v>
      </c>
      <c r="K1318" s="3" t="s">
        <v>57</v>
      </c>
    </row>
    <row r="1319" spans="1:11" ht="42" customHeight="1">
      <c r="A1319" s="2" t="s">
        <v>3912</v>
      </c>
      <c r="B1319" s="2" t="s">
        <v>3913</v>
      </c>
      <c r="C1319" s="2" t="s">
        <v>25</v>
      </c>
      <c r="D1319" s="2" t="s">
        <v>26</v>
      </c>
      <c r="E1319" s="3" t="s">
        <v>390</v>
      </c>
      <c r="F1319" s="3" t="s">
        <v>391</v>
      </c>
      <c r="G1319" s="3" t="s">
        <v>340</v>
      </c>
      <c r="H1319" s="2" t="s">
        <v>55</v>
      </c>
      <c r="I1319" s="2" t="s">
        <v>3914</v>
      </c>
      <c r="J1319" s="3" t="str">
        <f>HYPERLINK("https://www.boe.es/gazeta/dias/1809/10/19/pdfs/GGB-1809-342.pdf#page=6","Abrir facsímil")</f>
        <v>Abrir facsímil</v>
      </c>
      <c r="K1319" s="3" t="s">
        <v>57</v>
      </c>
    </row>
    <row r="1320" spans="1:11" ht="42" customHeight="1">
      <c r="A1320" s="2" t="s">
        <v>3915</v>
      </c>
      <c r="B1320" s="2" t="s">
        <v>3916</v>
      </c>
      <c r="C1320" s="2" t="s">
        <v>25</v>
      </c>
      <c r="D1320" s="2" t="s">
        <v>72</v>
      </c>
      <c r="E1320" s="3" t="s">
        <v>394</v>
      </c>
      <c r="F1320" s="3" t="s">
        <v>395</v>
      </c>
      <c r="G1320" s="3" t="s">
        <v>75</v>
      </c>
      <c r="H1320" s="2" t="s">
        <v>55</v>
      </c>
      <c r="I1320" s="2" t="s">
        <v>3917</v>
      </c>
      <c r="J1320" s="3" t="str">
        <f>HYPERLINK("https://www.boe.es/gazeta/dias/1809/12/14/pdfs/GGB-H-1809-582.pdf#page=3","Abrir facsímil")</f>
        <v>Abrir facsímil</v>
      </c>
      <c r="K1320" s="3" t="s">
        <v>57</v>
      </c>
    </row>
    <row r="1321" spans="1:11" ht="42" customHeight="1">
      <c r="A1321" s="2" t="s">
        <v>3918</v>
      </c>
      <c r="B1321" s="2" t="s">
        <v>3919</v>
      </c>
      <c r="C1321" s="2" t="s">
        <v>17</v>
      </c>
      <c r="D1321" s="2" t="s">
        <v>72</v>
      </c>
      <c r="E1321" s="3" t="s">
        <v>394</v>
      </c>
      <c r="F1321" s="3" t="s">
        <v>395</v>
      </c>
      <c r="G1321" s="3" t="s">
        <v>396</v>
      </c>
      <c r="H1321" s="2" t="s">
        <v>55</v>
      </c>
      <c r="I1321" s="2" t="s">
        <v>3920</v>
      </c>
      <c r="J1321" s="3" t="str">
        <f>HYPERLINK("https://www.boe.es/gazeta/dias/1809/12/14/pdfs/GGB-H-1809-582.pdf#page=2","Abrir facsímil")</f>
        <v>Abrir facsímil</v>
      </c>
      <c r="K1321" s="3" t="s">
        <v>57</v>
      </c>
    </row>
    <row r="1322" spans="1:11" ht="42" customHeight="1">
      <c r="A1322" s="2" t="s">
        <v>3921</v>
      </c>
      <c r="B1322" s="2" t="s">
        <v>3922</v>
      </c>
      <c r="C1322" s="2" t="s">
        <v>25</v>
      </c>
      <c r="D1322" s="2" t="s">
        <v>18</v>
      </c>
      <c r="E1322" s="3" t="s">
        <v>925</v>
      </c>
      <c r="F1322" s="3" t="s">
        <v>926</v>
      </c>
      <c r="G1322" s="3" t="s">
        <v>270</v>
      </c>
      <c r="H1322" s="2" t="s">
        <v>55</v>
      </c>
      <c r="I1322" s="2" t="s">
        <v>3923</v>
      </c>
      <c r="J1322" s="3" t="str">
        <f>HYPERLINK("https://www.boe.es/gazeta/dias/1809/01/11/pdfs/GGB-1809-2.pdf#page=5","Abrir facsímil")</f>
        <v>Abrir facsímil</v>
      </c>
      <c r="K1322" s="3" t="s">
        <v>57</v>
      </c>
    </row>
    <row r="1323" spans="1:11" ht="42" customHeight="1">
      <c r="A1323" s="2" t="s">
        <v>3921</v>
      </c>
      <c r="B1323" s="2" t="s">
        <v>3922</v>
      </c>
      <c r="C1323" s="2" t="s">
        <v>17</v>
      </c>
      <c r="D1323" s="2" t="s">
        <v>80</v>
      </c>
      <c r="E1323" s="3" t="s">
        <v>925</v>
      </c>
      <c r="F1323" s="3" t="s">
        <v>3924</v>
      </c>
      <c r="G1323" s="3" t="s">
        <v>75</v>
      </c>
      <c r="H1323" s="2" t="s">
        <v>55</v>
      </c>
      <c r="I1323" s="2" t="s">
        <v>3925</v>
      </c>
      <c r="J1323" s="3" t="str">
        <f>HYPERLINK("https://www.boe.es/gazeta/dias/1809/01/11/pdfs/GGB-1809-2E.pdf#page=3","Abrir facsímil")</f>
        <v>Abrir facsímil</v>
      </c>
      <c r="K1323" s="3" t="s">
        <v>57</v>
      </c>
    </row>
    <row r="1324" spans="1:11" ht="42" customHeight="1">
      <c r="A1324" s="2" t="s">
        <v>3921</v>
      </c>
      <c r="B1324" s="2" t="s">
        <v>3922</v>
      </c>
      <c r="C1324" s="2" t="s">
        <v>17</v>
      </c>
      <c r="D1324" s="2" t="s">
        <v>40</v>
      </c>
      <c r="E1324" s="3" t="s">
        <v>599</v>
      </c>
      <c r="F1324" s="3" t="s">
        <v>3926</v>
      </c>
      <c r="G1324" s="3" t="s">
        <v>129</v>
      </c>
      <c r="H1324" s="2" t="s">
        <v>55</v>
      </c>
      <c r="I1324" s="2" t="s">
        <v>3927</v>
      </c>
      <c r="J1324" s="3" t="str">
        <f>HYPERLINK("https://www.boe.es/gazeta/dias/1809/01/19/pdfs/GGB-1809-3E2.pdf#page=2","Abrir facsímil")</f>
        <v>Abrir facsímil</v>
      </c>
      <c r="K1324" s="3" t="s">
        <v>57</v>
      </c>
    </row>
    <row r="1325" spans="1:11" ht="42" customHeight="1">
      <c r="A1325" s="2" t="s">
        <v>3921</v>
      </c>
      <c r="B1325" s="2" t="s">
        <v>3922</v>
      </c>
      <c r="C1325" s="2" t="s">
        <v>25</v>
      </c>
      <c r="D1325" s="2" t="s">
        <v>26</v>
      </c>
      <c r="E1325" s="3" t="s">
        <v>243</v>
      </c>
      <c r="F1325" s="3" t="s">
        <v>735</v>
      </c>
      <c r="G1325" s="3" t="s">
        <v>3928</v>
      </c>
      <c r="H1325" s="2" t="s">
        <v>55</v>
      </c>
      <c r="I1325" s="2" t="s">
        <v>3929</v>
      </c>
      <c r="J1325" s="3" t="str">
        <f>HYPERLINK("https://www.boe.es/gazeta/dias/1809/02/17/pdfs/GGB-1809-8.pdf#page=6","Abrir facsímil")</f>
        <v>Abrir facsímil</v>
      </c>
      <c r="K1325" s="3" t="s">
        <v>57</v>
      </c>
    </row>
    <row r="1326" spans="1:11" ht="42" customHeight="1">
      <c r="A1326" s="2" t="s">
        <v>3921</v>
      </c>
      <c r="B1326" s="2" t="s">
        <v>3922</v>
      </c>
      <c r="C1326" s="2" t="s">
        <v>131</v>
      </c>
      <c r="D1326" s="2" t="s">
        <v>40</v>
      </c>
      <c r="E1326" s="3" t="s">
        <v>53</v>
      </c>
      <c r="F1326" s="3" t="s">
        <v>3411</v>
      </c>
      <c r="G1326" s="3" t="s">
        <v>120</v>
      </c>
      <c r="H1326" s="2" t="s">
        <v>55</v>
      </c>
      <c r="I1326" s="2" t="s">
        <v>3930</v>
      </c>
      <c r="J1326" s="3" t="str">
        <f>HYPERLINK("https://www.boe.es/gazeta/dias/1809/03/03/pdfs/GGB-1809-10.pdf#page=10","Abrir facsímil")</f>
        <v>Abrir facsímil</v>
      </c>
      <c r="K1326" s="3" t="s">
        <v>57</v>
      </c>
    </row>
    <row r="1327" spans="1:11" ht="42" customHeight="1">
      <c r="A1327" s="2" t="s">
        <v>3921</v>
      </c>
      <c r="B1327" s="2" t="s">
        <v>3922</v>
      </c>
      <c r="C1327" s="2" t="s">
        <v>17</v>
      </c>
      <c r="D1327" s="2" t="s">
        <v>40</v>
      </c>
      <c r="E1327" s="3" t="s">
        <v>163</v>
      </c>
      <c r="F1327" s="3" t="s">
        <v>478</v>
      </c>
      <c r="G1327" s="3" t="s">
        <v>270</v>
      </c>
      <c r="H1327" s="2" t="s">
        <v>55</v>
      </c>
      <c r="I1327" s="2" t="s">
        <v>3931</v>
      </c>
      <c r="J1327" s="3" t="str">
        <f>HYPERLINK("https://www.boe.es/gazeta/dias/1809/03/10/pdfs/GGB-1809-11.pdf#page=5","Abrir facsímil")</f>
        <v>Abrir facsímil</v>
      </c>
      <c r="K1327" s="3" t="s">
        <v>57</v>
      </c>
    </row>
    <row r="1328" spans="1:11" ht="42" customHeight="1">
      <c r="A1328" s="2" t="s">
        <v>3921</v>
      </c>
      <c r="B1328" s="2" t="s">
        <v>3922</v>
      </c>
      <c r="C1328" s="2" t="s">
        <v>39</v>
      </c>
      <c r="D1328" s="2" t="s">
        <v>40</v>
      </c>
      <c r="E1328" s="3" t="s">
        <v>163</v>
      </c>
      <c r="F1328" s="3" t="s">
        <v>478</v>
      </c>
      <c r="G1328" s="3" t="s">
        <v>3932</v>
      </c>
      <c r="H1328" s="2" t="s">
        <v>55</v>
      </c>
      <c r="I1328" s="2" t="s">
        <v>3933</v>
      </c>
      <c r="J1328" s="3" t="str">
        <f>HYPERLINK("https://www.boe.es/gazeta/dias/1809/03/10/pdfs/GGB-1809-11.pdf#page=15","Abrir facsímil")</f>
        <v>Abrir facsímil</v>
      </c>
      <c r="K1328" s="3" t="s">
        <v>57</v>
      </c>
    </row>
    <row r="1329" spans="1:11" ht="42" customHeight="1">
      <c r="A1329" s="2" t="s">
        <v>3921</v>
      </c>
      <c r="B1329" s="2" t="s">
        <v>3922</v>
      </c>
      <c r="C1329" s="2" t="s">
        <v>25</v>
      </c>
      <c r="D1329" s="2" t="s">
        <v>18</v>
      </c>
      <c r="E1329" s="3" t="s">
        <v>3258</v>
      </c>
      <c r="F1329" s="3" t="s">
        <v>3529</v>
      </c>
      <c r="G1329" s="3" t="s">
        <v>3934</v>
      </c>
      <c r="H1329" s="2" t="s">
        <v>55</v>
      </c>
      <c r="I1329" s="2" t="s">
        <v>3935</v>
      </c>
      <c r="J1329" s="3" t="str">
        <f>HYPERLINK("https://www.boe.es/gazeta/dias/1809/04/03/pdfs/GGB-1809-14B.pdf#page=7","Abrir facsímil")</f>
        <v>Abrir facsímil</v>
      </c>
      <c r="K1329" s="3" t="s">
        <v>57</v>
      </c>
    </row>
    <row r="1330" spans="1:11" ht="42" customHeight="1">
      <c r="A1330" s="2" t="s">
        <v>3921</v>
      </c>
      <c r="B1330" s="2" t="s">
        <v>3922</v>
      </c>
      <c r="C1330" s="2" t="s">
        <v>47</v>
      </c>
      <c r="D1330" s="2" t="s">
        <v>18</v>
      </c>
      <c r="E1330" s="3" t="s">
        <v>739</v>
      </c>
      <c r="F1330" s="3" t="s">
        <v>1137</v>
      </c>
      <c r="G1330" s="3" t="s">
        <v>21</v>
      </c>
      <c r="H1330" s="2" t="s">
        <v>55</v>
      </c>
      <c r="I1330" s="2" t="s">
        <v>3936</v>
      </c>
      <c r="J1330" s="3" t="str">
        <f>HYPERLINK("https://www.boe.es/gazeta/dias/1809/05/08/pdfs/GGB-1809-25.pdf#page=8","Abrir facsímil")</f>
        <v>Abrir facsímil</v>
      </c>
      <c r="K1330" s="3" t="s">
        <v>57</v>
      </c>
    </row>
    <row r="1331" spans="1:11" ht="42" customHeight="1">
      <c r="A1331" s="2" t="s">
        <v>3921</v>
      </c>
      <c r="B1331" s="2" t="s">
        <v>3922</v>
      </c>
      <c r="C1331" s="2" t="s">
        <v>25</v>
      </c>
      <c r="D1331" s="2" t="s">
        <v>18</v>
      </c>
      <c r="E1331" s="3" t="s">
        <v>289</v>
      </c>
      <c r="F1331" s="3" t="s">
        <v>3937</v>
      </c>
      <c r="G1331" s="3" t="s">
        <v>110</v>
      </c>
      <c r="H1331" s="2" t="s">
        <v>55</v>
      </c>
      <c r="I1331" s="2" t="s">
        <v>3938</v>
      </c>
      <c r="J1331" s="3" t="str">
        <f>HYPERLINK("https://www.boe.es/gazeta/dias/1809/05/15/pdfs/GGB-1809-27.pdf#page=10","Abrir facsímil")</f>
        <v>Abrir facsímil</v>
      </c>
      <c r="K1331" s="3" t="s">
        <v>57</v>
      </c>
    </row>
    <row r="1332" spans="1:11" ht="42" customHeight="1">
      <c r="A1332" s="2" t="s">
        <v>3921</v>
      </c>
      <c r="B1332" s="2" t="s">
        <v>3922</v>
      </c>
      <c r="C1332" s="2" t="s">
        <v>17</v>
      </c>
      <c r="D1332" s="2" t="s">
        <v>18</v>
      </c>
      <c r="E1332" s="3" t="s">
        <v>92</v>
      </c>
      <c r="F1332" s="3" t="s">
        <v>1383</v>
      </c>
      <c r="G1332" s="3" t="s">
        <v>154</v>
      </c>
      <c r="H1332" s="2" t="s">
        <v>55</v>
      </c>
      <c r="I1332" s="2" t="s">
        <v>3939</v>
      </c>
      <c r="J1332" s="3" t="str">
        <f>HYPERLINK("https://www.boe.es/gazeta/dias/1809/05/22/pdfs/GGB-1809-30.pdf#page=7","Abrir facsímil")</f>
        <v>Abrir facsímil</v>
      </c>
      <c r="K1332" s="3" t="s">
        <v>57</v>
      </c>
    </row>
    <row r="1333" spans="1:11" ht="42" customHeight="1">
      <c r="A1333" s="2" t="s">
        <v>3921</v>
      </c>
      <c r="B1333" s="2" t="s">
        <v>3922</v>
      </c>
      <c r="C1333" s="2" t="s">
        <v>17</v>
      </c>
      <c r="D1333" s="2" t="s">
        <v>80</v>
      </c>
      <c r="E1333" s="3" t="s">
        <v>776</v>
      </c>
      <c r="F1333" s="3" t="s">
        <v>1485</v>
      </c>
      <c r="G1333" s="3" t="s">
        <v>110</v>
      </c>
      <c r="H1333" s="2" t="s">
        <v>55</v>
      </c>
      <c r="I1333" s="2" t="s">
        <v>3940</v>
      </c>
      <c r="J1333" s="3" t="str">
        <f>HYPERLINK("https://www.boe.es/gazeta/dias/1809/05/28/pdfs/GGB-1809-31E2.pdf#page=5","Abrir facsímil")</f>
        <v>Abrir facsímil</v>
      </c>
      <c r="K1333" s="3" t="s">
        <v>57</v>
      </c>
    </row>
    <row r="1334" spans="1:11" ht="42" customHeight="1">
      <c r="A1334" s="2" t="s">
        <v>3921</v>
      </c>
      <c r="B1334" s="2" t="s">
        <v>3922</v>
      </c>
      <c r="C1334" s="2" t="s">
        <v>369</v>
      </c>
      <c r="D1334" s="2" t="s">
        <v>40</v>
      </c>
      <c r="E1334" s="3" t="s">
        <v>2395</v>
      </c>
      <c r="F1334" s="3" t="s">
        <v>3941</v>
      </c>
      <c r="G1334" s="3" t="s">
        <v>270</v>
      </c>
      <c r="H1334" s="2" t="s">
        <v>55</v>
      </c>
      <c r="I1334" s="2" t="s">
        <v>3942</v>
      </c>
      <c r="J1334" s="3" t="str">
        <f>HYPERLINK("https://www.boe.es/gazeta/dias/1809/07/14/pdfs/GGB-1809-45.pdf#page=8","Abrir facsímil")</f>
        <v>Abrir facsímil</v>
      </c>
      <c r="K1334" s="3" t="s">
        <v>57</v>
      </c>
    </row>
    <row r="1335" spans="1:11" ht="42" customHeight="1">
      <c r="A1335" s="2" t="s">
        <v>3943</v>
      </c>
      <c r="B1335" s="2" t="s">
        <v>3944</v>
      </c>
      <c r="C1335" s="2" t="s">
        <v>369</v>
      </c>
      <c r="D1335" s="2" t="s">
        <v>18</v>
      </c>
      <c r="E1335" s="3" t="s">
        <v>1048</v>
      </c>
      <c r="F1335" s="3" t="s">
        <v>1049</v>
      </c>
      <c r="G1335" s="3" t="s">
        <v>2814</v>
      </c>
      <c r="H1335" s="2" t="s">
        <v>55</v>
      </c>
      <c r="I1335" s="2" t="s">
        <v>3945</v>
      </c>
      <c r="J1335" s="3" t="str">
        <f>HYPERLINK("https://www.boe.es/gazeta/dias/1809/08/10/pdfs/GGB-1809-42.pdf#page=8","Abrir facsímil")</f>
        <v>Abrir facsímil</v>
      </c>
      <c r="K1335" s="3" t="s">
        <v>57</v>
      </c>
    </row>
    <row r="1336" spans="1:11" ht="42" customHeight="1">
      <c r="A1336" s="2" t="s">
        <v>3921</v>
      </c>
      <c r="B1336" s="2" t="s">
        <v>3922</v>
      </c>
      <c r="C1336" s="2" t="s">
        <v>39</v>
      </c>
      <c r="D1336" s="2" t="s">
        <v>18</v>
      </c>
      <c r="E1336" s="3" t="s">
        <v>666</v>
      </c>
      <c r="F1336" s="3" t="s">
        <v>667</v>
      </c>
      <c r="G1336" s="3" t="s">
        <v>1448</v>
      </c>
      <c r="H1336" s="2" t="s">
        <v>55</v>
      </c>
      <c r="I1336" s="2" t="s">
        <v>3946</v>
      </c>
      <c r="J1336" s="3" t="str">
        <f>HYPERLINK("https://www.boe.es/gazeta/dias/1809/08/29/pdfs/GGB-1809-122.pdf#page=7","Abrir facsímil")</f>
        <v>Abrir facsímil</v>
      </c>
      <c r="K1336" s="3" t="s">
        <v>57</v>
      </c>
    </row>
    <row r="1337" spans="1:11" ht="42" customHeight="1">
      <c r="A1337" s="2" t="s">
        <v>3921</v>
      </c>
      <c r="B1337" s="2" t="s">
        <v>3922</v>
      </c>
      <c r="C1337" s="2" t="s">
        <v>25</v>
      </c>
      <c r="D1337" s="2" t="s">
        <v>26</v>
      </c>
      <c r="E1337" s="3" t="s">
        <v>515</v>
      </c>
      <c r="F1337" s="3" t="s">
        <v>3947</v>
      </c>
      <c r="G1337" s="3" t="s">
        <v>623</v>
      </c>
      <c r="H1337" s="2" t="s">
        <v>55</v>
      </c>
      <c r="I1337" s="2" t="s">
        <v>3948</v>
      </c>
      <c r="J1337" s="3" t="str">
        <f>HYPERLINK("https://www.boe.es/gazeta/dias/1809/09/02/pdfs/GGB-1809-142.pdf#page=6","Abrir facsímil")</f>
        <v>Abrir facsímil</v>
      </c>
      <c r="K1337" s="3" t="s">
        <v>57</v>
      </c>
    </row>
    <row r="1338" spans="1:11" ht="42" customHeight="1">
      <c r="A1338" s="2" t="s">
        <v>3921</v>
      </c>
      <c r="B1338" s="2" t="s">
        <v>3922</v>
      </c>
      <c r="C1338" s="2" t="s">
        <v>25</v>
      </c>
      <c r="D1338" s="2" t="s">
        <v>18</v>
      </c>
      <c r="E1338" s="3" t="s">
        <v>3949</v>
      </c>
      <c r="F1338" s="3" t="s">
        <v>3950</v>
      </c>
      <c r="G1338" s="3" t="s">
        <v>3951</v>
      </c>
      <c r="H1338" s="2" t="s">
        <v>55</v>
      </c>
      <c r="I1338" s="2" t="s">
        <v>3952</v>
      </c>
      <c r="J1338" s="3" t="str">
        <f>HYPERLINK("https://www.boe.es/gazeta/dias/1809/09/09/pdfs/GGB-1809-172.pdf#page=8","Abrir facsímil")</f>
        <v>Abrir facsímil</v>
      </c>
      <c r="K1338" s="3" t="s">
        <v>57</v>
      </c>
    </row>
    <row r="1339" spans="1:11" ht="42" customHeight="1">
      <c r="A1339" s="2" t="s">
        <v>3921</v>
      </c>
      <c r="B1339" s="2" t="s">
        <v>3922</v>
      </c>
      <c r="C1339" s="2" t="s">
        <v>17</v>
      </c>
      <c r="D1339" s="2" t="s">
        <v>72</v>
      </c>
      <c r="E1339" s="3" t="s">
        <v>207</v>
      </c>
      <c r="F1339" s="3" t="s">
        <v>3953</v>
      </c>
      <c r="G1339" s="3" t="s">
        <v>3954</v>
      </c>
      <c r="H1339" s="2" t="s">
        <v>55</v>
      </c>
      <c r="I1339" s="2" t="s">
        <v>3955</v>
      </c>
      <c r="J1339" s="3" t="str">
        <f>HYPERLINK("https://www.boe.es/gazeta/dias/1809/09/16/pdfs/GGB-H-1809-202.pdf#page=3","Abrir facsímil")</f>
        <v>Abrir facsímil</v>
      </c>
      <c r="K1339" s="3" t="s">
        <v>57</v>
      </c>
    </row>
    <row r="1340" spans="1:11" ht="42" customHeight="1">
      <c r="A1340" s="2" t="s">
        <v>3956</v>
      </c>
      <c r="B1340" s="2" t="s">
        <v>3957</v>
      </c>
      <c r="C1340" s="2" t="s">
        <v>39</v>
      </c>
      <c r="D1340" s="2" t="s">
        <v>18</v>
      </c>
      <c r="E1340" s="3" t="s">
        <v>1288</v>
      </c>
      <c r="F1340" s="3" t="s">
        <v>1289</v>
      </c>
      <c r="G1340" s="3" t="s">
        <v>1290</v>
      </c>
      <c r="H1340" s="2" t="s">
        <v>55</v>
      </c>
      <c r="I1340" s="2" t="s">
        <v>3958</v>
      </c>
      <c r="J1340" s="3" t="str">
        <f>HYPERLINK("https://www.boe.es/gazeta/dias/1809/07/28/pdfs/GGB-1809-49.pdf#page=11","Abrir facsímil")</f>
        <v>Abrir facsímil</v>
      </c>
      <c r="K1340" s="3" t="s">
        <v>57</v>
      </c>
    </row>
    <row r="1341" spans="1:11" ht="42" customHeight="1">
      <c r="A1341" s="2" t="s">
        <v>3959</v>
      </c>
      <c r="B1341" s="2" t="s">
        <v>3960</v>
      </c>
      <c r="C1341" s="2" t="s">
        <v>17</v>
      </c>
      <c r="D1341" s="2" t="s">
        <v>18</v>
      </c>
      <c r="E1341" s="3" t="s">
        <v>243</v>
      </c>
      <c r="F1341" s="3" t="s">
        <v>735</v>
      </c>
      <c r="G1341" s="3" t="s">
        <v>484</v>
      </c>
      <c r="H1341" s="2" t="s">
        <v>55</v>
      </c>
      <c r="I1341" s="2" t="s">
        <v>3961</v>
      </c>
      <c r="J1341" s="3" t="str">
        <f>HYPERLINK("https://www.boe.es/gazeta/dias/1809/02/17/pdfs/GGB-1809-8.pdf#page=5","Abrir facsímil")</f>
        <v>Abrir facsímil</v>
      </c>
      <c r="K1341" s="3" t="s">
        <v>57</v>
      </c>
    </row>
    <row r="1342" spans="1:11" ht="42" customHeight="1">
      <c r="A1342" s="2" t="s">
        <v>3962</v>
      </c>
      <c r="B1342" s="2" t="s">
        <v>3963</v>
      </c>
      <c r="C1342" s="2" t="s">
        <v>131</v>
      </c>
      <c r="D1342" s="2" t="s">
        <v>18</v>
      </c>
      <c r="E1342" s="3" t="s">
        <v>1073</v>
      </c>
      <c r="F1342" s="3" t="s">
        <v>1074</v>
      </c>
      <c r="G1342" s="3" t="s">
        <v>2422</v>
      </c>
      <c r="H1342" s="2" t="s">
        <v>55</v>
      </c>
      <c r="I1342" s="2" t="s">
        <v>3964</v>
      </c>
      <c r="J1342" s="3" t="str">
        <f>HYPERLINK("https://www.boe.es/gazeta/dias/1809/01/13/pdfs/GMD-1809-13.pdf#page=4","Abrir facsímil")</f>
        <v>Abrir facsímil</v>
      </c>
      <c r="K1342" s="3" t="s">
        <v>57</v>
      </c>
    </row>
    <row r="1343" spans="1:11" ht="42" customHeight="1">
      <c r="A1343" s="2" t="s">
        <v>3962</v>
      </c>
      <c r="B1343" s="2" t="s">
        <v>3963</v>
      </c>
      <c r="C1343" s="2" t="s">
        <v>131</v>
      </c>
      <c r="D1343" s="2" t="s">
        <v>40</v>
      </c>
      <c r="E1343" s="3" t="s">
        <v>87</v>
      </c>
      <c r="F1343" s="3" t="s">
        <v>88</v>
      </c>
      <c r="G1343" s="3" t="s">
        <v>998</v>
      </c>
      <c r="H1343" s="2" t="s">
        <v>55</v>
      </c>
      <c r="I1343" s="2" t="s">
        <v>3965</v>
      </c>
      <c r="J1343" s="3" t="str">
        <f>HYPERLINK("https://www.boe.es/gazeta/dias/1809/02/15/pdfs/GMD-1809-46.pdf#page=2","Abrir facsímil")</f>
        <v>Abrir facsímil</v>
      </c>
      <c r="K1343" s="3" t="s">
        <v>57</v>
      </c>
    </row>
    <row r="1344" spans="1:11" ht="42" customHeight="1">
      <c r="A1344" s="2" t="s">
        <v>3962</v>
      </c>
      <c r="B1344" s="2" t="s">
        <v>3963</v>
      </c>
      <c r="C1344" s="2" t="s">
        <v>131</v>
      </c>
      <c r="D1344" s="2" t="s">
        <v>18</v>
      </c>
      <c r="E1344" s="3" t="s">
        <v>1076</v>
      </c>
      <c r="F1344" s="3" t="s">
        <v>1074</v>
      </c>
      <c r="G1344" s="3" t="s">
        <v>2422</v>
      </c>
      <c r="H1344" s="2" t="s">
        <v>55</v>
      </c>
      <c r="I1344" s="2" t="s">
        <v>3964</v>
      </c>
      <c r="J1344" s="3" t="str">
        <f>HYPERLINK("https://www.boe.es/gazeta/dias/1809/04/13/pdfs/GMD-1809-13.pdf#page=4","Abrir facsímil")</f>
        <v>Abrir facsímil</v>
      </c>
      <c r="K1344" s="3" t="s">
        <v>57</v>
      </c>
    </row>
    <row r="1345" spans="1:11" ht="42" customHeight="1">
      <c r="A1345" s="2" t="s">
        <v>3966</v>
      </c>
      <c r="B1345" s="2" t="s">
        <v>3967</v>
      </c>
      <c r="C1345" s="2" t="s">
        <v>17</v>
      </c>
      <c r="D1345" s="2" t="s">
        <v>18</v>
      </c>
      <c r="E1345" s="3" t="s">
        <v>857</v>
      </c>
      <c r="F1345" s="3" t="s">
        <v>858</v>
      </c>
      <c r="G1345" s="3" t="s">
        <v>110</v>
      </c>
      <c r="H1345" s="2" t="s">
        <v>55</v>
      </c>
      <c r="I1345" s="2" t="s">
        <v>3968</v>
      </c>
      <c r="J1345" s="3" t="str">
        <f>HYPERLINK("https://www.boe.es/gazeta/dias/1809/05/01/pdfs/GGB-1809-23.pdf#page=2","Abrir facsímil")</f>
        <v>Abrir facsímil</v>
      </c>
      <c r="K1345" s="3" t="s">
        <v>57</v>
      </c>
    </row>
    <row r="1346" spans="1:11" ht="42" customHeight="1">
      <c r="A1346" s="2" t="s">
        <v>3969</v>
      </c>
      <c r="B1346" s="2" t="s">
        <v>3970</v>
      </c>
      <c r="C1346" s="2" t="s">
        <v>17</v>
      </c>
      <c r="D1346" s="2" t="s">
        <v>18</v>
      </c>
      <c r="E1346" s="3" t="s">
        <v>158</v>
      </c>
      <c r="F1346" s="3" t="s">
        <v>159</v>
      </c>
      <c r="G1346" s="3" t="s">
        <v>906</v>
      </c>
      <c r="H1346" s="2" t="s">
        <v>55</v>
      </c>
      <c r="I1346" s="2" t="s">
        <v>3971</v>
      </c>
      <c r="J1346" s="3" t="str">
        <f>HYPERLINK("https://www.boe.es/gazeta/dias/1809/02/10/pdfs/GGB-1809-7.pdf#page=8","Abrir facsímil")</f>
        <v>Abrir facsímil</v>
      </c>
      <c r="K1346" s="3" t="s">
        <v>57</v>
      </c>
    </row>
    <row r="1347" spans="1:11" ht="42" customHeight="1">
      <c r="A1347" s="2" t="s">
        <v>3972</v>
      </c>
      <c r="B1347" s="2" t="s">
        <v>3973</v>
      </c>
      <c r="C1347" s="2" t="s">
        <v>47</v>
      </c>
      <c r="D1347" s="2" t="s">
        <v>18</v>
      </c>
      <c r="E1347" s="3" t="s">
        <v>548</v>
      </c>
      <c r="F1347" s="3" t="s">
        <v>549</v>
      </c>
      <c r="G1347" s="3" t="s">
        <v>316</v>
      </c>
      <c r="H1347" s="2" t="s">
        <v>55</v>
      </c>
      <c r="I1347" s="2" t="s">
        <v>3974</v>
      </c>
      <c r="J1347" s="3" t="str">
        <f>HYPERLINK("https://www.boe.es/gazeta/dias/1809/03/12/pdfs/GMD-1809-71.pdf#page=4","Abrir facsímil")</f>
        <v>Abrir facsímil</v>
      </c>
      <c r="K1347" s="3" t="s">
        <v>57</v>
      </c>
    </row>
    <row r="1348" spans="1:11" ht="42" customHeight="1">
      <c r="A1348" s="2" t="s">
        <v>3975</v>
      </c>
      <c r="B1348" s="2" t="s">
        <v>3976</v>
      </c>
      <c r="C1348" s="2" t="s">
        <v>17</v>
      </c>
      <c r="D1348" s="2" t="s">
        <v>18</v>
      </c>
      <c r="E1348" s="3" t="s">
        <v>87</v>
      </c>
      <c r="F1348" s="3" t="s">
        <v>88</v>
      </c>
      <c r="G1348" s="3" t="s">
        <v>89</v>
      </c>
      <c r="H1348" s="2" t="s">
        <v>55</v>
      </c>
      <c r="I1348" s="2" t="s">
        <v>3977</v>
      </c>
      <c r="J1348" s="3" t="str">
        <f>HYPERLINK("https://www.boe.es/gazeta/dias/1809/02/15/pdfs/GMD-1809-46.pdf#page=4","Abrir facsímil")</f>
        <v>Abrir facsímil</v>
      </c>
      <c r="K1348" s="3" t="s">
        <v>57</v>
      </c>
    </row>
    <row r="1349" spans="1:11" ht="42" customHeight="1">
      <c r="A1349" s="2" t="s">
        <v>3978</v>
      </c>
      <c r="B1349" s="2" t="s">
        <v>3979</v>
      </c>
      <c r="C1349" s="2" t="s">
        <v>131</v>
      </c>
      <c r="D1349" s="2" t="s">
        <v>18</v>
      </c>
      <c r="E1349" s="3" t="s">
        <v>305</v>
      </c>
      <c r="F1349" s="3" t="s">
        <v>306</v>
      </c>
      <c r="G1349" s="3" t="s">
        <v>29</v>
      </c>
      <c r="H1349" s="2" t="s">
        <v>55</v>
      </c>
      <c r="I1349" s="2" t="s">
        <v>3980</v>
      </c>
      <c r="J1349" s="3" t="str">
        <f>HYPERLINK("https://www.boe.es/gazeta/dias/1809/10/20/pdfs/GMD-1809-294.pdf#page=3","Abrir facsímil")</f>
        <v>Abrir facsímil</v>
      </c>
      <c r="K1349" s="3" t="s">
        <v>57</v>
      </c>
    </row>
    <row r="1350" spans="1:11" ht="42" customHeight="1">
      <c r="A1350" s="2" t="s">
        <v>3981</v>
      </c>
      <c r="B1350" s="2" t="s">
        <v>3982</v>
      </c>
      <c r="C1350" s="2" t="s">
        <v>47</v>
      </c>
      <c r="D1350" s="2" t="s">
        <v>18</v>
      </c>
      <c r="E1350" s="3" t="s">
        <v>3258</v>
      </c>
      <c r="F1350" s="3" t="s">
        <v>3529</v>
      </c>
      <c r="G1350" s="3" t="s">
        <v>3934</v>
      </c>
      <c r="H1350" s="2" t="s">
        <v>55</v>
      </c>
      <c r="I1350" s="2" t="s">
        <v>3983</v>
      </c>
      <c r="J1350" s="3" t="str">
        <f>HYPERLINK("https://www.boe.es/gazeta/dias/1809/04/03/pdfs/GGB-1809-14B.pdf#page=7","Abrir facsímil")</f>
        <v>Abrir facsímil</v>
      </c>
      <c r="K1350" s="3" t="s">
        <v>57</v>
      </c>
    </row>
    <row r="1351" spans="1:11" ht="42" customHeight="1">
      <c r="A1351" s="2" t="s">
        <v>3984</v>
      </c>
      <c r="B1351" s="2" t="s">
        <v>3985</v>
      </c>
      <c r="C1351" s="2" t="s">
        <v>17</v>
      </c>
      <c r="D1351" s="2" t="s">
        <v>72</v>
      </c>
      <c r="E1351" s="3" t="s">
        <v>294</v>
      </c>
      <c r="F1351" s="3" t="s">
        <v>295</v>
      </c>
      <c r="G1351" s="3" t="s">
        <v>21</v>
      </c>
      <c r="H1351" s="2" t="s">
        <v>55</v>
      </c>
      <c r="I1351" s="2" t="s">
        <v>3986</v>
      </c>
      <c r="J1351" s="3" t="str">
        <f>HYPERLINK("https://www.boe.es/gazeta/dias/1809/09/30/pdfs/GGB-H-1809-262.pdf#page=1","Abrir facsímil")</f>
        <v>Abrir facsímil</v>
      </c>
      <c r="K1351" s="3" t="s">
        <v>57</v>
      </c>
    </row>
    <row r="1352" spans="1:11" ht="42" customHeight="1">
      <c r="A1352" s="2" t="s">
        <v>3987</v>
      </c>
      <c r="B1352" s="2" t="s">
        <v>3988</v>
      </c>
      <c r="C1352" s="2" t="s">
        <v>288</v>
      </c>
      <c r="D1352" s="2" t="s">
        <v>18</v>
      </c>
      <c r="E1352" s="3" t="s">
        <v>2473</v>
      </c>
      <c r="F1352" s="3" t="s">
        <v>2474</v>
      </c>
      <c r="G1352" s="3" t="s">
        <v>270</v>
      </c>
      <c r="H1352" s="2" t="s">
        <v>55</v>
      </c>
      <c r="I1352" s="2" t="s">
        <v>3989</v>
      </c>
      <c r="J1352" s="3" t="str">
        <f>HYPERLINK("https://www.boe.es/gazeta/dias/1809/02/16/pdfs/GMD-1809-47.pdf#page=4","Abrir facsímil")</f>
        <v>Abrir facsímil</v>
      </c>
      <c r="K1352" s="3" t="s">
        <v>57</v>
      </c>
    </row>
    <row r="1353" spans="1:11" ht="42" customHeight="1">
      <c r="A1353" s="2" t="s">
        <v>3990</v>
      </c>
      <c r="B1353" s="2" t="s">
        <v>3991</v>
      </c>
      <c r="C1353" s="2" t="s">
        <v>17</v>
      </c>
      <c r="D1353" s="2" t="s">
        <v>107</v>
      </c>
      <c r="E1353" s="3" t="s">
        <v>2395</v>
      </c>
      <c r="F1353" s="3" t="s">
        <v>2396</v>
      </c>
      <c r="G1353" s="3" t="s">
        <v>3992</v>
      </c>
      <c r="H1353" s="2" t="s">
        <v>55</v>
      </c>
      <c r="I1353" s="2" t="s">
        <v>3993</v>
      </c>
      <c r="J1353" s="3" t="str">
        <f>HYPERLINK("https://www.boe.es/gazeta/dias/1809/07/14/pdfs/GMD-1809-195.pdf#page=3","Abrir facsímil")</f>
        <v>Abrir facsímil</v>
      </c>
      <c r="K1353" s="3" t="s">
        <v>57</v>
      </c>
    </row>
    <row r="1354" spans="1:11" ht="42" customHeight="1">
      <c r="A1354" s="2" t="s">
        <v>3994</v>
      </c>
      <c r="B1354" s="2" t="s">
        <v>3995</v>
      </c>
      <c r="C1354" s="2" t="s">
        <v>17</v>
      </c>
      <c r="D1354" s="2" t="s">
        <v>18</v>
      </c>
      <c r="E1354" s="3" t="s">
        <v>33</v>
      </c>
      <c r="F1354" s="3" t="s">
        <v>34</v>
      </c>
      <c r="G1354" s="3" t="s">
        <v>595</v>
      </c>
      <c r="H1354" s="2" t="s">
        <v>55</v>
      </c>
      <c r="I1354" s="2" t="s">
        <v>3996</v>
      </c>
      <c r="J1354" s="3" t="str">
        <f>HYPERLINK("https://www.boe.es/gazeta/dias/1809/12/19/pdfs/GGB-1809-602.pdf#page=7","Abrir facsímil")</f>
        <v>Abrir facsímil</v>
      </c>
      <c r="K1354" s="3" t="s">
        <v>57</v>
      </c>
    </row>
    <row r="1355" spans="1:11" ht="42" customHeight="1">
      <c r="A1355" s="2" t="s">
        <v>3997</v>
      </c>
      <c r="B1355" s="2" t="s">
        <v>3998</v>
      </c>
      <c r="C1355" s="2" t="s">
        <v>25</v>
      </c>
      <c r="D1355" s="2" t="s">
        <v>26</v>
      </c>
      <c r="E1355" s="3" t="s">
        <v>868</v>
      </c>
      <c r="F1355" s="3" t="s">
        <v>869</v>
      </c>
      <c r="G1355" s="3" t="s">
        <v>234</v>
      </c>
      <c r="H1355" s="2" t="s">
        <v>55</v>
      </c>
      <c r="I1355" s="2" t="s">
        <v>3999</v>
      </c>
      <c r="J1355" s="3" t="str">
        <f>HYPERLINK("https://www.boe.es/gazeta/dias/1809/09/22/pdfs/GMD-1809-266.pdf#page=1","Abrir facsímil")</f>
        <v>Abrir facsímil</v>
      </c>
      <c r="K1355" s="3" t="s">
        <v>57</v>
      </c>
    </row>
    <row r="1356" spans="1:11" ht="42" customHeight="1">
      <c r="A1356" s="2" t="s">
        <v>4000</v>
      </c>
      <c r="B1356" s="2" t="s">
        <v>4001</v>
      </c>
      <c r="C1356" s="2" t="s">
        <v>25</v>
      </c>
      <c r="D1356" s="2" t="s">
        <v>26</v>
      </c>
      <c r="E1356" s="3" t="s">
        <v>743</v>
      </c>
      <c r="F1356" s="3" t="s">
        <v>744</v>
      </c>
      <c r="G1356" s="3" t="s">
        <v>270</v>
      </c>
      <c r="H1356" s="2" t="s">
        <v>55</v>
      </c>
      <c r="I1356" s="2" t="s">
        <v>4002</v>
      </c>
      <c r="J1356" s="3" t="str">
        <f>HYPERLINK("https://www.boe.es/gazeta/dias/1809/12/25/pdfs/GMD-1809-360.pdf#page=2","Abrir facsímil")</f>
        <v>Abrir facsímil</v>
      </c>
      <c r="K1356" s="3" t="s">
        <v>57</v>
      </c>
    </row>
    <row r="1357" spans="1:11" ht="42" customHeight="1">
      <c r="A1357" s="2" t="s">
        <v>4003</v>
      </c>
      <c r="B1357" s="2" t="s">
        <v>4004</v>
      </c>
      <c r="C1357" s="2" t="s">
        <v>39</v>
      </c>
      <c r="D1357" s="2" t="s">
        <v>40</v>
      </c>
      <c r="E1357" s="3" t="s">
        <v>48</v>
      </c>
      <c r="F1357" s="3" t="s">
        <v>1718</v>
      </c>
      <c r="G1357" s="3" t="s">
        <v>4005</v>
      </c>
      <c r="H1357" s="2" t="s">
        <v>55</v>
      </c>
      <c r="I1357" s="2" t="s">
        <v>4006</v>
      </c>
      <c r="J1357" s="3" t="str">
        <f>HYPERLINK("https://www.boe.es/gazeta/dias/1809/10/03/pdfs/GGB-1809-272.pdf#page=7","Abrir facsímil")</f>
        <v>Abrir facsímil</v>
      </c>
      <c r="K1357" s="3" t="s">
        <v>57</v>
      </c>
    </row>
    <row r="1358" spans="1:11" ht="42" customHeight="1">
      <c r="A1358" s="2" t="s">
        <v>4007</v>
      </c>
      <c r="B1358" s="2" t="s">
        <v>4008</v>
      </c>
      <c r="C1358" s="2" t="s">
        <v>25</v>
      </c>
      <c r="D1358" s="2" t="s">
        <v>26</v>
      </c>
      <c r="E1358" s="3" t="s">
        <v>118</v>
      </c>
      <c r="F1358" s="3" t="s">
        <v>819</v>
      </c>
      <c r="G1358" s="3" t="s">
        <v>820</v>
      </c>
      <c r="H1358" s="2" t="s">
        <v>55</v>
      </c>
      <c r="I1358" s="2" t="s">
        <v>4009</v>
      </c>
      <c r="J1358" s="3" t="str">
        <f>HYPERLINK("https://www.boe.es/gazeta/dias/1809/09/07/pdfs/GGB-H-1809-162.pdf#page=5","Abrir facsímil")</f>
        <v>Abrir facsímil</v>
      </c>
      <c r="K1358" s="3" t="s">
        <v>57</v>
      </c>
    </row>
    <row r="1359" spans="1:11" ht="42" customHeight="1">
      <c r="A1359" s="2" t="s">
        <v>4010</v>
      </c>
      <c r="B1359" s="2" t="s">
        <v>4011</v>
      </c>
      <c r="C1359" s="2" t="s">
        <v>25</v>
      </c>
      <c r="D1359" s="2" t="s">
        <v>80</v>
      </c>
      <c r="E1359" s="3" t="s">
        <v>179</v>
      </c>
      <c r="F1359" s="3" t="s">
        <v>180</v>
      </c>
      <c r="G1359" s="3" t="s">
        <v>62</v>
      </c>
      <c r="H1359" s="2" t="s">
        <v>55</v>
      </c>
      <c r="I1359" s="2" t="s">
        <v>4012</v>
      </c>
      <c r="J1359" s="3" t="str">
        <f>HYPERLINK("https://www.boe.es/gazeta/dias/1809/12/08/pdfs/GGB-1809-552E.pdf#page=1","Abrir facsímil")</f>
        <v>Abrir facsímil</v>
      </c>
      <c r="K1359" s="3" t="s">
        <v>57</v>
      </c>
    </row>
    <row r="1360" spans="1:11" ht="42" customHeight="1">
      <c r="A1360" s="2" t="s">
        <v>4013</v>
      </c>
      <c r="B1360" s="2" t="s">
        <v>4014</v>
      </c>
      <c r="C1360" s="2" t="s">
        <v>39</v>
      </c>
      <c r="D1360" s="2" t="s">
        <v>18</v>
      </c>
      <c r="E1360" s="3" t="s">
        <v>158</v>
      </c>
      <c r="F1360" s="3" t="s">
        <v>159</v>
      </c>
      <c r="G1360" s="3" t="s">
        <v>906</v>
      </c>
      <c r="H1360" s="2" t="s">
        <v>55</v>
      </c>
      <c r="I1360" s="2" t="s">
        <v>4015</v>
      </c>
      <c r="J1360" s="3" t="str">
        <f>HYPERLINK("https://www.boe.es/gazeta/dias/1809/02/10/pdfs/GGB-1809-7.pdf#page=8","Abrir facsímil")</f>
        <v>Abrir facsímil</v>
      </c>
      <c r="K1360" s="3" t="s">
        <v>57</v>
      </c>
    </row>
    <row r="1361" spans="1:11" ht="42" customHeight="1">
      <c r="A1361" s="2" t="s">
        <v>4016</v>
      </c>
      <c r="B1361" s="2" t="s">
        <v>4017</v>
      </c>
      <c r="C1361" s="2" t="s">
        <v>25</v>
      </c>
      <c r="D1361" s="2" t="s">
        <v>18</v>
      </c>
      <c r="E1361" s="3" t="s">
        <v>421</v>
      </c>
      <c r="F1361" s="3" t="s">
        <v>962</v>
      </c>
      <c r="G1361" s="3" t="s">
        <v>3808</v>
      </c>
      <c r="H1361" s="2" t="s">
        <v>55</v>
      </c>
      <c r="I1361" s="2" t="s">
        <v>4018</v>
      </c>
      <c r="J1361" s="3" t="str">
        <f>HYPERLINK("https://www.boe.es/gazeta/dias/1809/04/28/pdfs/GGB-1809-22.pdf#page=8","Abrir facsímil")</f>
        <v>Abrir facsímil</v>
      </c>
      <c r="K1361" s="3" t="s">
        <v>57</v>
      </c>
    </row>
    <row r="1362" spans="1:11" ht="42" customHeight="1">
      <c r="A1362" s="2" t="s">
        <v>4019</v>
      </c>
      <c r="B1362" s="2" t="s">
        <v>4020</v>
      </c>
      <c r="C1362" s="2" t="s">
        <v>17</v>
      </c>
      <c r="D1362" s="2" t="s">
        <v>18</v>
      </c>
      <c r="E1362" s="3" t="s">
        <v>695</v>
      </c>
      <c r="F1362" s="3" t="s">
        <v>696</v>
      </c>
      <c r="G1362" s="3" t="s">
        <v>1017</v>
      </c>
      <c r="H1362" s="2" t="s">
        <v>55</v>
      </c>
      <c r="I1362" s="2" t="s">
        <v>4021</v>
      </c>
      <c r="J1362" s="3" t="str">
        <f>HYPERLINK("https://www.boe.es/gazeta/dias/1809/10/24/pdfs/GGB-1809-362.pdf#page=8","Abrir facsímil")</f>
        <v>Abrir facsímil</v>
      </c>
      <c r="K1362" s="3" t="s">
        <v>57</v>
      </c>
    </row>
    <row r="1363" spans="1:11" ht="42" customHeight="1">
      <c r="A1363" s="2" t="s">
        <v>4022</v>
      </c>
      <c r="B1363" s="2" t="s">
        <v>4023</v>
      </c>
      <c r="C1363" s="2" t="s">
        <v>25</v>
      </c>
      <c r="D1363" s="2" t="s">
        <v>72</v>
      </c>
      <c r="E1363" s="3" t="s">
        <v>143</v>
      </c>
      <c r="F1363" s="3" t="s">
        <v>705</v>
      </c>
      <c r="G1363" s="3" t="s">
        <v>225</v>
      </c>
      <c r="H1363" s="2" t="s">
        <v>55</v>
      </c>
      <c r="I1363" s="2" t="s">
        <v>4024</v>
      </c>
      <c r="J1363" s="3" t="str">
        <f>HYPERLINK("https://www.boe.es/gazeta/dias/1809/11/16/pdfs/GGB-H-1809-462.pdf#page=4","Abrir facsímil")</f>
        <v>Abrir facsímil</v>
      </c>
      <c r="K1363" s="3" t="s">
        <v>57</v>
      </c>
    </row>
    <row r="1364" spans="1:11" ht="42" customHeight="1">
      <c r="A1364" s="2" t="s">
        <v>4025</v>
      </c>
      <c r="B1364" s="2" t="s">
        <v>4026</v>
      </c>
      <c r="C1364" s="2" t="s">
        <v>17</v>
      </c>
      <c r="D1364" s="2" t="s">
        <v>18</v>
      </c>
      <c r="E1364" s="3" t="s">
        <v>500</v>
      </c>
      <c r="F1364" s="3" t="s">
        <v>2357</v>
      </c>
      <c r="G1364" s="3" t="s">
        <v>94</v>
      </c>
      <c r="H1364" s="2" t="s">
        <v>55</v>
      </c>
      <c r="I1364" s="2" t="s">
        <v>4027</v>
      </c>
      <c r="J1364" s="3" t="str">
        <f>HYPERLINK("https://www.boe.es/gazeta/dias/1809/03/24/pdfs/GGB-1809-13.pdf#page=5","Abrir facsímil")</f>
        <v>Abrir facsímil</v>
      </c>
      <c r="K1364" s="3" t="s">
        <v>57</v>
      </c>
    </row>
    <row r="1365" spans="1:11" ht="42" customHeight="1">
      <c r="A1365" s="2" t="s">
        <v>4028</v>
      </c>
      <c r="B1365" s="2" t="s">
        <v>4029</v>
      </c>
      <c r="C1365" s="2" t="s">
        <v>17</v>
      </c>
      <c r="D1365" s="2" t="s">
        <v>18</v>
      </c>
      <c r="E1365" s="3" t="s">
        <v>102</v>
      </c>
      <c r="F1365" s="3" t="s">
        <v>103</v>
      </c>
      <c r="G1365" s="3" t="s">
        <v>1091</v>
      </c>
      <c r="H1365" s="2" t="s">
        <v>55</v>
      </c>
      <c r="I1365" s="2" t="s">
        <v>4030</v>
      </c>
      <c r="J1365" s="3" t="str">
        <f>HYPERLINK("https://www.boe.es/gazeta/dias/1809/09/28/pdfs/GGB-1809-252.pdf#page=6","Abrir facsímil")</f>
        <v>Abrir facsímil</v>
      </c>
      <c r="K1365" s="3" t="s">
        <v>57</v>
      </c>
    </row>
    <row r="1366" spans="1:11" ht="42" customHeight="1">
      <c r="A1366" s="2" t="s">
        <v>4031</v>
      </c>
      <c r="B1366" s="2" t="s">
        <v>4032</v>
      </c>
      <c r="C1366" s="2" t="s">
        <v>17</v>
      </c>
      <c r="D1366" s="2" t="s">
        <v>18</v>
      </c>
      <c r="E1366" s="3" t="s">
        <v>2691</v>
      </c>
      <c r="F1366" s="3" t="s">
        <v>2692</v>
      </c>
      <c r="G1366" s="3" t="s">
        <v>3212</v>
      </c>
      <c r="H1366" s="2" t="s">
        <v>55</v>
      </c>
      <c r="I1366" s="2" t="s">
        <v>4033</v>
      </c>
      <c r="J1366" s="3" t="str">
        <f>HYPERLINK("https://www.boe.es/gazeta/dias/1809/08/27/pdfs/GMD-1809-240.pdf#page=1","Abrir facsímil")</f>
        <v>Abrir facsímil</v>
      </c>
      <c r="K1366" s="3" t="s">
        <v>57</v>
      </c>
    </row>
    <row r="1367" spans="1:11" ht="42" customHeight="1">
      <c r="A1367" s="2" t="s">
        <v>4034</v>
      </c>
      <c r="B1367" s="2" t="s">
        <v>4035</v>
      </c>
      <c r="C1367" s="2" t="s">
        <v>131</v>
      </c>
      <c r="D1367" s="2" t="s">
        <v>107</v>
      </c>
      <c r="E1367" s="3" t="s">
        <v>432</v>
      </c>
      <c r="F1367" s="3" t="s">
        <v>433</v>
      </c>
      <c r="G1367" s="3" t="s">
        <v>362</v>
      </c>
      <c r="H1367" s="2" t="s">
        <v>55</v>
      </c>
      <c r="I1367" s="2" t="s">
        <v>4036</v>
      </c>
      <c r="J1367" s="3" t="str">
        <f>HYPERLINK("https://www.boe.es/gazeta/dias/1809/07/11/pdfs/GMD-1809-192.pdf#page=1","Abrir facsímil")</f>
        <v>Abrir facsímil</v>
      </c>
      <c r="K1367" s="3" t="s">
        <v>57</v>
      </c>
    </row>
    <row r="1368" spans="1:11" ht="42" customHeight="1">
      <c r="A1368" s="2" t="s">
        <v>4037</v>
      </c>
      <c r="B1368" s="2" t="s">
        <v>4038</v>
      </c>
      <c r="C1368" s="2" t="s">
        <v>79</v>
      </c>
      <c r="D1368" s="2" t="s">
        <v>18</v>
      </c>
      <c r="E1368" s="3" t="s">
        <v>2341</v>
      </c>
      <c r="F1368" s="3" t="s">
        <v>2342</v>
      </c>
      <c r="G1368" s="3" t="s">
        <v>2343</v>
      </c>
      <c r="H1368" s="2" t="s">
        <v>55</v>
      </c>
      <c r="I1368" s="2" t="s">
        <v>4039</v>
      </c>
      <c r="J1368" s="3" t="str">
        <f>HYPERLINK("https://www.boe.es/gazeta/dias/1809/03/09/pdfs/GMD-1809-68.pdf#page=1","Abrir facsímil")</f>
        <v>Abrir facsímil</v>
      </c>
      <c r="K1368" s="3" t="s">
        <v>57</v>
      </c>
    </row>
    <row r="1369" spans="1:11" ht="42" customHeight="1">
      <c r="A1369" s="2" t="s">
        <v>4040</v>
      </c>
      <c r="B1369" s="2" t="s">
        <v>4041</v>
      </c>
      <c r="C1369" s="2" t="s">
        <v>17</v>
      </c>
      <c r="D1369" s="2" t="s">
        <v>18</v>
      </c>
      <c r="E1369" s="3" t="s">
        <v>53</v>
      </c>
      <c r="F1369" s="3" t="s">
        <v>54</v>
      </c>
      <c r="G1369" s="3" t="s">
        <v>29</v>
      </c>
      <c r="H1369" s="2" t="s">
        <v>55</v>
      </c>
      <c r="I1369" s="2" t="s">
        <v>4042</v>
      </c>
      <c r="J1369" s="3" t="str">
        <f>HYPERLINK("https://www.boe.es/gazeta/dias/1809/03/03/pdfs/GMD-1809-62.pdf#page=3","Abrir facsímil")</f>
        <v>Abrir facsímil</v>
      </c>
      <c r="K1369" s="3" t="s">
        <v>57</v>
      </c>
    </row>
    <row r="1370" spans="1:11" ht="42" customHeight="1">
      <c r="A1370" s="2" t="s">
        <v>4043</v>
      </c>
      <c r="B1370" s="2" t="s">
        <v>4044</v>
      </c>
      <c r="C1370" s="2" t="s">
        <v>25</v>
      </c>
      <c r="D1370" s="2" t="s">
        <v>26</v>
      </c>
      <c r="E1370" s="3" t="s">
        <v>442</v>
      </c>
      <c r="F1370" s="3" t="s">
        <v>2171</v>
      </c>
      <c r="G1370" s="3" t="s">
        <v>3710</v>
      </c>
      <c r="H1370" s="2" t="s">
        <v>55</v>
      </c>
      <c r="I1370" s="2" t="s">
        <v>4045</v>
      </c>
      <c r="J1370" s="3" t="str">
        <f>HYPERLINK("https://www.boe.es/gazeta/dias/1809/09/05/pdfs/GMD-1809-249.pdf#page=1","Abrir facsímil")</f>
        <v>Abrir facsímil</v>
      </c>
      <c r="K1370" s="3" t="s">
        <v>57</v>
      </c>
    </row>
    <row r="1371" spans="1:11" ht="42" customHeight="1">
      <c r="A1371" s="2" t="s">
        <v>4046</v>
      </c>
      <c r="B1371" s="2" t="s">
        <v>4047</v>
      </c>
      <c r="C1371" s="2" t="s">
        <v>25</v>
      </c>
      <c r="D1371" s="2" t="s">
        <v>18</v>
      </c>
      <c r="E1371" s="3" t="s">
        <v>258</v>
      </c>
      <c r="F1371" s="3" t="s">
        <v>910</v>
      </c>
      <c r="G1371" s="3" t="s">
        <v>693</v>
      </c>
      <c r="H1371" s="2" t="s">
        <v>55</v>
      </c>
      <c r="I1371" s="2" t="s">
        <v>4048</v>
      </c>
      <c r="J1371" s="3" t="str">
        <f>HYPERLINK("https://www.boe.es/gazeta/dias/1809/03/17/pdfs/GGB-1809-12.pdf#page=9","Abrir facsímil")</f>
        <v>Abrir facsímil</v>
      </c>
      <c r="K1371" s="3" t="s">
        <v>57</v>
      </c>
    </row>
    <row r="1372" spans="1:11" ht="42" customHeight="1">
      <c r="A1372" s="2" t="s">
        <v>4049</v>
      </c>
      <c r="B1372" s="2" t="s">
        <v>4050</v>
      </c>
      <c r="C1372" s="2" t="s">
        <v>25</v>
      </c>
      <c r="D1372" s="2" t="s">
        <v>18</v>
      </c>
      <c r="E1372" s="3" t="s">
        <v>4051</v>
      </c>
      <c r="F1372" s="3" t="s">
        <v>4052</v>
      </c>
      <c r="G1372" s="3" t="s">
        <v>154</v>
      </c>
      <c r="H1372" s="2" t="s">
        <v>55</v>
      </c>
      <c r="I1372" s="2" t="s">
        <v>4053</v>
      </c>
      <c r="J1372" s="3" t="str">
        <f>HYPERLINK("https://www.boe.es/gazeta/dias/1809/10/29/pdfs/GMD-1809-303.pdf#page=4","Abrir facsímil")</f>
        <v>Abrir facsímil</v>
      </c>
      <c r="K1372" s="3" t="s">
        <v>57</v>
      </c>
    </row>
    <row r="1373" spans="1:11" ht="42" customHeight="1">
      <c r="A1373" s="2" t="s">
        <v>4054</v>
      </c>
      <c r="B1373" s="2" t="s">
        <v>4055</v>
      </c>
      <c r="C1373" s="2" t="s">
        <v>47</v>
      </c>
      <c r="D1373" s="2" t="s">
        <v>18</v>
      </c>
      <c r="E1373" s="3" t="s">
        <v>1276</v>
      </c>
      <c r="F1373" s="3" t="s">
        <v>2088</v>
      </c>
      <c r="G1373" s="3" t="s">
        <v>651</v>
      </c>
      <c r="H1373" s="2" t="s">
        <v>55</v>
      </c>
      <c r="I1373" s="2" t="s">
        <v>4056</v>
      </c>
      <c r="J1373" s="3" t="str">
        <f>HYPERLINK("https://www.boe.es/gazeta/dias/1809/01/03/pdfs/GMD-1809-3.pdf#page=1","Abrir facsímil")</f>
        <v>Abrir facsímil</v>
      </c>
      <c r="K1373" s="3" t="s">
        <v>57</v>
      </c>
    </row>
    <row r="1374" spans="1:11" ht="42" customHeight="1">
      <c r="A1374" s="2" t="s">
        <v>4057</v>
      </c>
      <c r="B1374" s="2" t="s">
        <v>4058</v>
      </c>
      <c r="C1374" s="2" t="s">
        <v>25</v>
      </c>
      <c r="D1374" s="2" t="s">
        <v>80</v>
      </c>
      <c r="E1374" s="3" t="s">
        <v>81</v>
      </c>
      <c r="F1374" s="3" t="s">
        <v>82</v>
      </c>
      <c r="G1374" s="3" t="s">
        <v>3332</v>
      </c>
      <c r="H1374" s="2" t="s">
        <v>55</v>
      </c>
      <c r="I1374" s="2" t="s">
        <v>4059</v>
      </c>
      <c r="J1374" s="3" t="str">
        <f>HYPERLINK("https://www.boe.es/gazeta/dias/1809/04/11/pdfs/GGB-1809-16E.pdf#page=8","Abrir facsímil")</f>
        <v>Abrir facsímil</v>
      </c>
      <c r="K1374" s="3" t="s">
        <v>57</v>
      </c>
    </row>
    <row r="1375" spans="1:11" ht="42" customHeight="1">
      <c r="A1375" s="2" t="s">
        <v>4060</v>
      </c>
      <c r="B1375" s="2" t="s">
        <v>4061</v>
      </c>
      <c r="C1375" s="2" t="s">
        <v>17</v>
      </c>
      <c r="D1375" s="2" t="s">
        <v>18</v>
      </c>
      <c r="E1375" s="3" t="s">
        <v>1468</v>
      </c>
      <c r="F1375" s="3" t="s">
        <v>1469</v>
      </c>
      <c r="G1375" s="3" t="s">
        <v>104</v>
      </c>
      <c r="H1375" s="2" t="s">
        <v>55</v>
      </c>
      <c r="I1375" s="2" t="s">
        <v>4062</v>
      </c>
      <c r="J1375" s="3" t="str">
        <f>HYPERLINK("https://www.boe.es/gazeta/dias/1809/02/12/pdfs/GMD-1809-43.pdf#page=6","Abrir facsímil")</f>
        <v>Abrir facsímil</v>
      </c>
      <c r="K1375" s="3" t="s">
        <v>57</v>
      </c>
    </row>
    <row r="1376" spans="1:11" ht="42" customHeight="1">
      <c r="A1376" s="2" t="s">
        <v>4063</v>
      </c>
      <c r="B1376" s="2" t="s">
        <v>4064</v>
      </c>
      <c r="C1376" s="2" t="s">
        <v>25</v>
      </c>
      <c r="D1376" s="2" t="s">
        <v>26</v>
      </c>
      <c r="E1376" s="3" t="s">
        <v>207</v>
      </c>
      <c r="F1376" s="3" t="s">
        <v>208</v>
      </c>
      <c r="G1376" s="3" t="s">
        <v>209</v>
      </c>
      <c r="H1376" s="2" t="s">
        <v>55</v>
      </c>
      <c r="I1376" s="2" t="s">
        <v>4065</v>
      </c>
      <c r="J1376" s="3" t="str">
        <f>HYPERLINK("https://www.boe.es/gazeta/dias/1809/09/16/pdfs/GMD-1809-260.pdf#page=4","Abrir facsímil")</f>
        <v>Abrir facsímil</v>
      </c>
      <c r="K1376" s="3" t="s">
        <v>57</v>
      </c>
    </row>
    <row r="1377" spans="1:11" ht="42" customHeight="1">
      <c r="A1377" s="2" t="s">
        <v>4066</v>
      </c>
      <c r="B1377" s="2" t="s">
        <v>4067</v>
      </c>
      <c r="C1377" s="2" t="s">
        <v>17</v>
      </c>
      <c r="D1377" s="2" t="s">
        <v>18</v>
      </c>
      <c r="E1377" s="3" t="s">
        <v>864</v>
      </c>
      <c r="F1377" s="3" t="s">
        <v>865</v>
      </c>
      <c r="G1377" s="3" t="s">
        <v>225</v>
      </c>
      <c r="H1377" s="2" t="s">
        <v>55</v>
      </c>
      <c r="I1377" s="2" t="s">
        <v>4068</v>
      </c>
      <c r="J1377" s="3" t="str">
        <f>HYPERLINK("https://www.boe.es/gazeta/dias/1809/08/31/pdfs/GMD-1809-244.pdf#page=4","Abrir facsímil")</f>
        <v>Abrir facsímil</v>
      </c>
      <c r="K1377" s="3" t="s">
        <v>57</v>
      </c>
    </row>
    <row r="1378" spans="1:11" ht="42" customHeight="1">
      <c r="A1378" s="2" t="s">
        <v>4069</v>
      </c>
      <c r="B1378" s="2" t="s">
        <v>4070</v>
      </c>
      <c r="C1378" s="2" t="s">
        <v>25</v>
      </c>
      <c r="D1378" s="2" t="s">
        <v>107</v>
      </c>
      <c r="E1378" s="3" t="s">
        <v>322</v>
      </c>
      <c r="F1378" s="3" t="s">
        <v>323</v>
      </c>
      <c r="G1378" s="3" t="s">
        <v>4071</v>
      </c>
      <c r="H1378" s="2" t="s">
        <v>55</v>
      </c>
      <c r="I1378" s="2" t="s">
        <v>4072</v>
      </c>
      <c r="J1378" s="3" t="str">
        <f>HYPERLINK("https://www.boe.es/gazeta/dias/1809/07/21/pdfs/GMD-1809-202.pdf#page=2","Abrir facsímil")</f>
        <v>Abrir facsímil</v>
      </c>
      <c r="K1378" s="3" t="s">
        <v>57</v>
      </c>
    </row>
    <row r="1379" spans="1:11" ht="42" customHeight="1">
      <c r="A1379" s="2" t="s">
        <v>4073</v>
      </c>
      <c r="B1379" s="2" t="s">
        <v>4074</v>
      </c>
      <c r="C1379" s="2" t="s">
        <v>17</v>
      </c>
      <c r="D1379" s="2" t="s">
        <v>18</v>
      </c>
      <c r="E1379" s="3" t="s">
        <v>925</v>
      </c>
      <c r="F1379" s="3" t="s">
        <v>926</v>
      </c>
      <c r="G1379" s="3" t="s">
        <v>595</v>
      </c>
      <c r="H1379" s="2" t="s">
        <v>22</v>
      </c>
      <c r="I1379" s="2" t="s">
        <v>4075</v>
      </c>
      <c r="J1379" s="3" t="str">
        <f>HYPERLINK("https://www.boe.es/gazeta/dias/1809/01/11/pdfs/GGB-1809-2.pdf#page=7","Abrir facsímil")</f>
        <v>Abrir facsímil</v>
      </c>
      <c r="K1379" s="3" t="s">
        <v>24</v>
      </c>
    </row>
    <row r="1380" spans="1:11" ht="42" customHeight="1">
      <c r="A1380" s="2" t="s">
        <v>4076</v>
      </c>
      <c r="B1380" s="2" t="s">
        <v>4077</v>
      </c>
      <c r="C1380" s="2" t="s">
        <v>47</v>
      </c>
      <c r="D1380" s="2" t="s">
        <v>18</v>
      </c>
      <c r="E1380" s="3" t="s">
        <v>1803</v>
      </c>
      <c r="F1380" s="3" t="s">
        <v>1804</v>
      </c>
      <c r="G1380" s="3" t="s">
        <v>816</v>
      </c>
      <c r="H1380" s="2" t="s">
        <v>22</v>
      </c>
      <c r="I1380" s="2" t="s">
        <v>4078</v>
      </c>
      <c r="J1380" s="3" t="str">
        <f>HYPERLINK("https://www.boe.es/gazeta/dias/1809/10/12/pdfs/GMD-1809-286.pdf#page=1","Abrir facsímil")</f>
        <v>Abrir facsímil</v>
      </c>
      <c r="K1380" s="3" t="s">
        <v>24</v>
      </c>
    </row>
    <row r="1381" spans="1:11" ht="42" customHeight="1">
      <c r="A1381" s="2" t="s">
        <v>4079</v>
      </c>
      <c r="B1381" s="2" t="s">
        <v>4080</v>
      </c>
      <c r="C1381" s="2" t="s">
        <v>17</v>
      </c>
      <c r="D1381" s="2" t="s">
        <v>72</v>
      </c>
      <c r="E1381" s="3" t="s">
        <v>776</v>
      </c>
      <c r="F1381" s="3" t="s">
        <v>777</v>
      </c>
      <c r="G1381" s="3" t="s">
        <v>736</v>
      </c>
      <c r="H1381" s="2" t="s">
        <v>55</v>
      </c>
      <c r="I1381" s="2" t="s">
        <v>4081</v>
      </c>
      <c r="J1381" s="3" t="str">
        <f>HYPERLINK("https://www.boe.es/gazeta/dias/1809/05/28/pdfs/GMD-E-1809-148.pdf#page=1","Abrir facsímil")</f>
        <v>Abrir facsímil</v>
      </c>
      <c r="K1381" s="3" t="s">
        <v>57</v>
      </c>
    </row>
    <row r="1382" spans="1:11" ht="42" customHeight="1">
      <c r="A1382" s="2" t="s">
        <v>4082</v>
      </c>
      <c r="B1382" s="2" t="s">
        <v>4083</v>
      </c>
      <c r="C1382" s="2" t="s">
        <v>25</v>
      </c>
      <c r="D1382" s="2" t="s">
        <v>26</v>
      </c>
      <c r="E1382" s="3" t="s">
        <v>458</v>
      </c>
      <c r="F1382" s="3" t="s">
        <v>459</v>
      </c>
      <c r="G1382" s="3" t="s">
        <v>129</v>
      </c>
      <c r="H1382" s="2" t="s">
        <v>55</v>
      </c>
      <c r="I1382" s="2" t="s">
        <v>4084</v>
      </c>
      <c r="J1382" s="3" t="str">
        <f>HYPERLINK("https://www.boe.es/gazeta/dias/1809/03/14/pdfs/GMD-1809-73.pdf#page=2","Abrir facsímil")</f>
        <v>Abrir facsímil</v>
      </c>
      <c r="K1382" s="3" t="s">
        <v>57</v>
      </c>
    </row>
    <row r="1383" spans="1:11" ht="42" customHeight="1">
      <c r="A1383" s="2" t="s">
        <v>4085</v>
      </c>
      <c r="B1383" s="2" t="s">
        <v>4086</v>
      </c>
      <c r="C1383" s="2" t="s">
        <v>25</v>
      </c>
      <c r="D1383" s="2" t="s">
        <v>26</v>
      </c>
      <c r="E1383" s="3" t="s">
        <v>258</v>
      </c>
      <c r="F1383" s="3" t="s">
        <v>1673</v>
      </c>
      <c r="G1383" s="3" t="s">
        <v>239</v>
      </c>
      <c r="H1383" s="2" t="s">
        <v>55</v>
      </c>
      <c r="I1383" s="2" t="s">
        <v>4087</v>
      </c>
      <c r="J1383" s="3" t="str">
        <f>HYPERLINK("https://www.boe.es/gazeta/dias/1809/03/17/pdfs/GGB-G-1809-12.pdf#page=5","Abrir facsímil")</f>
        <v>Abrir facsímil</v>
      </c>
      <c r="K1383" s="3" t="s">
        <v>57</v>
      </c>
    </row>
    <row r="1384" spans="1:11" ht="42" customHeight="1">
      <c r="A1384" s="2" t="s">
        <v>4088</v>
      </c>
      <c r="B1384" s="2" t="s">
        <v>4089</v>
      </c>
      <c r="C1384" s="2" t="s">
        <v>17</v>
      </c>
      <c r="D1384" s="2" t="s">
        <v>18</v>
      </c>
      <c r="E1384" s="3" t="s">
        <v>551</v>
      </c>
      <c r="F1384" s="3" t="s">
        <v>552</v>
      </c>
      <c r="G1384" s="3" t="s">
        <v>553</v>
      </c>
      <c r="H1384" s="2" t="s">
        <v>55</v>
      </c>
      <c r="I1384" s="2" t="s">
        <v>4090</v>
      </c>
      <c r="J1384" s="3" t="str">
        <f>HYPERLINK("https://www.boe.es/gazeta/dias/1809/05/04/pdfs/GMD-1809-124.pdf#page=1","Abrir facsímil")</f>
        <v>Abrir facsímil</v>
      </c>
      <c r="K1384" s="3" t="s">
        <v>57</v>
      </c>
    </row>
    <row r="1385" spans="1:11" ht="42" customHeight="1">
      <c r="A1385" s="2" t="s">
        <v>4091</v>
      </c>
      <c r="B1385" s="2" t="s">
        <v>4092</v>
      </c>
      <c r="C1385" s="2" t="s">
        <v>25</v>
      </c>
      <c r="D1385" s="2" t="s">
        <v>107</v>
      </c>
      <c r="E1385" s="3" t="s">
        <v>1581</v>
      </c>
      <c r="F1385" s="3" t="s">
        <v>1582</v>
      </c>
      <c r="G1385" s="3" t="s">
        <v>1152</v>
      </c>
      <c r="H1385" s="2" t="s">
        <v>22</v>
      </c>
      <c r="I1385" s="2" t="s">
        <v>4093</v>
      </c>
      <c r="J1385" s="3" t="str">
        <f>HYPERLINK("https://www.boe.es/gazeta/dias/1809/05/30/pdfs/GMD-1809-150.pdf#page=2","Abrir facsímil")</f>
        <v>Abrir facsímil</v>
      </c>
      <c r="K1385" s="3" t="s">
        <v>24</v>
      </c>
    </row>
    <row r="1386" spans="1:11" ht="42" customHeight="1">
      <c r="A1386" s="2" t="s">
        <v>4094</v>
      </c>
      <c r="B1386" s="2" t="s">
        <v>4095</v>
      </c>
      <c r="C1386" s="2" t="s">
        <v>25</v>
      </c>
      <c r="D1386" s="2" t="s">
        <v>18</v>
      </c>
      <c r="E1386" s="3" t="s">
        <v>322</v>
      </c>
      <c r="F1386" s="3" t="s">
        <v>323</v>
      </c>
      <c r="G1386" s="3" t="s">
        <v>4071</v>
      </c>
      <c r="H1386" s="2" t="s">
        <v>55</v>
      </c>
      <c r="I1386" s="2" t="s">
        <v>4096</v>
      </c>
      <c r="J1386" s="3" t="str">
        <f>HYPERLINK("https://www.boe.es/gazeta/dias/1809/07/21/pdfs/GMD-1809-202.pdf#page=2","Abrir facsímil")</f>
        <v>Abrir facsímil</v>
      </c>
      <c r="K1386" s="3" t="s">
        <v>57</v>
      </c>
    </row>
    <row r="1387" spans="1:11" ht="42" customHeight="1">
      <c r="A1387" s="2" t="s">
        <v>4097</v>
      </c>
      <c r="B1387" s="2" t="s">
        <v>4098</v>
      </c>
      <c r="C1387" s="2" t="s">
        <v>25</v>
      </c>
      <c r="D1387" s="2" t="s">
        <v>26</v>
      </c>
      <c r="E1387" s="3" t="s">
        <v>81</v>
      </c>
      <c r="F1387" s="3" t="s">
        <v>82</v>
      </c>
      <c r="G1387" s="3" t="s">
        <v>120</v>
      </c>
      <c r="H1387" s="2" t="s">
        <v>55</v>
      </c>
      <c r="I1387" s="2" t="s">
        <v>4099</v>
      </c>
      <c r="J1387" s="3" t="str">
        <f>HYPERLINK("https://www.boe.es/gazeta/dias/1809/04/11/pdfs/GGB-1809-16E.pdf#page=5","Abrir facsímil")</f>
        <v>Abrir facsímil</v>
      </c>
      <c r="K1387" s="3" t="s">
        <v>57</v>
      </c>
    </row>
    <row r="1388" spans="1:11" ht="42" customHeight="1">
      <c r="A1388" s="2" t="s">
        <v>4100</v>
      </c>
      <c r="B1388" s="2" t="s">
        <v>4101</v>
      </c>
      <c r="C1388" s="2" t="s">
        <v>17</v>
      </c>
      <c r="D1388" s="2" t="s">
        <v>40</v>
      </c>
      <c r="E1388" s="3" t="s">
        <v>925</v>
      </c>
      <c r="F1388" s="3" t="s">
        <v>926</v>
      </c>
      <c r="G1388" s="3" t="s">
        <v>595</v>
      </c>
      <c r="H1388" s="2" t="s">
        <v>22</v>
      </c>
      <c r="I1388" s="2" t="s">
        <v>4102</v>
      </c>
      <c r="J1388" s="3" t="str">
        <f>HYPERLINK("https://www.boe.es/gazeta/dias/1809/01/11/pdfs/GGB-1809-2.pdf#page=7","Abrir facsímil")</f>
        <v>Abrir facsímil</v>
      </c>
      <c r="K1388" s="3" t="s">
        <v>24</v>
      </c>
    </row>
    <row r="1389" spans="1:11" ht="42" customHeight="1">
      <c r="A1389" s="2" t="s">
        <v>4103</v>
      </c>
      <c r="B1389" s="2" t="s">
        <v>4104</v>
      </c>
      <c r="C1389" s="2" t="s">
        <v>288</v>
      </c>
      <c r="D1389" s="2" t="s">
        <v>72</v>
      </c>
      <c r="E1389" s="3" t="s">
        <v>720</v>
      </c>
      <c r="F1389" s="3" t="s">
        <v>721</v>
      </c>
      <c r="G1389" s="3" t="s">
        <v>234</v>
      </c>
      <c r="H1389" s="2" t="s">
        <v>55</v>
      </c>
      <c r="I1389" s="2" t="s">
        <v>4105</v>
      </c>
      <c r="J1389" s="3" t="str">
        <f>HYPERLINK("https://www.boe.es/gazeta/dias/1809/01/27/pdfs/GGB-G-1809-5.pdf#page=7","Abrir facsímil")</f>
        <v>Abrir facsímil</v>
      </c>
      <c r="K1389" s="3" t="s">
        <v>57</v>
      </c>
    </row>
    <row r="1390" spans="1:11" ht="42" customHeight="1">
      <c r="A1390" s="2" t="s">
        <v>4106</v>
      </c>
      <c r="B1390" s="2" t="s">
        <v>4107</v>
      </c>
      <c r="C1390" s="2" t="s">
        <v>47</v>
      </c>
      <c r="D1390" s="2" t="s">
        <v>18</v>
      </c>
      <c r="E1390" s="3" t="s">
        <v>60</v>
      </c>
      <c r="F1390" s="3" t="s">
        <v>61</v>
      </c>
      <c r="G1390" s="3" t="s">
        <v>62</v>
      </c>
      <c r="H1390" s="2" t="s">
        <v>55</v>
      </c>
      <c r="I1390" s="2" t="s">
        <v>4108</v>
      </c>
      <c r="J1390" s="3" t="str">
        <f>HYPERLINK("https://www.boe.es/gazeta/dias/1809/02/07/pdfs/GMD-1809-38.pdf#page=4","Abrir facsímil")</f>
        <v>Abrir facsímil</v>
      </c>
      <c r="K1390" s="3" t="s">
        <v>57</v>
      </c>
    </row>
    <row r="1391" spans="1:11" ht="42" customHeight="1">
      <c r="A1391" s="2" t="s">
        <v>4109</v>
      </c>
      <c r="B1391" s="2" t="s">
        <v>4110</v>
      </c>
      <c r="C1391" s="2" t="s">
        <v>17</v>
      </c>
      <c r="D1391" s="2" t="s">
        <v>18</v>
      </c>
      <c r="E1391" s="3" t="s">
        <v>925</v>
      </c>
      <c r="F1391" s="3" t="s">
        <v>926</v>
      </c>
      <c r="G1391" s="3" t="s">
        <v>595</v>
      </c>
      <c r="H1391" s="2" t="s">
        <v>55</v>
      </c>
      <c r="I1391" s="2" t="s">
        <v>4111</v>
      </c>
      <c r="J1391" s="3" t="str">
        <f>HYPERLINK("https://www.boe.es/gazeta/dias/1809/01/11/pdfs/GGB-1809-2.pdf#page=7","Abrir facsímil")</f>
        <v>Abrir facsímil</v>
      </c>
      <c r="K1391" s="3" t="s">
        <v>57</v>
      </c>
    </row>
    <row r="1392" spans="1:11" ht="42" customHeight="1">
      <c r="A1392" s="2" t="s">
        <v>4112</v>
      </c>
      <c r="B1392" s="2" t="s">
        <v>4113</v>
      </c>
      <c r="C1392" s="2" t="s">
        <v>288</v>
      </c>
      <c r="D1392" s="2" t="s">
        <v>18</v>
      </c>
      <c r="E1392" s="3" t="s">
        <v>1282</v>
      </c>
      <c r="F1392" s="3" t="s">
        <v>1283</v>
      </c>
      <c r="G1392" s="3" t="s">
        <v>4114</v>
      </c>
      <c r="H1392" s="2" t="s">
        <v>55</v>
      </c>
      <c r="I1392" s="2" t="s">
        <v>4115</v>
      </c>
      <c r="J1392" s="3" t="str">
        <f>HYPERLINK("https://www.boe.es/gazeta/dias/1809/06/26/pdfs/GGB-1809-40.pdf#page=12","Abrir facsímil")</f>
        <v>Abrir facsímil</v>
      </c>
      <c r="K1392" s="3" t="s">
        <v>57</v>
      </c>
    </row>
    <row r="1393" spans="1:11" ht="42" customHeight="1">
      <c r="A1393" s="2" t="s">
        <v>4116</v>
      </c>
      <c r="B1393" s="2" t="s">
        <v>4117</v>
      </c>
      <c r="C1393" s="2" t="s">
        <v>17</v>
      </c>
      <c r="D1393" s="2" t="s">
        <v>18</v>
      </c>
      <c r="E1393" s="3" t="s">
        <v>523</v>
      </c>
      <c r="F1393" s="3" t="s">
        <v>524</v>
      </c>
      <c r="G1393" s="3" t="s">
        <v>914</v>
      </c>
      <c r="H1393" s="2" t="s">
        <v>55</v>
      </c>
      <c r="I1393" s="2" t="s">
        <v>4118</v>
      </c>
      <c r="J1393" s="3" t="str">
        <f>HYPERLINK("https://www.boe.es/gazeta/dias/1809/02/14/pdfs/GMD-1809-45.pdf#page=4","Abrir facsímil")</f>
        <v>Abrir facsímil</v>
      </c>
      <c r="K1393" s="3" t="s">
        <v>57</v>
      </c>
    </row>
    <row r="1394" spans="1:11" ht="42" customHeight="1">
      <c r="A1394" s="2" t="s">
        <v>4119</v>
      </c>
      <c r="B1394" s="2" t="s">
        <v>4120</v>
      </c>
      <c r="C1394" s="2" t="s">
        <v>25</v>
      </c>
      <c r="D1394" s="2" t="s">
        <v>26</v>
      </c>
      <c r="E1394" s="3" t="s">
        <v>163</v>
      </c>
      <c r="F1394" s="3" t="s">
        <v>478</v>
      </c>
      <c r="G1394" s="3" t="s">
        <v>75</v>
      </c>
      <c r="H1394" s="2" t="s">
        <v>55</v>
      </c>
      <c r="I1394" s="2" t="s">
        <v>4121</v>
      </c>
      <c r="J1394" s="3" t="str">
        <f>HYPERLINK("https://www.boe.es/gazeta/dias/1809/03/10/pdfs/GGB-1809-11.pdf#page=14","Abrir facsímil")</f>
        <v>Abrir facsímil</v>
      </c>
      <c r="K1394" s="3" t="s">
        <v>57</v>
      </c>
    </row>
    <row r="1395" spans="1:11" ht="42" customHeight="1">
      <c r="A1395" s="2" t="s">
        <v>4122</v>
      </c>
      <c r="B1395" s="2" t="s">
        <v>4123</v>
      </c>
      <c r="C1395" s="2" t="s">
        <v>17</v>
      </c>
      <c r="D1395" s="2" t="s">
        <v>107</v>
      </c>
      <c r="E1395" s="3" t="s">
        <v>1206</v>
      </c>
      <c r="F1395" s="3" t="s">
        <v>1612</v>
      </c>
      <c r="G1395" s="3" t="s">
        <v>62</v>
      </c>
      <c r="H1395" s="2" t="s">
        <v>55</v>
      </c>
      <c r="I1395" s="2" t="s">
        <v>4124</v>
      </c>
      <c r="J1395" s="3" t="str">
        <f>HYPERLINK("https://www.boe.es/gazeta/dias/1809/09/23/pdfs/GMD-1809-267.pdf#page=3","Abrir facsímil")</f>
        <v>Abrir facsímil</v>
      </c>
      <c r="K1395" s="3" t="s">
        <v>57</v>
      </c>
    </row>
    <row r="1396" spans="1:11" ht="42" customHeight="1">
      <c r="A1396" s="2" t="s">
        <v>4125</v>
      </c>
      <c r="B1396" s="2" t="s">
        <v>4126</v>
      </c>
      <c r="C1396" s="2" t="s">
        <v>17</v>
      </c>
      <c r="D1396" s="2" t="s">
        <v>18</v>
      </c>
      <c r="E1396" s="3" t="s">
        <v>33</v>
      </c>
      <c r="F1396" s="3" t="s">
        <v>34</v>
      </c>
      <c r="G1396" s="3" t="s">
        <v>595</v>
      </c>
      <c r="H1396" s="2" t="s">
        <v>55</v>
      </c>
      <c r="I1396" s="2" t="s">
        <v>4127</v>
      </c>
      <c r="J1396" s="3" t="str">
        <f>HYPERLINK("https://www.boe.es/gazeta/dias/1809/12/19/pdfs/GGB-1809-602.pdf#page=7","Abrir facsímil")</f>
        <v>Abrir facsímil</v>
      </c>
      <c r="K1396" s="3" t="s">
        <v>57</v>
      </c>
    </row>
    <row r="1397" spans="1:11" ht="42" customHeight="1">
      <c r="A1397" s="2" t="s">
        <v>4128</v>
      </c>
      <c r="B1397" s="2" t="s">
        <v>4129</v>
      </c>
      <c r="C1397" s="2" t="s">
        <v>131</v>
      </c>
      <c r="D1397" s="2" t="s">
        <v>18</v>
      </c>
      <c r="E1397" s="3" t="s">
        <v>2060</v>
      </c>
      <c r="F1397" s="3" t="s">
        <v>2061</v>
      </c>
      <c r="G1397" s="3" t="s">
        <v>110</v>
      </c>
      <c r="H1397" s="2" t="s">
        <v>55</v>
      </c>
      <c r="I1397" s="2" t="s">
        <v>4130</v>
      </c>
      <c r="J1397" s="3" t="str">
        <f>HYPERLINK("https://www.boe.es/gazeta/dias/1809/07/18/pdfs/GGB-1809-46.pdf#page=12","Abrir facsímil")</f>
        <v>Abrir facsímil</v>
      </c>
      <c r="K1397" s="3" t="s">
        <v>57</v>
      </c>
    </row>
    <row r="1398" spans="1:11" ht="42" customHeight="1">
      <c r="A1398" s="2" t="s">
        <v>4128</v>
      </c>
      <c r="B1398" s="2" t="s">
        <v>4129</v>
      </c>
      <c r="C1398" s="2" t="s">
        <v>39</v>
      </c>
      <c r="D1398" s="2" t="s">
        <v>80</v>
      </c>
      <c r="E1398" s="3" t="s">
        <v>248</v>
      </c>
      <c r="F1398" s="3" t="s">
        <v>249</v>
      </c>
      <c r="G1398" s="3" t="s">
        <v>169</v>
      </c>
      <c r="H1398" s="2" t="s">
        <v>55</v>
      </c>
      <c r="I1398" s="2" t="s">
        <v>4131</v>
      </c>
      <c r="J1398" s="3" t="str">
        <f>HYPERLINK("https://www.boe.es/gazeta/dias/1809/07/26/pdfs/GGB-1809-48E.pdf#page=11","Abrir facsímil")</f>
        <v>Abrir facsímil</v>
      </c>
      <c r="K1398" s="3" t="s">
        <v>57</v>
      </c>
    </row>
    <row r="1399" spans="1:11" ht="42" customHeight="1">
      <c r="A1399" s="2" t="s">
        <v>4128</v>
      </c>
      <c r="B1399" s="2" t="s">
        <v>4129</v>
      </c>
      <c r="C1399" s="2" t="s">
        <v>131</v>
      </c>
      <c r="D1399" s="2" t="s">
        <v>18</v>
      </c>
      <c r="E1399" s="3" t="s">
        <v>73</v>
      </c>
      <c r="F1399" s="3" t="s">
        <v>822</v>
      </c>
      <c r="G1399" s="3" t="s">
        <v>2147</v>
      </c>
      <c r="H1399" s="2" t="s">
        <v>55</v>
      </c>
      <c r="I1399" s="2" t="s">
        <v>4132</v>
      </c>
      <c r="J1399" s="3" t="str">
        <f>HYPERLINK("https://www.boe.es/gazeta/dias/1809/09/21/pdfs/GGB-1809-222.pdf#page=7","Abrir facsímil")</f>
        <v>Abrir facsímil</v>
      </c>
      <c r="K1399" s="3" t="s">
        <v>57</v>
      </c>
    </row>
    <row r="1400" spans="1:11" ht="42" customHeight="1">
      <c r="A1400" s="2" t="s">
        <v>4133</v>
      </c>
      <c r="B1400" s="2" t="s">
        <v>4134</v>
      </c>
      <c r="C1400" s="2" t="s">
        <v>39</v>
      </c>
      <c r="D1400" s="2" t="s">
        <v>18</v>
      </c>
      <c r="E1400" s="3" t="s">
        <v>207</v>
      </c>
      <c r="F1400" s="3" t="s">
        <v>208</v>
      </c>
      <c r="G1400" s="3" t="s">
        <v>209</v>
      </c>
      <c r="H1400" s="2" t="s">
        <v>55</v>
      </c>
      <c r="I1400" s="2" t="s">
        <v>4135</v>
      </c>
      <c r="J1400" s="3" t="str">
        <f>HYPERLINK("https://www.boe.es/gazeta/dias/1809/09/16/pdfs/GMD-1809-260.pdf#page=4","Abrir facsímil")</f>
        <v>Abrir facsímil</v>
      </c>
      <c r="K1400" s="3" t="s">
        <v>57</v>
      </c>
    </row>
    <row r="1401" spans="1:11" ht="42" customHeight="1">
      <c r="A1401" s="2" t="s">
        <v>4136</v>
      </c>
      <c r="B1401" s="2" t="s">
        <v>4137</v>
      </c>
      <c r="C1401" s="2" t="s">
        <v>17</v>
      </c>
      <c r="D1401" s="2" t="s">
        <v>18</v>
      </c>
      <c r="E1401" s="3" t="s">
        <v>1865</v>
      </c>
      <c r="F1401" s="3" t="s">
        <v>4138</v>
      </c>
      <c r="G1401" s="3" t="s">
        <v>4139</v>
      </c>
      <c r="H1401" s="2" t="s">
        <v>55</v>
      </c>
      <c r="I1401" s="2" t="s">
        <v>4140</v>
      </c>
      <c r="J1401" s="3" t="str">
        <f>HYPERLINK("https://www.boe.es/gazeta/dias/1809/08/08/pdfs/GMD-1809-221.pdf#page=2","Abrir facsímil")</f>
        <v>Abrir facsímil</v>
      </c>
      <c r="K1401" s="3" t="s">
        <v>57</v>
      </c>
    </row>
    <row r="1402" spans="1:11" ht="42" customHeight="1">
      <c r="A1402" s="2" t="s">
        <v>4141</v>
      </c>
      <c r="B1402" s="2" t="s">
        <v>4142</v>
      </c>
      <c r="C1402" s="2" t="s">
        <v>369</v>
      </c>
      <c r="D1402" s="2" t="s">
        <v>18</v>
      </c>
      <c r="E1402" s="3" t="s">
        <v>1468</v>
      </c>
      <c r="F1402" s="3" t="s">
        <v>1469</v>
      </c>
      <c r="G1402" s="3" t="s">
        <v>595</v>
      </c>
      <c r="H1402" s="2" t="s">
        <v>55</v>
      </c>
      <c r="I1402" s="2" t="s">
        <v>4143</v>
      </c>
      <c r="J1402" s="3" t="str">
        <f>HYPERLINK("https://www.boe.es/gazeta/dias/1809/02/12/pdfs/GMD-1809-43.pdf#page=7","Abrir facsímil")</f>
        <v>Abrir facsímil</v>
      </c>
      <c r="K1402" s="3" t="s">
        <v>57</v>
      </c>
    </row>
    <row r="1403" spans="1:11" ht="42" customHeight="1">
      <c r="A1403" s="2" t="s">
        <v>4144</v>
      </c>
      <c r="B1403" s="2" t="s">
        <v>4145</v>
      </c>
      <c r="C1403" s="2" t="s">
        <v>17</v>
      </c>
      <c r="D1403" s="2" t="s">
        <v>72</v>
      </c>
      <c r="E1403" s="3" t="s">
        <v>776</v>
      </c>
      <c r="F1403" s="3" t="s">
        <v>777</v>
      </c>
      <c r="G1403" s="3" t="s">
        <v>736</v>
      </c>
      <c r="H1403" s="2" t="s">
        <v>55</v>
      </c>
      <c r="I1403" s="2" t="s">
        <v>4146</v>
      </c>
      <c r="J1403" s="3" t="str">
        <f>HYPERLINK("https://www.boe.es/gazeta/dias/1809/05/28/pdfs/GMD-E-1809-148.pdf#page=1","Abrir facsímil")</f>
        <v>Abrir facsímil</v>
      </c>
      <c r="K1403" s="3" t="s">
        <v>57</v>
      </c>
    </row>
    <row r="1404" spans="1:11" ht="42" customHeight="1">
      <c r="A1404" s="2" t="s">
        <v>4147</v>
      </c>
      <c r="B1404" s="2" t="s">
        <v>4148</v>
      </c>
      <c r="C1404" s="2" t="s">
        <v>17</v>
      </c>
      <c r="D1404" s="2" t="s">
        <v>18</v>
      </c>
      <c r="E1404" s="3" t="s">
        <v>163</v>
      </c>
      <c r="F1404" s="3" t="s">
        <v>478</v>
      </c>
      <c r="G1404" s="3" t="s">
        <v>75</v>
      </c>
      <c r="H1404" s="2" t="s">
        <v>55</v>
      </c>
      <c r="I1404" s="2" t="s">
        <v>4149</v>
      </c>
      <c r="J1404" s="3" t="str">
        <f>HYPERLINK("https://www.boe.es/gazeta/dias/1809/03/10/pdfs/GGB-1809-11.pdf#page=14","Abrir facsímil")</f>
        <v>Abrir facsímil</v>
      </c>
      <c r="K1404" s="3" t="s">
        <v>57</v>
      </c>
    </row>
    <row r="1405" spans="1:11" ht="42" customHeight="1">
      <c r="A1405" s="2" t="s">
        <v>4150</v>
      </c>
      <c r="B1405" s="2" t="s">
        <v>4151</v>
      </c>
      <c r="C1405" s="2" t="s">
        <v>47</v>
      </c>
      <c r="D1405" s="2" t="s">
        <v>80</v>
      </c>
      <c r="E1405" s="3" t="s">
        <v>776</v>
      </c>
      <c r="F1405" s="3" t="s">
        <v>1485</v>
      </c>
      <c r="G1405" s="3" t="s">
        <v>120</v>
      </c>
      <c r="H1405" s="2" t="s">
        <v>55</v>
      </c>
      <c r="I1405" s="2" t="s">
        <v>4152</v>
      </c>
      <c r="J1405" s="3" t="str">
        <f>HYPERLINK("https://www.boe.es/gazeta/dias/1809/05/28/pdfs/GGB-1809-31E2.pdf#page=1","Abrir facsímil")</f>
        <v>Abrir facsímil</v>
      </c>
      <c r="K1405" s="3" t="s">
        <v>57</v>
      </c>
    </row>
    <row r="1406" spans="1:11" ht="42" customHeight="1">
      <c r="A1406" s="2" t="s">
        <v>4153</v>
      </c>
      <c r="B1406" s="2" t="s">
        <v>4154</v>
      </c>
      <c r="C1406" s="2" t="s">
        <v>17</v>
      </c>
      <c r="D1406" s="2" t="s">
        <v>80</v>
      </c>
      <c r="E1406" s="3" t="s">
        <v>776</v>
      </c>
      <c r="F1406" s="3" t="s">
        <v>1485</v>
      </c>
      <c r="G1406" s="3" t="s">
        <v>129</v>
      </c>
      <c r="H1406" s="2" t="s">
        <v>55</v>
      </c>
      <c r="I1406" s="2" t="s">
        <v>4155</v>
      </c>
      <c r="J1406" s="3" t="str">
        <f>HYPERLINK("https://www.boe.es/gazeta/dias/1809/05/28/pdfs/GGB-1809-31E2.pdf#page=2","Abrir facsímil")</f>
        <v>Abrir facsímil</v>
      </c>
      <c r="K1406" s="3" t="s">
        <v>57</v>
      </c>
    </row>
    <row r="1407" spans="1:11" ht="42" customHeight="1">
      <c r="A1407" s="2" t="s">
        <v>4156</v>
      </c>
      <c r="B1407" s="2" t="s">
        <v>4157</v>
      </c>
      <c r="C1407" s="2" t="s">
        <v>17</v>
      </c>
      <c r="D1407" s="2" t="s">
        <v>18</v>
      </c>
      <c r="E1407" s="3" t="s">
        <v>599</v>
      </c>
      <c r="F1407" s="3" t="s">
        <v>600</v>
      </c>
      <c r="G1407" s="3" t="s">
        <v>601</v>
      </c>
      <c r="H1407" s="2" t="s">
        <v>55</v>
      </c>
      <c r="I1407" s="2" t="s">
        <v>4158</v>
      </c>
      <c r="J1407" s="3" t="str">
        <f>HYPERLINK("https://www.boe.es/gazeta/dias/1809/01/19/pdfs/GMD-1809-19.pdf#page=4","Abrir facsímil")</f>
        <v>Abrir facsímil</v>
      </c>
      <c r="K1407" s="3" t="s">
        <v>57</v>
      </c>
    </row>
    <row r="1408" spans="1:11" ht="42" customHeight="1">
      <c r="A1408" s="2" t="s">
        <v>4159</v>
      </c>
      <c r="B1408" s="2" t="s">
        <v>4160</v>
      </c>
      <c r="C1408" s="2" t="s">
        <v>288</v>
      </c>
      <c r="D1408" s="2" t="s">
        <v>18</v>
      </c>
      <c r="E1408" s="3" t="s">
        <v>2244</v>
      </c>
      <c r="F1408" s="3" t="s">
        <v>2245</v>
      </c>
      <c r="G1408" s="3" t="s">
        <v>3015</v>
      </c>
      <c r="H1408" s="2" t="s">
        <v>55</v>
      </c>
      <c r="I1408" s="2" t="s">
        <v>4161</v>
      </c>
      <c r="J1408" s="3" t="str">
        <f>HYPERLINK("https://www.boe.es/gazeta/dias/1809/03/27/pdfs/GGB-1809-13B.pdf#page=8","Abrir facsímil")</f>
        <v>Abrir facsímil</v>
      </c>
      <c r="K1408" s="3" t="s">
        <v>57</v>
      </c>
    </row>
    <row r="1409" spans="1:11" ht="42" customHeight="1">
      <c r="A1409" s="2" t="s">
        <v>4162</v>
      </c>
      <c r="B1409" s="2" t="s">
        <v>4163</v>
      </c>
      <c r="C1409" s="2" t="s">
        <v>79</v>
      </c>
      <c r="D1409" s="2" t="s">
        <v>72</v>
      </c>
      <c r="E1409" s="3" t="s">
        <v>2599</v>
      </c>
      <c r="F1409" s="3" t="s">
        <v>3377</v>
      </c>
      <c r="G1409" s="3" t="s">
        <v>2422</v>
      </c>
      <c r="H1409" s="2" t="s">
        <v>55</v>
      </c>
      <c r="I1409" s="2" t="s">
        <v>4164</v>
      </c>
      <c r="J1409" s="3" t="str">
        <f>HYPERLINK("https://www.boe.es/gazeta/dias/1809/05/11/pdfs/GMD-E-1809-131.pdf#page=1","Abrir facsímil")</f>
        <v>Abrir facsímil</v>
      </c>
      <c r="K1409" s="3" t="s">
        <v>57</v>
      </c>
    </row>
    <row r="1410" spans="1:11" ht="42" customHeight="1">
      <c r="A1410" s="2" t="s">
        <v>4165</v>
      </c>
      <c r="B1410" s="2" t="s">
        <v>4166</v>
      </c>
      <c r="C1410" s="2" t="s">
        <v>25</v>
      </c>
      <c r="D1410" s="2" t="s">
        <v>26</v>
      </c>
      <c r="E1410" s="3" t="s">
        <v>143</v>
      </c>
      <c r="F1410" s="3" t="s">
        <v>705</v>
      </c>
      <c r="G1410" s="3" t="s">
        <v>260</v>
      </c>
      <c r="H1410" s="2" t="s">
        <v>55</v>
      </c>
      <c r="I1410" s="2" t="s">
        <v>4167</v>
      </c>
      <c r="J1410" s="3" t="str">
        <f>HYPERLINK("https://www.boe.es/gazeta/dias/1809/11/16/pdfs/GGB-H-1809-462.pdf#page=7","Abrir facsímil")</f>
        <v>Abrir facsímil</v>
      </c>
      <c r="K1410" s="3" t="s">
        <v>57</v>
      </c>
    </row>
    <row r="1411" spans="1:11" ht="42" customHeight="1">
      <c r="A1411" s="2" t="s">
        <v>4168</v>
      </c>
      <c r="B1411" s="2" t="s">
        <v>4169</v>
      </c>
      <c r="C1411" s="2" t="s">
        <v>131</v>
      </c>
      <c r="D1411" s="2" t="s">
        <v>18</v>
      </c>
      <c r="E1411" s="3" t="s">
        <v>4170</v>
      </c>
      <c r="F1411" s="3" t="s">
        <v>4171</v>
      </c>
      <c r="G1411" s="3" t="s">
        <v>4172</v>
      </c>
      <c r="H1411" s="2" t="s">
        <v>55</v>
      </c>
      <c r="I1411" s="2" t="s">
        <v>4173</v>
      </c>
      <c r="J1411" s="3" t="str">
        <f>HYPERLINK("https://www.boe.es/gazeta/dias/1809/01/30/pdfs/GMD-1809-30.pdf#page=4","Abrir facsímil")</f>
        <v>Abrir facsímil</v>
      </c>
      <c r="K1411" s="3" t="s">
        <v>57</v>
      </c>
    </row>
    <row r="1412" spans="1:11" ht="42" customHeight="1">
      <c r="A1412" s="2" t="s">
        <v>4174</v>
      </c>
      <c r="B1412" s="2" t="s">
        <v>4175</v>
      </c>
      <c r="C1412" s="2" t="s">
        <v>25</v>
      </c>
      <c r="D1412" s="2" t="s">
        <v>72</v>
      </c>
      <c r="E1412" s="3" t="s">
        <v>1396</v>
      </c>
      <c r="F1412" s="3" t="s">
        <v>2370</v>
      </c>
      <c r="G1412" s="3" t="s">
        <v>4176</v>
      </c>
      <c r="H1412" s="2" t="s">
        <v>55</v>
      </c>
      <c r="I1412" s="2" t="s">
        <v>4177</v>
      </c>
      <c r="J1412" s="3" t="str">
        <f>HYPERLINK("https://www.boe.es/gazeta/dias/1809/11/28/pdfs/GGB-H-1809-512.pdf#page=4","Abrir facsímil")</f>
        <v>Abrir facsímil</v>
      </c>
      <c r="K1412" s="3" t="s">
        <v>57</v>
      </c>
    </row>
    <row r="1413" spans="1:11" ht="42" customHeight="1">
      <c r="A1413" s="2" t="s">
        <v>4178</v>
      </c>
      <c r="B1413" s="2" t="s">
        <v>4179</v>
      </c>
      <c r="C1413" s="2" t="s">
        <v>25</v>
      </c>
      <c r="D1413" s="2" t="s">
        <v>26</v>
      </c>
      <c r="E1413" s="3" t="s">
        <v>432</v>
      </c>
      <c r="F1413" s="3" t="s">
        <v>1525</v>
      </c>
      <c r="G1413" s="3" t="s">
        <v>29</v>
      </c>
      <c r="H1413" s="2" t="s">
        <v>55</v>
      </c>
      <c r="I1413" s="2" t="s">
        <v>4180</v>
      </c>
      <c r="J1413" s="3" t="str">
        <f>HYPERLINK("https://www.boe.es/gazeta/dias/1809/07/11/pdfs/GGB-1809-44.pdf#page=3","Abrir facsímil")</f>
        <v>Abrir facsímil</v>
      </c>
      <c r="K1413" s="3" t="s">
        <v>57</v>
      </c>
    </row>
    <row r="1414" spans="1:11" ht="42" customHeight="1">
      <c r="A1414" s="2" t="s">
        <v>4181</v>
      </c>
      <c r="B1414" s="2" t="s">
        <v>4182</v>
      </c>
      <c r="C1414" s="2" t="s">
        <v>25</v>
      </c>
      <c r="D1414" s="2" t="s">
        <v>107</v>
      </c>
      <c r="E1414" s="3" t="s">
        <v>3096</v>
      </c>
      <c r="F1414" s="3" t="s">
        <v>4183</v>
      </c>
      <c r="G1414" s="3" t="s">
        <v>4184</v>
      </c>
      <c r="H1414" s="2" t="s">
        <v>55</v>
      </c>
      <c r="I1414" s="2" t="s">
        <v>4185</v>
      </c>
      <c r="J1414" s="3" t="str">
        <f>HYPERLINK("https://www.boe.es/gazeta/dias/1809/08/14/pdfs/GMD-1809-227.pdf#page=2","Abrir facsímil")</f>
        <v>Abrir facsímil</v>
      </c>
      <c r="K1414" s="3" t="s">
        <v>57</v>
      </c>
    </row>
    <row r="1415" spans="1:11" ht="42" customHeight="1">
      <c r="A1415" s="2" t="s">
        <v>4186</v>
      </c>
      <c r="B1415" s="2" t="s">
        <v>4187</v>
      </c>
      <c r="C1415" s="2" t="s">
        <v>25</v>
      </c>
      <c r="D1415" s="2" t="s">
        <v>26</v>
      </c>
      <c r="E1415" s="3" t="s">
        <v>1396</v>
      </c>
      <c r="F1415" s="3" t="s">
        <v>1397</v>
      </c>
      <c r="G1415" s="3" t="s">
        <v>186</v>
      </c>
      <c r="H1415" s="2" t="s">
        <v>55</v>
      </c>
      <c r="I1415" s="2" t="s">
        <v>4188</v>
      </c>
      <c r="J1415" s="3" t="str">
        <f>HYPERLINK("https://www.boe.es/gazeta/dias/1809/11/28/pdfs/GGB-1809-512.pdf#page=1","Abrir facsímil")</f>
        <v>Abrir facsímil</v>
      </c>
      <c r="K1415" s="3" t="s">
        <v>57</v>
      </c>
    </row>
    <row r="1416" spans="1:11" ht="42" customHeight="1">
      <c r="A1416" s="2" t="s">
        <v>4189</v>
      </c>
      <c r="B1416" s="2" t="s">
        <v>4190</v>
      </c>
      <c r="C1416" s="2" t="s">
        <v>47</v>
      </c>
      <c r="D1416" s="2" t="s">
        <v>107</v>
      </c>
      <c r="E1416" s="3" t="s">
        <v>515</v>
      </c>
      <c r="F1416" s="3" t="s">
        <v>3947</v>
      </c>
      <c r="G1416" s="3" t="s">
        <v>340</v>
      </c>
      <c r="H1416" s="2" t="s">
        <v>55</v>
      </c>
      <c r="I1416" s="2" t="s">
        <v>4191</v>
      </c>
      <c r="J1416" s="3" t="str">
        <f>HYPERLINK("https://www.boe.es/gazeta/dias/1809/09/02/pdfs/GGB-1809-142.pdf#page=2","Abrir facsímil")</f>
        <v>Abrir facsímil</v>
      </c>
      <c r="K1416" s="3" t="s">
        <v>57</v>
      </c>
    </row>
    <row r="1417" spans="1:11" ht="42" customHeight="1">
      <c r="A1417" s="2" t="s">
        <v>4192</v>
      </c>
      <c r="B1417" s="2" t="s">
        <v>4193</v>
      </c>
      <c r="C1417" s="2" t="s">
        <v>25</v>
      </c>
      <c r="D1417" s="2" t="s">
        <v>26</v>
      </c>
      <c r="E1417" s="3" t="s">
        <v>1439</v>
      </c>
      <c r="F1417" s="3" t="s">
        <v>1440</v>
      </c>
      <c r="G1417" s="3" t="s">
        <v>1441</v>
      </c>
      <c r="H1417" s="2" t="s">
        <v>55</v>
      </c>
      <c r="I1417" s="2" t="s">
        <v>4194</v>
      </c>
      <c r="J1417" s="3" t="str">
        <f>HYPERLINK("https://www.boe.es/gazeta/dias/1809/12/06/pdfs/GMD-1809-341.pdf#page=2","Abrir facsímil")</f>
        <v>Abrir facsímil</v>
      </c>
      <c r="K1417" s="3" t="s">
        <v>57</v>
      </c>
    </row>
    <row r="1418" spans="1:11" ht="42" customHeight="1">
      <c r="A1418" s="2" t="s">
        <v>4195</v>
      </c>
      <c r="B1418" s="2" t="s">
        <v>4196</v>
      </c>
      <c r="C1418" s="2" t="s">
        <v>25</v>
      </c>
      <c r="D1418" s="2" t="s">
        <v>18</v>
      </c>
      <c r="E1418" s="3" t="s">
        <v>1563</v>
      </c>
      <c r="F1418" s="3" t="s">
        <v>1564</v>
      </c>
      <c r="G1418" s="3" t="s">
        <v>120</v>
      </c>
      <c r="H1418" s="2" t="s">
        <v>55</v>
      </c>
      <c r="I1418" s="2" t="s">
        <v>4197</v>
      </c>
      <c r="J1418" s="3" t="str">
        <f>HYPERLINK("https://www.boe.es/gazeta/dias/1809/07/29/pdfs/GMD-1809-211.pdf#page=2","Abrir facsímil")</f>
        <v>Abrir facsímil</v>
      </c>
      <c r="K1418" s="3" t="s">
        <v>57</v>
      </c>
    </row>
    <row r="1419" spans="1:11" ht="42" customHeight="1">
      <c r="A1419" s="2" t="s">
        <v>4195</v>
      </c>
      <c r="B1419" s="2" t="s">
        <v>4196</v>
      </c>
      <c r="C1419" s="2" t="s">
        <v>25</v>
      </c>
      <c r="D1419" s="2" t="s">
        <v>26</v>
      </c>
      <c r="E1419" s="3" t="s">
        <v>4198</v>
      </c>
      <c r="F1419" s="3" t="s">
        <v>4199</v>
      </c>
      <c r="G1419" s="3" t="s">
        <v>4200</v>
      </c>
      <c r="H1419" s="2" t="s">
        <v>55</v>
      </c>
      <c r="I1419" s="2" t="s">
        <v>4201</v>
      </c>
      <c r="J1419" s="3" t="str">
        <f>HYPERLINK("https://www.boe.es/gazeta/dias/1809/11/20/pdfs/GMD-1809-325.pdf#page=1","Abrir facsímil")</f>
        <v>Abrir facsímil</v>
      </c>
      <c r="K1419" s="3" t="s">
        <v>57</v>
      </c>
    </row>
    <row r="1420" spans="1:11" ht="42" customHeight="1">
      <c r="A1420" s="2" t="s">
        <v>4195</v>
      </c>
      <c r="B1420" s="2" t="s">
        <v>4196</v>
      </c>
      <c r="C1420" s="2" t="s">
        <v>25</v>
      </c>
      <c r="D1420" s="2" t="s">
        <v>26</v>
      </c>
      <c r="E1420" s="3" t="s">
        <v>1396</v>
      </c>
      <c r="F1420" s="3" t="s">
        <v>1397</v>
      </c>
      <c r="G1420" s="3" t="s">
        <v>186</v>
      </c>
      <c r="H1420" s="2" t="s">
        <v>55</v>
      </c>
      <c r="I1420" s="2" t="s">
        <v>4202</v>
      </c>
      <c r="J1420" s="3" t="str">
        <f>HYPERLINK("https://www.boe.es/gazeta/dias/1809/11/28/pdfs/GGB-1809-512.pdf#page=1","Abrir facsímil")</f>
        <v>Abrir facsímil</v>
      </c>
      <c r="K1420" s="3" t="s">
        <v>57</v>
      </c>
    </row>
    <row r="1421" spans="1:11" ht="42" customHeight="1">
      <c r="A1421" s="2" t="s">
        <v>4203</v>
      </c>
      <c r="B1421" s="2" t="s">
        <v>4204</v>
      </c>
      <c r="C1421" s="2" t="s">
        <v>17</v>
      </c>
      <c r="D1421" s="2" t="s">
        <v>18</v>
      </c>
      <c r="E1421" s="3" t="s">
        <v>3714</v>
      </c>
      <c r="F1421" s="3" t="s">
        <v>4205</v>
      </c>
      <c r="G1421" s="3" t="s">
        <v>2232</v>
      </c>
      <c r="H1421" s="2" t="s">
        <v>55</v>
      </c>
      <c r="I1421" s="2" t="s">
        <v>4206</v>
      </c>
      <c r="J1421" s="3" t="str">
        <f>HYPERLINK("https://www.boe.es/gazeta/dias/1809/12/07/pdfs/GGB-1809-552.pdf#page=7","Abrir facsímil")</f>
        <v>Abrir facsímil</v>
      </c>
      <c r="K1421" s="3" t="s">
        <v>57</v>
      </c>
    </row>
    <row r="1422" spans="1:11" ht="42" customHeight="1">
      <c r="A1422" s="2" t="s">
        <v>4207</v>
      </c>
      <c r="B1422" s="2" t="s">
        <v>4208</v>
      </c>
      <c r="C1422" s="2" t="s">
        <v>17</v>
      </c>
      <c r="D1422" s="2" t="s">
        <v>72</v>
      </c>
      <c r="E1422" s="3" t="s">
        <v>864</v>
      </c>
      <c r="F1422" s="3" t="s">
        <v>2291</v>
      </c>
      <c r="G1422" s="3" t="s">
        <v>2292</v>
      </c>
      <c r="H1422" s="2" t="s">
        <v>55</v>
      </c>
      <c r="I1422" s="2" t="s">
        <v>4209</v>
      </c>
      <c r="J1422" s="3" t="str">
        <f>HYPERLINK("https://www.boe.es/gazeta/dias/1809/08/31/pdfs/GGB-H-1809-132.pdf#page=3","Abrir facsímil")</f>
        <v>Abrir facsímil</v>
      </c>
      <c r="K1422" s="3" t="s">
        <v>57</v>
      </c>
    </row>
    <row r="1423" spans="1:11" ht="42" customHeight="1">
      <c r="A1423" s="2" t="s">
        <v>4210</v>
      </c>
      <c r="B1423" s="2" t="s">
        <v>4211</v>
      </c>
      <c r="C1423" s="2" t="s">
        <v>25</v>
      </c>
      <c r="D1423" s="2" t="s">
        <v>26</v>
      </c>
      <c r="E1423" s="3" t="s">
        <v>207</v>
      </c>
      <c r="F1423" s="3" t="s">
        <v>208</v>
      </c>
      <c r="G1423" s="3" t="s">
        <v>209</v>
      </c>
      <c r="H1423" s="2" t="s">
        <v>55</v>
      </c>
      <c r="I1423" s="2" t="s">
        <v>4212</v>
      </c>
      <c r="J1423" s="3" t="str">
        <f>HYPERLINK("https://www.boe.es/gazeta/dias/1809/09/16/pdfs/GMD-1809-260.pdf#page=4","Abrir facsímil")</f>
        <v>Abrir facsímil</v>
      </c>
      <c r="K1423" s="3" t="s">
        <v>57</v>
      </c>
    </row>
    <row r="1424" spans="1:11" ht="42" customHeight="1">
      <c r="A1424" s="2" t="s">
        <v>4213</v>
      </c>
      <c r="B1424" s="2" t="s">
        <v>4214</v>
      </c>
      <c r="C1424" s="2" t="s">
        <v>25</v>
      </c>
      <c r="D1424" s="2" t="s">
        <v>18</v>
      </c>
      <c r="E1424" s="3" t="s">
        <v>589</v>
      </c>
      <c r="F1424" s="3" t="s">
        <v>590</v>
      </c>
      <c r="G1424" s="3" t="s">
        <v>3102</v>
      </c>
      <c r="H1424" s="2" t="s">
        <v>22</v>
      </c>
      <c r="I1424" s="2" t="s">
        <v>4215</v>
      </c>
      <c r="J1424" s="3" t="str">
        <f>HYPERLINK("https://www.boe.es/gazeta/dias/1809/10/05/pdfs/GGB-1809-282.pdf#page=6","Abrir facsímil")</f>
        <v>Abrir facsímil</v>
      </c>
      <c r="K1424" s="3" t="s">
        <v>24</v>
      </c>
    </row>
    <row r="1425" spans="1:11" ht="42" customHeight="1">
      <c r="A1425" s="2" t="s">
        <v>4216</v>
      </c>
      <c r="B1425" s="2" t="s">
        <v>4217</v>
      </c>
      <c r="C1425" s="2" t="s">
        <v>17</v>
      </c>
      <c r="D1425" s="2" t="s">
        <v>72</v>
      </c>
      <c r="E1425" s="3" t="s">
        <v>243</v>
      </c>
      <c r="F1425" s="3" t="s">
        <v>244</v>
      </c>
      <c r="G1425" s="3" t="s">
        <v>525</v>
      </c>
      <c r="H1425" s="2" t="s">
        <v>55</v>
      </c>
      <c r="I1425" s="2" t="s">
        <v>4218</v>
      </c>
      <c r="J1425" s="3" t="str">
        <f>HYPERLINK("https://www.boe.es/gazeta/dias/1809/02/17/pdfs/GGB-G-1809-8.pdf#page=4","Abrir facsímil")</f>
        <v>Abrir facsímil</v>
      </c>
      <c r="K1425" s="3" t="s">
        <v>57</v>
      </c>
    </row>
    <row r="1426" spans="1:11" ht="42" customHeight="1">
      <c r="A1426" s="2" t="s">
        <v>4219</v>
      </c>
      <c r="B1426" s="2" t="s">
        <v>4220</v>
      </c>
      <c r="C1426" s="2" t="s">
        <v>25</v>
      </c>
      <c r="D1426" s="2" t="s">
        <v>72</v>
      </c>
      <c r="E1426" s="3" t="s">
        <v>143</v>
      </c>
      <c r="F1426" s="3" t="s">
        <v>705</v>
      </c>
      <c r="G1426" s="3" t="s">
        <v>225</v>
      </c>
      <c r="H1426" s="2" t="s">
        <v>55</v>
      </c>
      <c r="I1426" s="2" t="s">
        <v>4221</v>
      </c>
      <c r="J1426" s="3" t="str">
        <f>HYPERLINK("https://www.boe.es/gazeta/dias/1809/11/16/pdfs/GGB-H-1809-462.pdf#page=4","Abrir facsímil")</f>
        <v>Abrir facsímil</v>
      </c>
      <c r="K1426" s="3" t="s">
        <v>57</v>
      </c>
    </row>
    <row r="1427" spans="1:11" ht="42" customHeight="1">
      <c r="A1427" s="2" t="s">
        <v>4222</v>
      </c>
      <c r="B1427" s="2" t="s">
        <v>4223</v>
      </c>
      <c r="C1427" s="2" t="s">
        <v>25</v>
      </c>
      <c r="D1427" s="2" t="s">
        <v>40</v>
      </c>
      <c r="E1427" s="3" t="s">
        <v>1007</v>
      </c>
      <c r="F1427" s="3" t="s">
        <v>3043</v>
      </c>
      <c r="G1427" s="3" t="s">
        <v>906</v>
      </c>
      <c r="H1427" s="2" t="s">
        <v>55</v>
      </c>
      <c r="I1427" s="2" t="s">
        <v>4224</v>
      </c>
      <c r="J1427" s="3" t="str">
        <f>HYPERLINK("https://www.boe.es/gazeta/dias/1809/04/14/pdfs/GGB-1809-17.pdf#page=8","Abrir facsímil")</f>
        <v>Abrir facsímil</v>
      </c>
      <c r="K1427" s="3" t="s">
        <v>57</v>
      </c>
    </row>
    <row r="1428" spans="1:11" ht="42" customHeight="1">
      <c r="A1428" s="2" t="s">
        <v>4225</v>
      </c>
      <c r="B1428" s="2" t="s">
        <v>4226</v>
      </c>
      <c r="C1428" s="2" t="s">
        <v>25</v>
      </c>
      <c r="D1428" s="2" t="s">
        <v>26</v>
      </c>
      <c r="E1428" s="3" t="s">
        <v>761</v>
      </c>
      <c r="F1428" s="3" t="s">
        <v>1218</v>
      </c>
      <c r="G1428" s="3" t="s">
        <v>595</v>
      </c>
      <c r="H1428" s="2" t="s">
        <v>55</v>
      </c>
      <c r="I1428" s="2" t="s">
        <v>4227</v>
      </c>
      <c r="J1428" s="3" t="str">
        <f>HYPERLINK("https://www.boe.es/gazeta/dias/1809/06/02/pdfs/GGB-1809-33.pdf#page=7","Abrir facsímil")</f>
        <v>Abrir facsímil</v>
      </c>
      <c r="K1428" s="3" t="s">
        <v>57</v>
      </c>
    </row>
    <row r="1429" spans="1:11" ht="42" customHeight="1">
      <c r="A1429" s="2" t="s">
        <v>4228</v>
      </c>
      <c r="B1429" s="2" t="s">
        <v>4229</v>
      </c>
      <c r="C1429" s="2" t="s">
        <v>17</v>
      </c>
      <c r="D1429" s="2" t="s">
        <v>18</v>
      </c>
      <c r="E1429" s="3" t="s">
        <v>27</v>
      </c>
      <c r="F1429" s="3" t="s">
        <v>254</v>
      </c>
      <c r="G1429" s="3" t="s">
        <v>239</v>
      </c>
      <c r="H1429" s="2" t="s">
        <v>55</v>
      </c>
      <c r="I1429" s="2" t="s">
        <v>4230</v>
      </c>
      <c r="J1429" s="3" t="str">
        <f>HYPERLINK("https://www.boe.es/gazeta/dias/1809/05/12/pdfs/GGB-1809-26.pdf#page=11","Abrir facsímil")</f>
        <v>Abrir facsímil</v>
      </c>
      <c r="K1429" s="3" t="s">
        <v>57</v>
      </c>
    </row>
    <row r="1430" spans="1:11" ht="42" customHeight="1">
      <c r="A1430" s="2" t="s">
        <v>4231</v>
      </c>
      <c r="B1430" s="2" t="s">
        <v>4232</v>
      </c>
      <c r="C1430" s="2" t="s">
        <v>25</v>
      </c>
      <c r="D1430" s="2" t="s">
        <v>40</v>
      </c>
      <c r="E1430" s="3" t="s">
        <v>755</v>
      </c>
      <c r="F1430" s="3" t="s">
        <v>756</v>
      </c>
      <c r="G1430" s="3" t="s">
        <v>525</v>
      </c>
      <c r="H1430" s="2" t="s">
        <v>55</v>
      </c>
      <c r="I1430" s="2" t="s">
        <v>4233</v>
      </c>
      <c r="J1430" s="3" t="str">
        <f>HYPERLINK("https://www.boe.es/gazeta/dias/1809/05/20/pdfs/GMD-1809-140.pdf#page=4","Abrir facsímil")</f>
        <v>Abrir facsímil</v>
      </c>
      <c r="K1430" s="3" t="s">
        <v>57</v>
      </c>
    </row>
    <row r="1431" spans="1:11" ht="42" customHeight="1">
      <c r="A1431" s="2" t="s">
        <v>4234</v>
      </c>
      <c r="B1431" s="2" t="s">
        <v>4235</v>
      </c>
      <c r="C1431" s="2" t="s">
        <v>25</v>
      </c>
      <c r="D1431" s="2" t="s">
        <v>72</v>
      </c>
      <c r="E1431" s="3" t="s">
        <v>1206</v>
      </c>
      <c r="F1431" s="3" t="s">
        <v>1207</v>
      </c>
      <c r="G1431" s="3" t="s">
        <v>4236</v>
      </c>
      <c r="H1431" s="2" t="s">
        <v>55</v>
      </c>
      <c r="I1431" s="2" t="s">
        <v>4237</v>
      </c>
      <c r="J1431" s="3" t="str">
        <f>HYPERLINK("https://www.boe.es/gazeta/dias/1809/09/23/pdfs/GGB-H-1809-232.pdf#page=4","Abrir facsímil")</f>
        <v>Abrir facsímil</v>
      </c>
      <c r="K1431" s="3" t="s">
        <v>57</v>
      </c>
    </row>
    <row r="1432" spans="1:11" ht="42" customHeight="1">
      <c r="A1432" s="2" t="s">
        <v>4238</v>
      </c>
      <c r="B1432" s="2" t="s">
        <v>4239</v>
      </c>
      <c r="C1432" s="2" t="s">
        <v>25</v>
      </c>
      <c r="D1432" s="2" t="s">
        <v>26</v>
      </c>
      <c r="E1432" s="3" t="s">
        <v>1206</v>
      </c>
      <c r="F1432" s="3" t="s">
        <v>1207</v>
      </c>
      <c r="G1432" s="3" t="s">
        <v>595</v>
      </c>
      <c r="H1432" s="2" t="s">
        <v>55</v>
      </c>
      <c r="I1432" s="2" t="s">
        <v>4240</v>
      </c>
      <c r="J1432" s="3" t="str">
        <f>HYPERLINK("https://www.boe.es/gazeta/dias/1809/09/23/pdfs/GGB-H-1809-232.pdf#page=7","Abrir facsímil")</f>
        <v>Abrir facsímil</v>
      </c>
      <c r="K1432" s="3" t="s">
        <v>57</v>
      </c>
    </row>
    <row r="1433" spans="1:11" ht="42" customHeight="1">
      <c r="A1433" s="2" t="s">
        <v>4241</v>
      </c>
      <c r="B1433" s="2" t="s">
        <v>4242</v>
      </c>
      <c r="C1433" s="2" t="s">
        <v>131</v>
      </c>
      <c r="D1433" s="2" t="s">
        <v>18</v>
      </c>
      <c r="E1433" s="3" t="s">
        <v>515</v>
      </c>
      <c r="F1433" s="3" t="s">
        <v>516</v>
      </c>
      <c r="G1433" s="3" t="s">
        <v>1380</v>
      </c>
      <c r="H1433" s="2" t="s">
        <v>55</v>
      </c>
      <c r="I1433" s="2" t="s">
        <v>4243</v>
      </c>
      <c r="J1433" s="3" t="str">
        <f>HYPERLINK("https://www.boe.es/gazeta/dias/1809/09/02/pdfs/GMD-1809-246.pdf#page=3","Abrir facsímil")</f>
        <v>Abrir facsímil</v>
      </c>
      <c r="K1433" s="3" t="s">
        <v>57</v>
      </c>
    </row>
    <row r="1434" spans="1:11" ht="42" customHeight="1">
      <c r="A1434" s="2" t="s">
        <v>4244</v>
      </c>
      <c r="B1434" s="2" t="s">
        <v>4245</v>
      </c>
      <c r="C1434" s="2" t="s">
        <v>17</v>
      </c>
      <c r="D1434" s="2" t="s">
        <v>18</v>
      </c>
      <c r="E1434" s="3" t="s">
        <v>33</v>
      </c>
      <c r="F1434" s="3" t="s">
        <v>34</v>
      </c>
      <c r="G1434" s="3" t="s">
        <v>493</v>
      </c>
      <c r="H1434" s="2" t="s">
        <v>55</v>
      </c>
      <c r="I1434" s="2" t="s">
        <v>4246</v>
      </c>
      <c r="J1434" s="3" t="str">
        <f>HYPERLINK("https://www.boe.es/gazeta/dias/1809/12/19/pdfs/GGB-1809-602.pdf#page=6","Abrir facsímil")</f>
        <v>Abrir facsímil</v>
      </c>
      <c r="K1434" s="3" t="s">
        <v>57</v>
      </c>
    </row>
    <row r="1435" spans="1:11" ht="42" customHeight="1">
      <c r="A1435" s="2" t="s">
        <v>4247</v>
      </c>
      <c r="B1435" s="2" t="s">
        <v>4248</v>
      </c>
      <c r="C1435" s="2" t="s">
        <v>17</v>
      </c>
      <c r="D1435" s="2" t="s">
        <v>18</v>
      </c>
      <c r="E1435" s="3" t="s">
        <v>1468</v>
      </c>
      <c r="F1435" s="3" t="s">
        <v>1469</v>
      </c>
      <c r="G1435" s="3" t="s">
        <v>4249</v>
      </c>
      <c r="H1435" s="2" t="s">
        <v>55</v>
      </c>
      <c r="I1435" s="2" t="s">
        <v>4250</v>
      </c>
      <c r="J1435" s="3" t="str">
        <f>HYPERLINK("https://www.boe.es/gazeta/dias/1809/02/12/pdfs/GMD-1809-43.pdf#page=8","Abrir facsímil")</f>
        <v>Abrir facsímil</v>
      </c>
      <c r="K1435" s="3" t="s">
        <v>57</v>
      </c>
    </row>
    <row r="1436" spans="1:11" ht="42" customHeight="1">
      <c r="A1436" s="2" t="s">
        <v>4251</v>
      </c>
      <c r="B1436" s="2" t="s">
        <v>4252</v>
      </c>
      <c r="C1436" s="2" t="s">
        <v>17</v>
      </c>
      <c r="D1436" s="2" t="s">
        <v>18</v>
      </c>
      <c r="E1436" s="3" t="s">
        <v>1468</v>
      </c>
      <c r="F1436" s="3" t="s">
        <v>1469</v>
      </c>
      <c r="G1436" s="3" t="s">
        <v>595</v>
      </c>
      <c r="H1436" s="2" t="s">
        <v>55</v>
      </c>
      <c r="I1436" s="2" t="s">
        <v>4253</v>
      </c>
      <c r="J1436" s="3" t="str">
        <f>HYPERLINK("https://www.boe.es/gazeta/dias/1809/02/12/pdfs/GMD-1809-43.pdf#page=7","Abrir facsímil")</f>
        <v>Abrir facsímil</v>
      </c>
      <c r="K1436" s="3" t="s">
        <v>57</v>
      </c>
    </row>
    <row r="1437" spans="1:11" ht="42" customHeight="1">
      <c r="A1437" s="2" t="s">
        <v>4254</v>
      </c>
      <c r="B1437" s="2" t="s">
        <v>4255</v>
      </c>
      <c r="C1437" s="2" t="s">
        <v>17</v>
      </c>
      <c r="D1437" s="2" t="s">
        <v>40</v>
      </c>
      <c r="E1437" s="3" t="s">
        <v>473</v>
      </c>
      <c r="F1437" s="3" t="s">
        <v>1182</v>
      </c>
      <c r="G1437" s="3" t="s">
        <v>2284</v>
      </c>
      <c r="H1437" s="2" t="s">
        <v>22</v>
      </c>
      <c r="I1437" s="2" t="s">
        <v>4256</v>
      </c>
      <c r="J1437" s="3" t="str">
        <f>HYPERLINK("https://www.boe.es/gazeta/dias/1809/12/28/pdfs/GGB-1809-642.pdf#page=8","Abrir facsímil")</f>
        <v>Abrir facsímil</v>
      </c>
      <c r="K1437" s="3" t="s">
        <v>24</v>
      </c>
    </row>
    <row r="1438" spans="1:11" ht="42" customHeight="1">
      <c r="A1438" s="2" t="s">
        <v>4257</v>
      </c>
      <c r="B1438" s="2" t="s">
        <v>4258</v>
      </c>
      <c r="C1438" s="2" t="s">
        <v>17</v>
      </c>
      <c r="D1438" s="2" t="s">
        <v>18</v>
      </c>
      <c r="E1438" s="3" t="s">
        <v>414</v>
      </c>
      <c r="F1438" s="3" t="s">
        <v>415</v>
      </c>
      <c r="G1438" s="3" t="s">
        <v>21</v>
      </c>
      <c r="H1438" s="2" t="s">
        <v>55</v>
      </c>
      <c r="I1438" s="2" t="s">
        <v>4259</v>
      </c>
      <c r="J1438" s="3" t="str">
        <f>HYPERLINK("https://www.boe.es/gazeta/dias/1809/03/21/pdfs/GMD-1809-80.pdf#page=3","Abrir facsímil")</f>
        <v>Abrir facsímil</v>
      </c>
      <c r="K1438" s="3" t="s">
        <v>57</v>
      </c>
    </row>
    <row r="1439" spans="1:11" ht="42" customHeight="1">
      <c r="A1439" s="2" t="s">
        <v>4260</v>
      </c>
      <c r="B1439" s="2" t="s">
        <v>4261</v>
      </c>
      <c r="C1439" s="2" t="s">
        <v>369</v>
      </c>
      <c r="D1439" s="2" t="s">
        <v>18</v>
      </c>
      <c r="E1439" s="3" t="s">
        <v>548</v>
      </c>
      <c r="F1439" s="3" t="s">
        <v>549</v>
      </c>
      <c r="G1439" s="3" t="s">
        <v>316</v>
      </c>
      <c r="H1439" s="2" t="s">
        <v>55</v>
      </c>
      <c r="I1439" s="2" t="s">
        <v>4262</v>
      </c>
      <c r="J1439" s="3" t="str">
        <f>HYPERLINK("https://www.boe.es/gazeta/dias/1809/03/12/pdfs/GMD-1809-71.pdf#page=4","Abrir facsímil")</f>
        <v>Abrir facsímil</v>
      </c>
      <c r="K1439" s="3" t="s">
        <v>57</v>
      </c>
    </row>
    <row r="1440" spans="1:11" ht="42" customHeight="1">
      <c r="A1440" s="2" t="s">
        <v>4263</v>
      </c>
      <c r="B1440" s="2" t="s">
        <v>4264</v>
      </c>
      <c r="C1440" s="2" t="s">
        <v>17</v>
      </c>
      <c r="D1440" s="2" t="s">
        <v>72</v>
      </c>
      <c r="E1440" s="3" t="s">
        <v>2818</v>
      </c>
      <c r="F1440" s="3" t="s">
        <v>4265</v>
      </c>
      <c r="G1440" s="3" t="s">
        <v>4266</v>
      </c>
      <c r="H1440" s="2" t="s">
        <v>55</v>
      </c>
      <c r="I1440" s="2" t="s">
        <v>4267</v>
      </c>
      <c r="J1440" s="3" t="str">
        <f>HYPERLINK("https://www.boe.es/gazeta/dias/1809/02/03/pdfs/GGB-G-1809-6.pdf#page=7","Abrir facsímil")</f>
        <v>Abrir facsímil</v>
      </c>
      <c r="K1440" s="3" t="s">
        <v>57</v>
      </c>
    </row>
    <row r="1441" spans="1:11" ht="42" customHeight="1">
      <c r="A1441" s="2" t="s">
        <v>4268</v>
      </c>
      <c r="B1441" s="2" t="s">
        <v>4269</v>
      </c>
      <c r="C1441" s="2" t="s">
        <v>39</v>
      </c>
      <c r="D1441" s="2" t="s">
        <v>18</v>
      </c>
      <c r="E1441" s="3" t="s">
        <v>229</v>
      </c>
      <c r="F1441" s="3" t="s">
        <v>230</v>
      </c>
      <c r="G1441" s="3" t="s">
        <v>154</v>
      </c>
      <c r="H1441" s="2" t="s">
        <v>55</v>
      </c>
      <c r="I1441" s="2" t="s">
        <v>4270</v>
      </c>
      <c r="J1441" s="3" t="str">
        <f>HYPERLINK("https://www.boe.es/gazeta/dias/1809/02/26/pdfs/GMD-1809-57.pdf#page=3","Abrir facsímil")</f>
        <v>Abrir facsímil</v>
      </c>
      <c r="K1441" s="3" t="s">
        <v>57</v>
      </c>
    </row>
    <row r="1442" spans="1:11" ht="42" customHeight="1">
      <c r="A1442" s="2" t="s">
        <v>4271</v>
      </c>
      <c r="B1442" s="2" t="s">
        <v>4272</v>
      </c>
      <c r="C1442" s="2" t="s">
        <v>25</v>
      </c>
      <c r="D1442" s="2" t="s">
        <v>18</v>
      </c>
      <c r="E1442" s="3" t="s">
        <v>1872</v>
      </c>
      <c r="F1442" s="3" t="s">
        <v>1873</v>
      </c>
      <c r="G1442" s="3" t="s">
        <v>1878</v>
      </c>
      <c r="H1442" s="2" t="s">
        <v>55</v>
      </c>
      <c r="I1442" s="2" t="s">
        <v>4273</v>
      </c>
      <c r="J1442" s="3" t="str">
        <f>HYPERLINK("https://www.boe.es/gazeta/dias/1809/11/07/pdfs/GGB-1809-422.pdf#page=7","Abrir facsímil")</f>
        <v>Abrir facsímil</v>
      </c>
      <c r="K1442" s="3" t="s">
        <v>57</v>
      </c>
    </row>
    <row r="1443" spans="1:11" ht="42" customHeight="1">
      <c r="A1443" s="2" t="s">
        <v>4274</v>
      </c>
      <c r="B1443" s="2" t="s">
        <v>4275</v>
      </c>
      <c r="C1443" s="2" t="s">
        <v>47</v>
      </c>
      <c r="D1443" s="2" t="s">
        <v>18</v>
      </c>
      <c r="E1443" s="3" t="s">
        <v>2512</v>
      </c>
      <c r="F1443" s="3" t="s">
        <v>2513</v>
      </c>
      <c r="G1443" s="3" t="s">
        <v>110</v>
      </c>
      <c r="H1443" s="2" t="s">
        <v>55</v>
      </c>
      <c r="I1443" s="2" t="s">
        <v>4276</v>
      </c>
      <c r="J1443" s="3" t="str">
        <f>HYPERLINK("https://www.boe.es/gazeta/dias/1809/11/27/pdfs/GMD-1809-332.pdf#page=3","Abrir facsímil")</f>
        <v>Abrir facsímil</v>
      </c>
      <c r="K1443" s="3" t="s">
        <v>57</v>
      </c>
    </row>
    <row r="1444" spans="1:11" ht="42" customHeight="1">
      <c r="A1444" s="2" t="s">
        <v>4277</v>
      </c>
      <c r="B1444" s="2" t="s">
        <v>4278</v>
      </c>
      <c r="C1444" s="2" t="s">
        <v>25</v>
      </c>
      <c r="D1444" s="2" t="s">
        <v>40</v>
      </c>
      <c r="E1444" s="3" t="s">
        <v>147</v>
      </c>
      <c r="F1444" s="3" t="s">
        <v>148</v>
      </c>
      <c r="G1444" s="3" t="s">
        <v>2046</v>
      </c>
      <c r="H1444" s="2" t="s">
        <v>55</v>
      </c>
      <c r="I1444" s="2" t="s">
        <v>4279</v>
      </c>
      <c r="J1444" s="3" t="str">
        <f>HYPERLINK("https://www.boe.es/gazeta/dias/1809/10/07/pdfs/GGB-1809-292.pdf#page=8","Abrir facsímil")</f>
        <v>Abrir facsímil</v>
      </c>
      <c r="K1444" s="3" t="s">
        <v>57</v>
      </c>
    </row>
    <row r="1445" spans="1:11" ht="42" customHeight="1">
      <c r="A1445" s="2" t="s">
        <v>4280</v>
      </c>
      <c r="B1445" s="2" t="s">
        <v>4281</v>
      </c>
      <c r="C1445" s="2" t="s">
        <v>39</v>
      </c>
      <c r="D1445" s="2" t="s">
        <v>40</v>
      </c>
      <c r="E1445" s="3" t="s">
        <v>1156</v>
      </c>
      <c r="F1445" s="3" t="s">
        <v>1157</v>
      </c>
      <c r="G1445" s="3" t="s">
        <v>1541</v>
      </c>
      <c r="H1445" s="2" t="s">
        <v>55</v>
      </c>
      <c r="I1445" s="2" t="s">
        <v>4282</v>
      </c>
      <c r="J1445" s="3" t="str">
        <f>HYPERLINK("https://www.boe.es/gazeta/dias/1809/06/17/pdfs/GMD-1809-168.pdf#page=3","Abrir facsímil")</f>
        <v>Abrir facsímil</v>
      </c>
      <c r="K1445" s="3" t="s">
        <v>57</v>
      </c>
    </row>
    <row r="1446" spans="1:11" ht="42" customHeight="1">
      <c r="A1446" s="2" t="s">
        <v>4283</v>
      </c>
      <c r="B1446" s="2" t="s">
        <v>4284</v>
      </c>
      <c r="C1446" s="2" t="s">
        <v>369</v>
      </c>
      <c r="D1446" s="2" t="s">
        <v>40</v>
      </c>
      <c r="E1446" s="3" t="s">
        <v>143</v>
      </c>
      <c r="F1446" s="3" t="s">
        <v>144</v>
      </c>
      <c r="G1446" s="3" t="s">
        <v>3858</v>
      </c>
      <c r="H1446" s="2" t="s">
        <v>55</v>
      </c>
      <c r="I1446" s="2" t="s">
        <v>4285</v>
      </c>
      <c r="J1446" s="3" t="str">
        <f>HYPERLINK("https://www.boe.es/gazeta/dias/1809/11/16/pdfs/GGB-1809-462.pdf#page=8","Abrir facsímil")</f>
        <v>Abrir facsímil</v>
      </c>
      <c r="K1446" s="3" t="s">
        <v>57</v>
      </c>
    </row>
    <row r="1447" spans="1:11" ht="42" customHeight="1">
      <c r="A1447" s="2" t="s">
        <v>4286</v>
      </c>
      <c r="B1447" s="2" t="s">
        <v>4287</v>
      </c>
      <c r="C1447" s="2" t="s">
        <v>17</v>
      </c>
      <c r="D1447" s="2" t="s">
        <v>72</v>
      </c>
      <c r="E1447" s="3" t="s">
        <v>776</v>
      </c>
      <c r="F1447" s="3" t="s">
        <v>777</v>
      </c>
      <c r="G1447" s="3" t="s">
        <v>736</v>
      </c>
      <c r="H1447" s="2" t="s">
        <v>55</v>
      </c>
      <c r="I1447" s="2" t="s">
        <v>4288</v>
      </c>
      <c r="J1447" s="3" t="str">
        <f>HYPERLINK("https://www.boe.es/gazeta/dias/1809/05/28/pdfs/GMD-E-1809-148.pdf#page=1","Abrir facsímil")</f>
        <v>Abrir facsímil</v>
      </c>
      <c r="K1447" s="3" t="s">
        <v>57</v>
      </c>
    </row>
    <row r="1448" spans="1:11" ht="42" customHeight="1">
      <c r="A1448" s="2" t="s">
        <v>4289</v>
      </c>
      <c r="B1448" s="2" t="s">
        <v>4290</v>
      </c>
      <c r="C1448" s="2" t="s">
        <v>47</v>
      </c>
      <c r="D1448" s="2" t="s">
        <v>18</v>
      </c>
      <c r="E1448" s="3" t="s">
        <v>712</v>
      </c>
      <c r="F1448" s="3" t="s">
        <v>713</v>
      </c>
      <c r="G1448" s="3" t="s">
        <v>120</v>
      </c>
      <c r="H1448" s="2" t="s">
        <v>55</v>
      </c>
      <c r="I1448" s="2" t="s">
        <v>4291</v>
      </c>
      <c r="J1448" s="3" t="str">
        <f>HYPERLINK("https://www.boe.es/gazeta/dias/1809/09/10/pdfs/GMD-1809-254.pdf#page=2","Abrir facsímil")</f>
        <v>Abrir facsímil</v>
      </c>
      <c r="K1448" s="3" t="s">
        <v>57</v>
      </c>
    </row>
    <row r="1449" spans="1:11" ht="42" customHeight="1">
      <c r="A1449" s="2" t="s">
        <v>4292</v>
      </c>
      <c r="B1449" s="2" t="s">
        <v>4293</v>
      </c>
      <c r="C1449" s="2" t="s">
        <v>25</v>
      </c>
      <c r="D1449" s="2" t="s">
        <v>26</v>
      </c>
      <c r="E1449" s="3" t="s">
        <v>294</v>
      </c>
      <c r="F1449" s="3" t="s">
        <v>295</v>
      </c>
      <c r="G1449" s="3" t="s">
        <v>998</v>
      </c>
      <c r="H1449" s="2" t="s">
        <v>55</v>
      </c>
      <c r="I1449" s="2" t="s">
        <v>4294</v>
      </c>
      <c r="J1449" s="3" t="str">
        <f>HYPERLINK("https://www.boe.es/gazeta/dias/1809/09/30/pdfs/GGB-H-1809-262.pdf#page=4","Abrir facsímil")</f>
        <v>Abrir facsímil</v>
      </c>
      <c r="K1449" s="3" t="s">
        <v>57</v>
      </c>
    </row>
    <row r="1450" spans="1:11" ht="42" customHeight="1">
      <c r="A1450" s="2" t="s">
        <v>4295</v>
      </c>
      <c r="B1450" s="2" t="s">
        <v>4296</v>
      </c>
      <c r="C1450" s="2" t="s">
        <v>17</v>
      </c>
      <c r="D1450" s="2" t="s">
        <v>18</v>
      </c>
      <c r="E1450" s="3" t="s">
        <v>761</v>
      </c>
      <c r="F1450" s="3" t="s">
        <v>1218</v>
      </c>
      <c r="G1450" s="3" t="s">
        <v>270</v>
      </c>
      <c r="H1450" s="2" t="s">
        <v>55</v>
      </c>
      <c r="I1450" s="2" t="s">
        <v>4297</v>
      </c>
      <c r="J1450" s="3" t="str">
        <f>HYPERLINK("https://www.boe.es/gazeta/dias/1809/06/02/pdfs/GGB-1809-33.pdf#page=9","Abrir facsímil")</f>
        <v>Abrir facsímil</v>
      </c>
      <c r="K1450" s="3" t="s">
        <v>57</v>
      </c>
    </row>
    <row r="1451" spans="1:11" ht="42" customHeight="1">
      <c r="A1451" s="2" t="s">
        <v>4298</v>
      </c>
      <c r="B1451" s="2" t="s">
        <v>4299</v>
      </c>
      <c r="C1451" s="2" t="s">
        <v>25</v>
      </c>
      <c r="D1451" s="2" t="s">
        <v>26</v>
      </c>
      <c r="E1451" s="3" t="s">
        <v>2840</v>
      </c>
      <c r="F1451" s="3" t="s">
        <v>2841</v>
      </c>
      <c r="G1451" s="3" t="s">
        <v>62</v>
      </c>
      <c r="H1451" s="2" t="s">
        <v>55</v>
      </c>
      <c r="I1451" s="2" t="s">
        <v>4300</v>
      </c>
      <c r="J1451" s="3" t="str">
        <f>HYPERLINK("https://www.boe.es/gazeta/dias/1809/11/30/pdfs/GMD-1809-335.pdf#page=4","Abrir facsímil")</f>
        <v>Abrir facsímil</v>
      </c>
      <c r="K1451" s="3" t="s">
        <v>57</v>
      </c>
    </row>
    <row r="1452" spans="1:11" ht="42" customHeight="1">
      <c r="A1452" s="2" t="s">
        <v>4301</v>
      </c>
      <c r="B1452" s="2" t="s">
        <v>4302</v>
      </c>
      <c r="C1452" s="2" t="s">
        <v>369</v>
      </c>
      <c r="D1452" s="2" t="s">
        <v>18</v>
      </c>
      <c r="E1452" s="3" t="s">
        <v>3397</v>
      </c>
      <c r="F1452" s="3" t="s">
        <v>3398</v>
      </c>
      <c r="G1452" s="3" t="s">
        <v>225</v>
      </c>
      <c r="H1452" s="2" t="s">
        <v>55</v>
      </c>
      <c r="I1452" s="2" t="s">
        <v>4303</v>
      </c>
      <c r="J1452" s="3" t="str">
        <f>HYPERLINK("https://www.boe.es/gazeta/dias/1809/02/08/pdfs/GMD-1809-39.pdf#page=4","Abrir facsímil")</f>
        <v>Abrir facsímil</v>
      </c>
      <c r="K1452" s="3" t="s">
        <v>57</v>
      </c>
    </row>
    <row r="1453" spans="1:11" ht="42" customHeight="1">
      <c r="A1453" s="2" t="s">
        <v>4304</v>
      </c>
      <c r="B1453" s="2" t="s">
        <v>4305</v>
      </c>
      <c r="C1453" s="2" t="s">
        <v>25</v>
      </c>
      <c r="D1453" s="2" t="s">
        <v>72</v>
      </c>
      <c r="E1453" s="3" t="s">
        <v>143</v>
      </c>
      <c r="F1453" s="3" t="s">
        <v>705</v>
      </c>
      <c r="G1453" s="3" t="s">
        <v>225</v>
      </c>
      <c r="H1453" s="2" t="s">
        <v>55</v>
      </c>
      <c r="I1453" s="2" t="s">
        <v>4306</v>
      </c>
      <c r="J1453" s="3" t="str">
        <f>HYPERLINK("https://www.boe.es/gazeta/dias/1809/11/16/pdfs/GGB-H-1809-462.pdf#page=4","Abrir facsímil")</f>
        <v>Abrir facsímil</v>
      </c>
      <c r="K1453" s="3" t="s">
        <v>57</v>
      </c>
    </row>
    <row r="1454" spans="1:11" ht="42" customHeight="1">
      <c r="A1454" s="2" t="s">
        <v>4304</v>
      </c>
      <c r="B1454" s="2" t="s">
        <v>4305</v>
      </c>
      <c r="C1454" s="2" t="s">
        <v>25</v>
      </c>
      <c r="D1454" s="2" t="s">
        <v>26</v>
      </c>
      <c r="E1454" s="3" t="s">
        <v>3714</v>
      </c>
      <c r="F1454" s="3" t="s">
        <v>4205</v>
      </c>
      <c r="G1454" s="3" t="s">
        <v>3729</v>
      </c>
      <c r="H1454" s="2" t="s">
        <v>55</v>
      </c>
      <c r="I1454" s="2" t="s">
        <v>4307</v>
      </c>
      <c r="J1454" s="3" t="str">
        <f>HYPERLINK("https://www.boe.es/gazeta/dias/1809/12/07/pdfs/GGB-1809-552.pdf#page=3","Abrir facsímil")</f>
        <v>Abrir facsímil</v>
      </c>
      <c r="K1454" s="3" t="s">
        <v>57</v>
      </c>
    </row>
    <row r="1455" spans="1:11" ht="42" customHeight="1">
      <c r="A1455" s="2" t="s">
        <v>4308</v>
      </c>
      <c r="B1455" s="2" t="s">
        <v>4309</v>
      </c>
      <c r="C1455" s="2" t="s">
        <v>131</v>
      </c>
      <c r="D1455" s="2" t="s">
        <v>40</v>
      </c>
      <c r="E1455" s="3" t="s">
        <v>712</v>
      </c>
      <c r="F1455" s="3" t="s">
        <v>713</v>
      </c>
      <c r="G1455" s="3" t="s">
        <v>120</v>
      </c>
      <c r="H1455" s="2" t="s">
        <v>55</v>
      </c>
      <c r="I1455" s="2" t="s">
        <v>4310</v>
      </c>
      <c r="J1455" s="3" t="str">
        <f>HYPERLINK("https://www.boe.es/gazeta/dias/1809/09/10/pdfs/GMD-1809-254.pdf#page=2","Abrir facsímil")</f>
        <v>Abrir facsímil</v>
      </c>
      <c r="K1455" s="3" t="s">
        <v>57</v>
      </c>
    </row>
    <row r="1456" spans="1:11" ht="42" customHeight="1">
      <c r="A1456" s="2" t="s">
        <v>4308</v>
      </c>
      <c r="B1456" s="2" t="s">
        <v>4309</v>
      </c>
      <c r="C1456" s="2" t="s">
        <v>131</v>
      </c>
      <c r="D1456" s="2" t="s">
        <v>18</v>
      </c>
      <c r="E1456" s="3" t="s">
        <v>102</v>
      </c>
      <c r="F1456" s="3" t="s">
        <v>103</v>
      </c>
      <c r="G1456" s="3" t="s">
        <v>1706</v>
      </c>
      <c r="H1456" s="2" t="s">
        <v>55</v>
      </c>
      <c r="I1456" s="2" t="s">
        <v>4311</v>
      </c>
      <c r="J1456" s="3" t="str">
        <f>HYPERLINK("https://www.boe.es/gazeta/dias/1809/09/28/pdfs/GGB-1809-252.pdf#page=5","Abrir facsímil")</f>
        <v>Abrir facsímil</v>
      </c>
      <c r="K1456" s="3" t="s">
        <v>57</v>
      </c>
    </row>
    <row r="1457" spans="1:11" ht="42" customHeight="1">
      <c r="A1457" s="2" t="s">
        <v>4312</v>
      </c>
      <c r="B1457" s="2" t="s">
        <v>4313</v>
      </c>
      <c r="C1457" s="2" t="s">
        <v>2176</v>
      </c>
      <c r="D1457" s="2" t="s">
        <v>18</v>
      </c>
      <c r="E1457" s="3" t="s">
        <v>2976</v>
      </c>
      <c r="F1457" s="3" t="s">
        <v>2977</v>
      </c>
      <c r="G1457" s="3" t="s">
        <v>62</v>
      </c>
      <c r="H1457" s="2" t="s">
        <v>55</v>
      </c>
      <c r="I1457" s="2" t="s">
        <v>4314</v>
      </c>
      <c r="J1457" s="3" t="str">
        <f>HYPERLINK("https://www.boe.es/gazeta/dias/1809/05/05/pdfs/GGB-1809-24.pdf#page=7","Abrir facsímil")</f>
        <v>Abrir facsímil</v>
      </c>
      <c r="K1457" s="3" t="s">
        <v>57</v>
      </c>
    </row>
    <row r="1458" spans="1:11" ht="42" customHeight="1">
      <c r="A1458" s="2" t="s">
        <v>4315</v>
      </c>
      <c r="B1458" s="2" t="s">
        <v>4316</v>
      </c>
      <c r="C1458" s="2" t="s">
        <v>25</v>
      </c>
      <c r="D1458" s="2" t="s">
        <v>26</v>
      </c>
      <c r="E1458" s="3" t="s">
        <v>621</v>
      </c>
      <c r="F1458" s="3" t="s">
        <v>913</v>
      </c>
      <c r="G1458" s="3" t="s">
        <v>192</v>
      </c>
      <c r="H1458" s="2" t="s">
        <v>55</v>
      </c>
      <c r="I1458" s="2" t="s">
        <v>4317</v>
      </c>
      <c r="J1458" s="3" t="str">
        <f>HYPERLINK("https://www.boe.es/gazeta/dias/1809/07/04/pdfs/GMD-1809-185.pdf#page=3","Abrir facsímil")</f>
        <v>Abrir facsímil</v>
      </c>
      <c r="K1458" s="3" t="s">
        <v>57</v>
      </c>
    </row>
    <row r="1459" spans="1:11" ht="42" customHeight="1">
      <c r="A1459" s="2" t="s">
        <v>4318</v>
      </c>
      <c r="B1459" s="2" t="s">
        <v>4319</v>
      </c>
      <c r="C1459" s="2" t="s">
        <v>288</v>
      </c>
      <c r="D1459" s="2" t="s">
        <v>40</v>
      </c>
      <c r="E1459" s="3" t="s">
        <v>322</v>
      </c>
      <c r="F1459" s="3" t="s">
        <v>435</v>
      </c>
      <c r="G1459" s="3" t="s">
        <v>136</v>
      </c>
      <c r="H1459" s="2" t="s">
        <v>55</v>
      </c>
      <c r="I1459" s="2" t="s">
        <v>4320</v>
      </c>
      <c r="J1459" s="3" t="str">
        <f>HYPERLINK("https://www.boe.es/gazeta/dias/1809/07/21/pdfs/GGB-1809-47.pdf#page=12","Abrir facsímil")</f>
        <v>Abrir facsímil</v>
      </c>
      <c r="K1459" s="3" t="s">
        <v>57</v>
      </c>
    </row>
    <row r="1460" spans="1:11" ht="42" customHeight="1">
      <c r="A1460" s="2" t="s">
        <v>4321</v>
      </c>
      <c r="B1460" s="2" t="s">
        <v>4322</v>
      </c>
      <c r="C1460" s="2" t="s">
        <v>369</v>
      </c>
      <c r="D1460" s="2" t="s">
        <v>40</v>
      </c>
      <c r="E1460" s="3" t="s">
        <v>190</v>
      </c>
      <c r="F1460" s="3" t="s">
        <v>3505</v>
      </c>
      <c r="G1460" s="3" t="s">
        <v>906</v>
      </c>
      <c r="H1460" s="2" t="s">
        <v>55</v>
      </c>
      <c r="I1460" s="2" t="s">
        <v>4323</v>
      </c>
      <c r="J1460" s="3" t="str">
        <f>HYPERLINK("https://www.boe.es/gazeta/dias/1809/10/14/pdfs/GGB-H-1809-322.pdf#page=8","Abrir facsímil")</f>
        <v>Abrir facsímil</v>
      </c>
      <c r="K1460" s="3" t="s">
        <v>57</v>
      </c>
    </row>
    <row r="1461" spans="1:11" ht="42" customHeight="1">
      <c r="A1461" s="2" t="s">
        <v>4324</v>
      </c>
      <c r="B1461" s="2" t="s">
        <v>4325</v>
      </c>
      <c r="C1461" s="2" t="s">
        <v>2176</v>
      </c>
      <c r="D1461" s="2" t="s">
        <v>18</v>
      </c>
      <c r="E1461" s="3" t="s">
        <v>2976</v>
      </c>
      <c r="F1461" s="3" t="s">
        <v>2977</v>
      </c>
      <c r="G1461" s="3" t="s">
        <v>62</v>
      </c>
      <c r="H1461" s="2" t="s">
        <v>55</v>
      </c>
      <c r="I1461" s="2" t="s">
        <v>4326</v>
      </c>
      <c r="J1461" s="3" t="str">
        <f>HYPERLINK("https://www.boe.es/gazeta/dias/1809/05/05/pdfs/GGB-1809-24.pdf#page=7","Abrir facsímil")</f>
        <v>Abrir facsímil</v>
      </c>
      <c r="K1461" s="3" t="s">
        <v>57</v>
      </c>
    </row>
    <row r="1462" spans="1:11" ht="42" customHeight="1">
      <c r="A1462" s="2" t="s">
        <v>4327</v>
      </c>
      <c r="B1462" s="2" t="s">
        <v>4328</v>
      </c>
      <c r="C1462" s="2" t="s">
        <v>25</v>
      </c>
      <c r="D1462" s="2" t="s">
        <v>72</v>
      </c>
      <c r="E1462" s="3" t="s">
        <v>258</v>
      </c>
      <c r="F1462" s="3" t="s">
        <v>1673</v>
      </c>
      <c r="G1462" s="3" t="s">
        <v>239</v>
      </c>
      <c r="H1462" s="2" t="s">
        <v>55</v>
      </c>
      <c r="I1462" s="2" t="s">
        <v>4329</v>
      </c>
      <c r="J1462" s="3" t="str">
        <f>HYPERLINK("https://www.boe.es/gazeta/dias/1809/03/17/pdfs/GGB-G-1809-12.pdf#page=5","Abrir facsímil")</f>
        <v>Abrir facsímil</v>
      </c>
      <c r="K1462" s="3" t="s">
        <v>57</v>
      </c>
    </row>
    <row r="1463" spans="1:11" ht="42" customHeight="1">
      <c r="A1463" s="2" t="s">
        <v>4330</v>
      </c>
      <c r="B1463" s="2" t="s">
        <v>4331</v>
      </c>
      <c r="C1463" s="2" t="s">
        <v>17</v>
      </c>
      <c r="D1463" s="2" t="s">
        <v>18</v>
      </c>
      <c r="E1463" s="3" t="s">
        <v>974</v>
      </c>
      <c r="F1463" s="3" t="s">
        <v>975</v>
      </c>
      <c r="G1463" s="3" t="s">
        <v>4332</v>
      </c>
      <c r="H1463" s="2" t="s">
        <v>55</v>
      </c>
      <c r="I1463" s="2" t="s">
        <v>4333</v>
      </c>
      <c r="J1463" s="3" t="str">
        <f>HYPERLINK("https://www.boe.es/gazeta/dias/1809/11/14/pdfs/GGB-1809-452.pdf#page=4","Abrir facsímil")</f>
        <v>Abrir facsímil</v>
      </c>
      <c r="K1463" s="3" t="s">
        <v>57</v>
      </c>
    </row>
    <row r="1464" spans="1:11" ht="42" customHeight="1">
      <c r="A1464" s="2" t="s">
        <v>4334</v>
      </c>
      <c r="B1464" s="2" t="s">
        <v>4335</v>
      </c>
      <c r="C1464" s="2" t="s">
        <v>17</v>
      </c>
      <c r="D1464" s="2" t="s">
        <v>18</v>
      </c>
      <c r="E1464" s="3" t="s">
        <v>27</v>
      </c>
      <c r="F1464" s="3" t="s">
        <v>28</v>
      </c>
      <c r="G1464" s="3" t="s">
        <v>29</v>
      </c>
      <c r="H1464" s="2" t="s">
        <v>55</v>
      </c>
      <c r="I1464" s="2" t="s">
        <v>4336</v>
      </c>
      <c r="J1464" s="3" t="str">
        <f>HYPERLINK("https://www.boe.es/gazeta/dias/1809/05/12/pdfs/GMD-1809-132.pdf#page=3","Abrir facsímil")</f>
        <v>Abrir facsímil</v>
      </c>
      <c r="K1464" s="3" t="s">
        <v>57</v>
      </c>
    </row>
    <row r="1465" spans="1:11" ht="42" customHeight="1">
      <c r="A1465" s="2" t="s">
        <v>4337</v>
      </c>
      <c r="B1465" s="2" t="s">
        <v>4338</v>
      </c>
      <c r="C1465" s="2" t="s">
        <v>79</v>
      </c>
      <c r="D1465" s="2" t="s">
        <v>18</v>
      </c>
      <c r="E1465" s="3" t="s">
        <v>299</v>
      </c>
      <c r="F1465" s="3" t="s">
        <v>300</v>
      </c>
      <c r="G1465" s="3" t="s">
        <v>301</v>
      </c>
      <c r="H1465" s="2" t="s">
        <v>55</v>
      </c>
      <c r="I1465" s="2" t="s">
        <v>4339</v>
      </c>
      <c r="J1465" s="3" t="str">
        <f>HYPERLINK("https://www.boe.es/gazeta/dias/1809/05/26/pdfs/GGB-1809-31.pdf#page=10","Abrir facsímil")</f>
        <v>Abrir facsímil</v>
      </c>
      <c r="K1465" s="3" t="s">
        <v>57</v>
      </c>
    </row>
    <row r="1466" spans="1:11" ht="42" customHeight="1">
      <c r="A1466" s="2" t="s">
        <v>4340</v>
      </c>
      <c r="B1466" s="2" t="s">
        <v>4341</v>
      </c>
      <c r="C1466" s="2" t="s">
        <v>17</v>
      </c>
      <c r="D1466" s="2" t="s">
        <v>18</v>
      </c>
      <c r="E1466" s="3" t="s">
        <v>3397</v>
      </c>
      <c r="F1466" s="3" t="s">
        <v>3398</v>
      </c>
      <c r="G1466" s="3" t="s">
        <v>4342</v>
      </c>
      <c r="H1466" s="2" t="s">
        <v>55</v>
      </c>
      <c r="I1466" s="2" t="s">
        <v>4343</v>
      </c>
      <c r="J1466" s="3" t="str">
        <f>HYPERLINK("https://www.boe.es/gazeta/dias/1809/02/08/pdfs/GMD-1809-39.pdf#page=3","Abrir facsímil")</f>
        <v>Abrir facsímil</v>
      </c>
      <c r="K1466" s="3" t="s">
        <v>57</v>
      </c>
    </row>
    <row r="1467" spans="1:11" ht="42" customHeight="1">
      <c r="A1467" s="2" t="s">
        <v>4344</v>
      </c>
      <c r="B1467" s="2" t="s">
        <v>4345</v>
      </c>
      <c r="C1467" s="2" t="s">
        <v>25</v>
      </c>
      <c r="D1467" s="2" t="s">
        <v>26</v>
      </c>
      <c r="E1467" s="3" t="s">
        <v>755</v>
      </c>
      <c r="F1467" s="3" t="s">
        <v>2335</v>
      </c>
      <c r="G1467" s="3" t="s">
        <v>623</v>
      </c>
      <c r="H1467" s="2" t="s">
        <v>55</v>
      </c>
      <c r="I1467" s="2" t="s">
        <v>4346</v>
      </c>
      <c r="J1467" s="3" t="str">
        <f>HYPERLINK("https://www.boe.es/gazeta/dias/1809/05/20/pdfs/GGB-1809-29E2.pdf#page=6","Abrir facsímil")</f>
        <v>Abrir facsímil</v>
      </c>
      <c r="K1467" s="3" t="s">
        <v>57</v>
      </c>
    </row>
    <row r="1468" spans="1:11" ht="42" customHeight="1">
      <c r="A1468" s="2" t="s">
        <v>4347</v>
      </c>
      <c r="B1468" s="2" t="s">
        <v>4348</v>
      </c>
      <c r="C1468" s="2" t="s">
        <v>17</v>
      </c>
      <c r="D1468" s="2" t="s">
        <v>80</v>
      </c>
      <c r="E1468" s="3" t="s">
        <v>1110</v>
      </c>
      <c r="F1468" s="3" t="s">
        <v>1532</v>
      </c>
      <c r="G1468" s="3" t="s">
        <v>3808</v>
      </c>
      <c r="H1468" s="2" t="s">
        <v>55</v>
      </c>
      <c r="I1468" s="2" t="s">
        <v>4349</v>
      </c>
      <c r="J1468" s="3" t="str">
        <f>HYPERLINK("https://www.boe.es/gazeta/dias/1809/06/20/pdfs/GGB-1809-38E2.pdf#page=3","Abrir facsímil")</f>
        <v>Abrir facsímil</v>
      </c>
      <c r="K1468" s="3" t="s">
        <v>57</v>
      </c>
    </row>
    <row r="1469" spans="1:11" ht="42" customHeight="1">
      <c r="A1469" s="2" t="s">
        <v>4350</v>
      </c>
      <c r="B1469" s="2" t="s">
        <v>4351</v>
      </c>
      <c r="C1469" s="2" t="s">
        <v>47</v>
      </c>
      <c r="D1469" s="2" t="s">
        <v>18</v>
      </c>
      <c r="E1469" s="3" t="s">
        <v>229</v>
      </c>
      <c r="F1469" s="3" t="s">
        <v>230</v>
      </c>
      <c r="G1469" s="3" t="s">
        <v>154</v>
      </c>
      <c r="H1469" s="2" t="s">
        <v>55</v>
      </c>
      <c r="I1469" s="2" t="s">
        <v>4352</v>
      </c>
      <c r="J1469" s="3" t="str">
        <f>HYPERLINK("https://www.boe.es/gazeta/dias/1809/02/26/pdfs/GMD-1809-57.pdf#page=3","Abrir facsímil")</f>
        <v>Abrir facsímil</v>
      </c>
      <c r="K1469" s="3" t="s">
        <v>57</v>
      </c>
    </row>
    <row r="1470" spans="1:11" ht="42" customHeight="1">
      <c r="A1470" s="2" t="s">
        <v>4353</v>
      </c>
      <c r="B1470" s="2" t="s">
        <v>4354</v>
      </c>
      <c r="C1470" s="2" t="s">
        <v>17</v>
      </c>
      <c r="D1470" s="2" t="s">
        <v>40</v>
      </c>
      <c r="E1470" s="3" t="s">
        <v>1616</v>
      </c>
      <c r="F1470" s="3" t="s">
        <v>1617</v>
      </c>
      <c r="G1470" s="3" t="s">
        <v>75</v>
      </c>
      <c r="H1470" s="2" t="s">
        <v>22</v>
      </c>
      <c r="I1470" s="2" t="s">
        <v>4355</v>
      </c>
      <c r="J1470" s="3" t="str">
        <f>HYPERLINK("https://www.boe.es/gazeta/dias/1809/01/14/pdfs/GGB-1809-3.pdf#page=2","Abrir facsímil")</f>
        <v>Abrir facsímil</v>
      </c>
      <c r="K1470" s="3" t="s">
        <v>24</v>
      </c>
    </row>
    <row r="1471" spans="1:11" ht="42" customHeight="1">
      <c r="A1471" s="2" t="s">
        <v>4356</v>
      </c>
      <c r="B1471" s="2" t="s">
        <v>4357</v>
      </c>
      <c r="C1471" s="2" t="s">
        <v>17</v>
      </c>
      <c r="D1471" s="2" t="s">
        <v>72</v>
      </c>
      <c r="E1471" s="3" t="s">
        <v>243</v>
      </c>
      <c r="F1471" s="3" t="s">
        <v>244</v>
      </c>
      <c r="G1471" s="3" t="s">
        <v>582</v>
      </c>
      <c r="H1471" s="2" t="s">
        <v>55</v>
      </c>
      <c r="I1471" s="2" t="s">
        <v>4358</v>
      </c>
      <c r="J1471" s="3" t="str">
        <f>HYPERLINK("https://www.boe.es/gazeta/dias/1809/02/17/pdfs/GGB-G-1809-8.pdf#page=7","Abrir facsímil")</f>
        <v>Abrir facsímil</v>
      </c>
      <c r="K1471" s="3" t="s">
        <v>57</v>
      </c>
    </row>
    <row r="1472" spans="1:11" ht="42" customHeight="1">
      <c r="A1472" s="2" t="s">
        <v>4359</v>
      </c>
      <c r="B1472" s="2" t="s">
        <v>4360</v>
      </c>
      <c r="C1472" s="2" t="s">
        <v>39</v>
      </c>
      <c r="D1472" s="2" t="s">
        <v>40</v>
      </c>
      <c r="E1472" s="3" t="s">
        <v>4361</v>
      </c>
      <c r="F1472" s="3" t="s">
        <v>4362</v>
      </c>
      <c r="G1472" s="3" t="s">
        <v>918</v>
      </c>
      <c r="H1472" s="2" t="s">
        <v>55</v>
      </c>
      <c r="I1472" s="2" t="s">
        <v>4363</v>
      </c>
      <c r="J1472" s="3" t="str">
        <f>HYPERLINK("https://www.boe.es/gazeta/dias/1809/01/28/pdfs/GMD-1809-28.pdf#page=4","Abrir facsímil")</f>
        <v>Abrir facsímil</v>
      </c>
      <c r="K1472" s="3" t="s">
        <v>57</v>
      </c>
    </row>
    <row r="1473" spans="1:11" ht="42" customHeight="1">
      <c r="A1473" s="2" t="s">
        <v>4364</v>
      </c>
      <c r="B1473" s="2" t="s">
        <v>4365</v>
      </c>
      <c r="C1473" s="2" t="s">
        <v>2176</v>
      </c>
      <c r="D1473" s="2" t="s">
        <v>18</v>
      </c>
      <c r="E1473" s="3" t="s">
        <v>838</v>
      </c>
      <c r="F1473" s="3" t="s">
        <v>839</v>
      </c>
      <c r="G1473" s="3" t="s">
        <v>906</v>
      </c>
      <c r="H1473" s="2" t="s">
        <v>55</v>
      </c>
      <c r="I1473" s="2" t="s">
        <v>4366</v>
      </c>
      <c r="J1473" s="3" t="str">
        <f>HYPERLINK("https://www.boe.es/gazeta/dias/1809/08/03/pdfs/GGB-1809-12.pdf#page=8","Abrir facsímil")</f>
        <v>Abrir facsímil</v>
      </c>
      <c r="K1473" s="3" t="s">
        <v>57</v>
      </c>
    </row>
    <row r="1474" spans="1:11" ht="42" customHeight="1">
      <c r="A1474" s="2" t="s">
        <v>4367</v>
      </c>
      <c r="B1474" s="2" t="s">
        <v>4368</v>
      </c>
      <c r="C1474" s="2" t="s">
        <v>369</v>
      </c>
      <c r="D1474" s="2" t="s">
        <v>40</v>
      </c>
      <c r="E1474" s="3" t="s">
        <v>904</v>
      </c>
      <c r="F1474" s="3" t="s">
        <v>905</v>
      </c>
      <c r="G1474" s="3" t="s">
        <v>918</v>
      </c>
      <c r="H1474" s="2" t="s">
        <v>55</v>
      </c>
      <c r="I1474" s="2" t="s">
        <v>4369</v>
      </c>
      <c r="J1474" s="3" t="str">
        <f>HYPERLINK("https://www.boe.es/gazeta/dias/1809/07/07/pdfs/GGB-1809-43.pdf#page=12","Abrir facsímil")</f>
        <v>Abrir facsímil</v>
      </c>
      <c r="K1474" s="3" t="s">
        <v>57</v>
      </c>
    </row>
    <row r="1475" spans="1:11" ht="42" customHeight="1">
      <c r="A1475" s="2" t="s">
        <v>4370</v>
      </c>
      <c r="B1475" s="2" t="s">
        <v>4371</v>
      </c>
      <c r="C1475" s="2" t="s">
        <v>25</v>
      </c>
      <c r="D1475" s="2" t="s">
        <v>26</v>
      </c>
      <c r="E1475" s="3" t="s">
        <v>548</v>
      </c>
      <c r="F1475" s="3" t="s">
        <v>549</v>
      </c>
      <c r="G1475" s="3" t="s">
        <v>687</v>
      </c>
      <c r="H1475" s="2" t="s">
        <v>55</v>
      </c>
      <c r="I1475" s="2" t="s">
        <v>4372</v>
      </c>
      <c r="J1475" s="3" t="str">
        <f>HYPERLINK("https://www.boe.es/gazeta/dias/1809/03/12/pdfs/GMD-1809-71.pdf#page=2","Abrir facsímil")</f>
        <v>Abrir facsímil</v>
      </c>
      <c r="K1475" s="3" t="s">
        <v>57</v>
      </c>
    </row>
    <row r="1476" spans="1:11" ht="42" customHeight="1">
      <c r="A1476" s="2" t="s">
        <v>4370</v>
      </c>
      <c r="B1476" s="2" t="s">
        <v>4371</v>
      </c>
      <c r="C1476" s="2" t="s">
        <v>131</v>
      </c>
      <c r="D1476" s="2" t="s">
        <v>18</v>
      </c>
      <c r="E1476" s="3" t="s">
        <v>551</v>
      </c>
      <c r="F1476" s="3" t="s">
        <v>552</v>
      </c>
      <c r="G1476" s="3" t="s">
        <v>553</v>
      </c>
      <c r="H1476" s="2" t="s">
        <v>55</v>
      </c>
      <c r="I1476" s="2" t="s">
        <v>4373</v>
      </c>
      <c r="J1476" s="3" t="str">
        <f>HYPERLINK("https://www.boe.es/gazeta/dias/1809/05/04/pdfs/GMD-1809-124.pdf#page=1","Abrir facsímil")</f>
        <v>Abrir facsímil</v>
      </c>
      <c r="K1476" s="3" t="s">
        <v>57</v>
      </c>
    </row>
    <row r="1477" spans="1:11" ht="42" customHeight="1">
      <c r="A1477" s="2" t="s">
        <v>4374</v>
      </c>
      <c r="B1477" s="2" t="s">
        <v>4375</v>
      </c>
      <c r="C1477" s="2" t="s">
        <v>17</v>
      </c>
      <c r="D1477" s="2" t="s">
        <v>18</v>
      </c>
      <c r="E1477" s="3" t="s">
        <v>551</v>
      </c>
      <c r="F1477" s="3" t="s">
        <v>552</v>
      </c>
      <c r="G1477" s="3" t="s">
        <v>29</v>
      </c>
      <c r="H1477" s="2" t="s">
        <v>55</v>
      </c>
      <c r="I1477" s="2" t="s">
        <v>4376</v>
      </c>
      <c r="J1477" s="3" t="str">
        <f>HYPERLINK("https://www.boe.es/gazeta/dias/1809/05/04/pdfs/GMD-1809-124.pdf#page=3","Abrir facsímil")</f>
        <v>Abrir facsímil</v>
      </c>
      <c r="K1477" s="3" t="s">
        <v>57</v>
      </c>
    </row>
    <row r="1478" spans="1:11" ht="42" customHeight="1">
      <c r="A1478" s="2" t="s">
        <v>4374</v>
      </c>
      <c r="B1478" s="2" t="s">
        <v>4375</v>
      </c>
      <c r="C1478" s="2" t="s">
        <v>47</v>
      </c>
      <c r="D1478" s="2" t="s">
        <v>18</v>
      </c>
      <c r="E1478" s="3" t="s">
        <v>299</v>
      </c>
      <c r="F1478" s="3" t="s">
        <v>300</v>
      </c>
      <c r="G1478" s="3" t="s">
        <v>693</v>
      </c>
      <c r="H1478" s="2" t="s">
        <v>55</v>
      </c>
      <c r="I1478" s="2" t="s">
        <v>4377</v>
      </c>
      <c r="J1478" s="3" t="str">
        <f>HYPERLINK("https://www.boe.es/gazeta/dias/1809/05/26/pdfs/GGB-1809-31.pdf#page=9","Abrir facsímil")</f>
        <v>Abrir facsímil</v>
      </c>
      <c r="K1478" s="3" t="s">
        <v>57</v>
      </c>
    </row>
    <row r="1479" spans="1:11" ht="42" customHeight="1">
      <c r="A1479" s="2" t="s">
        <v>4378</v>
      </c>
      <c r="B1479" s="2" t="s">
        <v>4379</v>
      </c>
      <c r="C1479" s="2" t="s">
        <v>2176</v>
      </c>
      <c r="D1479" s="2" t="s">
        <v>18</v>
      </c>
      <c r="E1479" s="3" t="s">
        <v>635</v>
      </c>
      <c r="F1479" s="3" t="s">
        <v>636</v>
      </c>
      <c r="G1479" s="3" t="s">
        <v>637</v>
      </c>
      <c r="H1479" s="2" t="s">
        <v>55</v>
      </c>
      <c r="I1479" s="2" t="s">
        <v>4380</v>
      </c>
      <c r="J1479" s="3" t="str">
        <f>HYPERLINK("https://www.boe.es/gazeta/dias/1809/12/16/pdfs/GGB-1809-592.pdf#page=6","Abrir facsímil")</f>
        <v>Abrir facsímil</v>
      </c>
      <c r="K1479" s="3" t="s">
        <v>57</v>
      </c>
    </row>
    <row r="1480" spans="1:11" ht="42" customHeight="1">
      <c r="A1480" s="2" t="s">
        <v>4381</v>
      </c>
      <c r="B1480" s="2" t="s">
        <v>4382</v>
      </c>
      <c r="C1480" s="2" t="s">
        <v>25</v>
      </c>
      <c r="D1480" s="2" t="s">
        <v>18</v>
      </c>
      <c r="E1480" s="3" t="s">
        <v>1551</v>
      </c>
      <c r="F1480" s="3" t="s">
        <v>1552</v>
      </c>
      <c r="G1480" s="3" t="s">
        <v>169</v>
      </c>
      <c r="H1480" s="2" t="s">
        <v>55</v>
      </c>
      <c r="I1480" s="2" t="s">
        <v>4383</v>
      </c>
      <c r="J1480" s="3" t="str">
        <f>HYPERLINK("https://www.boe.es/gazeta/dias/1809/06/12/pdfs/GGB-1809-36.pdf#page=11","Abrir facsímil")</f>
        <v>Abrir facsímil</v>
      </c>
      <c r="K1480" s="3" t="s">
        <v>57</v>
      </c>
    </row>
    <row r="1481" spans="1:11" ht="42" customHeight="1">
      <c r="A1481" s="2" t="s">
        <v>4384</v>
      </c>
      <c r="B1481" s="2" t="s">
        <v>4385</v>
      </c>
      <c r="C1481" s="2" t="s">
        <v>25</v>
      </c>
      <c r="D1481" s="2" t="s">
        <v>40</v>
      </c>
      <c r="E1481" s="3" t="s">
        <v>464</v>
      </c>
      <c r="F1481" s="3" t="s">
        <v>465</v>
      </c>
      <c r="G1481" s="3" t="s">
        <v>861</v>
      </c>
      <c r="H1481" s="2" t="s">
        <v>55</v>
      </c>
      <c r="I1481" s="2" t="s">
        <v>4386</v>
      </c>
      <c r="J1481" s="3" t="str">
        <f>HYPERLINK("https://www.boe.es/gazeta/dias/1809/07/05/pdfs/GMD-1809-186.pdf#page=2","Abrir facsímil")</f>
        <v>Abrir facsímil</v>
      </c>
      <c r="K1481" s="3" t="s">
        <v>57</v>
      </c>
    </row>
    <row r="1482" spans="1:11" ht="42" customHeight="1">
      <c r="A1482" s="2" t="s">
        <v>4387</v>
      </c>
      <c r="B1482" s="2" t="s">
        <v>4388</v>
      </c>
      <c r="C1482" s="2" t="s">
        <v>17</v>
      </c>
      <c r="D1482" s="2" t="s">
        <v>18</v>
      </c>
      <c r="E1482" s="3" t="s">
        <v>4389</v>
      </c>
      <c r="F1482" s="3" t="s">
        <v>4390</v>
      </c>
      <c r="G1482" s="3" t="s">
        <v>4391</v>
      </c>
      <c r="H1482" s="2" t="s">
        <v>55</v>
      </c>
      <c r="I1482" s="2" t="s">
        <v>4392</v>
      </c>
      <c r="J1482" s="3" t="str">
        <f>HYPERLINK("https://www.boe.es/gazeta/dias/1809/02/06/pdfs/GMD-1809-37.pdf#page=4","Abrir facsímil")</f>
        <v>Abrir facsímil</v>
      </c>
      <c r="K1482" s="3" t="s">
        <v>57</v>
      </c>
    </row>
    <row r="1483" spans="1:11" ht="42" customHeight="1">
      <c r="A1483" s="2" t="s">
        <v>4393</v>
      </c>
      <c r="B1483" s="2" t="s">
        <v>4394</v>
      </c>
      <c r="C1483" s="2" t="s">
        <v>17</v>
      </c>
      <c r="D1483" s="2" t="s">
        <v>18</v>
      </c>
      <c r="E1483" s="3" t="s">
        <v>621</v>
      </c>
      <c r="F1483" s="3" t="s">
        <v>622</v>
      </c>
      <c r="G1483" s="3" t="s">
        <v>595</v>
      </c>
      <c r="H1483" s="2" t="s">
        <v>55</v>
      </c>
      <c r="I1483" s="2" t="s">
        <v>4395</v>
      </c>
      <c r="J1483" s="3" t="str">
        <f>HYPERLINK("https://www.boe.es/gazeta/dias/1809/07/04/pdfs/GGB-1809-42.pdf#page=7","Abrir facsímil")</f>
        <v>Abrir facsímil</v>
      </c>
      <c r="K1483" s="3" t="s">
        <v>57</v>
      </c>
    </row>
    <row r="1484" spans="1:11" ht="42" customHeight="1">
      <c r="A1484" s="2" t="s">
        <v>4396</v>
      </c>
      <c r="B1484" s="2" t="s">
        <v>4397</v>
      </c>
      <c r="C1484" s="2" t="s">
        <v>131</v>
      </c>
      <c r="D1484" s="2" t="s">
        <v>40</v>
      </c>
      <c r="E1484" s="3" t="s">
        <v>1586</v>
      </c>
      <c r="F1484" s="3" t="s">
        <v>1587</v>
      </c>
      <c r="G1484" s="3" t="s">
        <v>270</v>
      </c>
      <c r="H1484" s="2" t="s">
        <v>55</v>
      </c>
      <c r="I1484" s="2" t="s">
        <v>4398</v>
      </c>
      <c r="J1484" s="3" t="str">
        <f>HYPERLINK("https://www.boe.es/gazeta/dias/1809/02/20/pdfs/GMD-1809-51.pdf#page=3","Abrir facsímil")</f>
        <v>Abrir facsímil</v>
      </c>
      <c r="K1484" s="3" t="s">
        <v>57</v>
      </c>
    </row>
    <row r="1485" spans="1:11" ht="42" customHeight="1">
      <c r="A1485" s="2" t="s">
        <v>4399</v>
      </c>
      <c r="B1485" s="2" t="s">
        <v>4400</v>
      </c>
      <c r="C1485" s="2" t="s">
        <v>131</v>
      </c>
      <c r="D1485" s="2" t="s">
        <v>26</v>
      </c>
      <c r="E1485" s="3" t="s">
        <v>712</v>
      </c>
      <c r="F1485" s="3" t="s">
        <v>713</v>
      </c>
      <c r="G1485" s="3" t="s">
        <v>154</v>
      </c>
      <c r="H1485" s="2" t="s">
        <v>55</v>
      </c>
      <c r="I1485" s="2" t="s">
        <v>4401</v>
      </c>
      <c r="J1485" s="3" t="str">
        <f>HYPERLINK("https://www.boe.es/gazeta/dias/1809/09/10/pdfs/GMD-1809-254.pdf#page=3","Abrir facsímil")</f>
        <v>Abrir facsímil</v>
      </c>
      <c r="K1485" s="3" t="s">
        <v>57</v>
      </c>
    </row>
    <row r="1486" spans="1:11" ht="42" customHeight="1">
      <c r="A1486" s="2" t="s">
        <v>4402</v>
      </c>
      <c r="B1486" s="2" t="s">
        <v>4403</v>
      </c>
      <c r="C1486" s="2" t="s">
        <v>17</v>
      </c>
      <c r="D1486" s="2" t="s">
        <v>18</v>
      </c>
      <c r="E1486" s="3" t="s">
        <v>299</v>
      </c>
      <c r="F1486" s="3" t="s">
        <v>300</v>
      </c>
      <c r="G1486" s="3" t="s">
        <v>693</v>
      </c>
      <c r="H1486" s="2" t="s">
        <v>55</v>
      </c>
      <c r="I1486" s="2" t="s">
        <v>4404</v>
      </c>
      <c r="J1486" s="3" t="str">
        <f>HYPERLINK("https://www.boe.es/gazeta/dias/1809/05/26/pdfs/GGB-1809-31.pdf#page=9","Abrir facsímil")</f>
        <v>Abrir facsímil</v>
      </c>
      <c r="K1486" s="3" t="s">
        <v>57</v>
      </c>
    </row>
    <row r="1487" spans="1:11" ht="42" customHeight="1">
      <c r="A1487" s="2" t="s">
        <v>4405</v>
      </c>
      <c r="B1487" s="2" t="s">
        <v>4406</v>
      </c>
      <c r="C1487" s="2" t="s">
        <v>25</v>
      </c>
      <c r="D1487" s="2" t="s">
        <v>18</v>
      </c>
      <c r="E1487" s="3" t="s">
        <v>243</v>
      </c>
      <c r="F1487" s="3" t="s">
        <v>735</v>
      </c>
      <c r="G1487" s="3" t="s">
        <v>736</v>
      </c>
      <c r="H1487" s="2" t="s">
        <v>55</v>
      </c>
      <c r="I1487" s="2" t="s">
        <v>4407</v>
      </c>
      <c r="J1487" s="3" t="str">
        <f>HYPERLINK("https://www.boe.es/gazeta/dias/1809/02/17/pdfs/GGB-1809-8.pdf#page=8","Abrir facsímil")</f>
        <v>Abrir facsímil</v>
      </c>
      <c r="K1487" s="3" t="s">
        <v>57</v>
      </c>
    </row>
    <row r="1488" spans="1:11" ht="42" customHeight="1">
      <c r="A1488" s="2" t="s">
        <v>4408</v>
      </c>
      <c r="B1488" s="2" t="s">
        <v>4409</v>
      </c>
      <c r="C1488" s="2" t="s">
        <v>17</v>
      </c>
      <c r="D1488" s="2" t="s">
        <v>107</v>
      </c>
      <c r="E1488" s="3" t="s">
        <v>2249</v>
      </c>
      <c r="F1488" s="3" t="s">
        <v>2250</v>
      </c>
      <c r="G1488" s="3" t="s">
        <v>2585</v>
      </c>
      <c r="H1488" s="2" t="s">
        <v>55</v>
      </c>
      <c r="I1488" s="2" t="s">
        <v>4410</v>
      </c>
      <c r="J1488" s="3" t="str">
        <f>HYPERLINK("https://www.boe.es/gazeta/dias/1809/06/08/pdfs/GMD-1809-159.pdf#page=1","Abrir facsímil")</f>
        <v>Abrir facsímil</v>
      </c>
      <c r="K1488" s="3" t="s">
        <v>57</v>
      </c>
    </row>
    <row r="1489" spans="1:11" ht="42" customHeight="1">
      <c r="A1489" s="2" t="s">
        <v>4411</v>
      </c>
      <c r="B1489" s="2" t="s">
        <v>4412</v>
      </c>
      <c r="C1489" s="2" t="s">
        <v>25</v>
      </c>
      <c r="D1489" s="2" t="s">
        <v>72</v>
      </c>
      <c r="E1489" s="3" t="s">
        <v>190</v>
      </c>
      <c r="F1489" s="3" t="s">
        <v>3505</v>
      </c>
      <c r="G1489" s="3" t="s">
        <v>1278</v>
      </c>
      <c r="H1489" s="2" t="s">
        <v>22</v>
      </c>
      <c r="I1489" s="2" t="s">
        <v>4413</v>
      </c>
      <c r="J1489" s="3" t="str">
        <f>HYPERLINK("https://www.boe.es/gazeta/dias/1809/10/14/pdfs/GGB-H-1809-322.pdf#page=6","Abrir facsímil")</f>
        <v>Abrir facsímil</v>
      </c>
      <c r="K1489" s="3" t="s">
        <v>24</v>
      </c>
    </row>
    <row r="1490" spans="1:11" ht="42" customHeight="1">
      <c r="A1490" s="2" t="s">
        <v>4414</v>
      </c>
      <c r="B1490" s="2" t="s">
        <v>4415</v>
      </c>
      <c r="C1490" s="2" t="s">
        <v>39</v>
      </c>
      <c r="D1490" s="2" t="s">
        <v>18</v>
      </c>
      <c r="E1490" s="3" t="s">
        <v>322</v>
      </c>
      <c r="F1490" s="3" t="s">
        <v>435</v>
      </c>
      <c r="G1490" s="3" t="s">
        <v>136</v>
      </c>
      <c r="H1490" s="2" t="s">
        <v>55</v>
      </c>
      <c r="I1490" s="2" t="s">
        <v>4416</v>
      </c>
      <c r="J1490" s="3" t="str">
        <f>HYPERLINK("https://www.boe.es/gazeta/dias/1809/07/21/pdfs/GGB-1809-47.pdf#page=12","Abrir facsímil")</f>
        <v>Abrir facsímil</v>
      </c>
      <c r="K1490" s="3" t="s">
        <v>57</v>
      </c>
    </row>
    <row r="1491" spans="1:11" ht="42" customHeight="1">
      <c r="A1491" s="2" t="s">
        <v>4417</v>
      </c>
      <c r="B1491" s="2" t="s">
        <v>4418</v>
      </c>
      <c r="C1491" s="2" t="s">
        <v>17</v>
      </c>
      <c r="D1491" s="2" t="s">
        <v>18</v>
      </c>
      <c r="E1491" s="3" t="s">
        <v>4389</v>
      </c>
      <c r="F1491" s="3" t="s">
        <v>4390</v>
      </c>
      <c r="G1491" s="3" t="s">
        <v>4391</v>
      </c>
      <c r="H1491" s="2" t="s">
        <v>55</v>
      </c>
      <c r="I1491" s="2" t="s">
        <v>4419</v>
      </c>
      <c r="J1491" s="3" t="str">
        <f>HYPERLINK("https://www.boe.es/gazeta/dias/1809/02/06/pdfs/GMD-1809-37.pdf#page=4","Abrir facsímil")</f>
        <v>Abrir facsímil</v>
      </c>
      <c r="K1491" s="3" t="s">
        <v>57</v>
      </c>
    </row>
    <row r="1492" spans="1:11" ht="42" customHeight="1">
      <c r="A1492" s="2" t="s">
        <v>4420</v>
      </c>
      <c r="B1492" s="2" t="s">
        <v>4421</v>
      </c>
      <c r="C1492" s="2" t="s">
        <v>25</v>
      </c>
      <c r="D1492" s="2" t="s">
        <v>18</v>
      </c>
      <c r="E1492" s="3" t="s">
        <v>201</v>
      </c>
      <c r="F1492" s="3" t="s">
        <v>202</v>
      </c>
      <c r="G1492" s="3" t="s">
        <v>186</v>
      </c>
      <c r="H1492" s="2" t="s">
        <v>55</v>
      </c>
      <c r="I1492" s="2" t="s">
        <v>4422</v>
      </c>
      <c r="J1492" s="3" t="str">
        <f>HYPERLINK("https://www.boe.es/gazeta/dias/1809/08/15/pdfs/GGB-1809-62.pdf#page=3","Abrir facsímil")</f>
        <v>Abrir facsímil</v>
      </c>
      <c r="K1492" s="3" t="s">
        <v>57</v>
      </c>
    </row>
    <row r="1493" spans="1:11" ht="42" customHeight="1">
      <c r="A1493" s="2" t="s">
        <v>4423</v>
      </c>
      <c r="B1493" s="2" t="s">
        <v>4424</v>
      </c>
      <c r="C1493" s="2" t="s">
        <v>17</v>
      </c>
      <c r="D1493" s="2" t="s">
        <v>18</v>
      </c>
      <c r="E1493" s="3" t="s">
        <v>500</v>
      </c>
      <c r="F1493" s="3" t="s">
        <v>2357</v>
      </c>
      <c r="G1493" s="3" t="s">
        <v>115</v>
      </c>
      <c r="H1493" s="2" t="s">
        <v>22</v>
      </c>
      <c r="I1493" s="2" t="s">
        <v>4425</v>
      </c>
      <c r="J1493" s="3" t="str">
        <f>HYPERLINK("https://www.boe.es/gazeta/dias/1809/03/24/pdfs/GGB-1809-13.pdf#page=6","Abrir facsímil")</f>
        <v>Abrir facsímil</v>
      </c>
      <c r="K1493" s="3" t="s">
        <v>24</v>
      </c>
    </row>
    <row r="1494" spans="1:11" ht="42" customHeight="1">
      <c r="A1494" s="2" t="s">
        <v>4426</v>
      </c>
      <c r="B1494" s="2" t="s">
        <v>4427</v>
      </c>
      <c r="C1494" s="2" t="s">
        <v>25</v>
      </c>
      <c r="D1494" s="2" t="s">
        <v>26</v>
      </c>
      <c r="E1494" s="3" t="s">
        <v>268</v>
      </c>
      <c r="F1494" s="3" t="s">
        <v>4428</v>
      </c>
      <c r="G1494" s="3" t="s">
        <v>250</v>
      </c>
      <c r="H1494" s="2" t="s">
        <v>22</v>
      </c>
      <c r="I1494" s="2" t="s">
        <v>4429</v>
      </c>
      <c r="J1494" s="3" t="str">
        <f>HYPERLINK("https://www.boe.es/gazeta/dias/1809/06/05/pdfs/GGB-1809-34E.pdf#page=1","Abrir facsímil")</f>
        <v>Abrir facsímil</v>
      </c>
      <c r="K1494" s="3" t="s">
        <v>24</v>
      </c>
    </row>
    <row r="1495" spans="1:11" ht="42" customHeight="1">
      <c r="A1495" s="2" t="s">
        <v>4430</v>
      </c>
      <c r="B1495" s="2" t="s">
        <v>4431</v>
      </c>
      <c r="C1495" s="2" t="s">
        <v>47</v>
      </c>
      <c r="D1495" s="2" t="s">
        <v>18</v>
      </c>
      <c r="E1495" s="3" t="s">
        <v>508</v>
      </c>
      <c r="F1495" s="3" t="s">
        <v>509</v>
      </c>
      <c r="G1495" s="3" t="s">
        <v>316</v>
      </c>
      <c r="H1495" s="2" t="s">
        <v>55</v>
      </c>
      <c r="I1495" s="2" t="s">
        <v>4432</v>
      </c>
      <c r="J1495" s="3" t="str">
        <f>HYPERLINK("https://www.boe.es/gazeta/dias/1809/06/21/pdfs/GMD-1809-172.pdf#page=4","Abrir facsímil")</f>
        <v>Abrir facsímil</v>
      </c>
      <c r="K1495" s="3" t="s">
        <v>57</v>
      </c>
    </row>
    <row r="1496" spans="1:11" ht="42" customHeight="1">
      <c r="A1496" s="2" t="s">
        <v>4433</v>
      </c>
      <c r="B1496" s="2" t="s">
        <v>4434</v>
      </c>
      <c r="C1496" s="2" t="s">
        <v>17</v>
      </c>
      <c r="D1496" s="2" t="s">
        <v>72</v>
      </c>
      <c r="E1496" s="3" t="s">
        <v>3178</v>
      </c>
      <c r="F1496" s="3" t="s">
        <v>3179</v>
      </c>
      <c r="G1496" s="3" t="s">
        <v>75</v>
      </c>
      <c r="H1496" s="2" t="s">
        <v>55</v>
      </c>
      <c r="I1496" s="2" t="s">
        <v>4435</v>
      </c>
      <c r="J1496" s="3" t="str">
        <f>HYPERLINK("https://www.boe.es/gazeta/dias/1809/04/20/pdfs/GMD-E-1809-110.pdf#page=2","Abrir facsímil")</f>
        <v>Abrir facsímil</v>
      </c>
      <c r="K1496" s="3" t="s">
        <v>57</v>
      </c>
    </row>
    <row r="1497" spans="1:11" ht="42" customHeight="1">
      <c r="A1497" s="2" t="s">
        <v>4436</v>
      </c>
      <c r="B1497" s="2" t="s">
        <v>4437</v>
      </c>
      <c r="C1497" s="2" t="s">
        <v>25</v>
      </c>
      <c r="D1497" s="2" t="s">
        <v>18</v>
      </c>
      <c r="E1497" s="3" t="s">
        <v>2818</v>
      </c>
      <c r="F1497" s="3" t="s">
        <v>4438</v>
      </c>
      <c r="G1497" s="3" t="s">
        <v>265</v>
      </c>
      <c r="H1497" s="2" t="s">
        <v>55</v>
      </c>
      <c r="I1497" s="2" t="s">
        <v>4439</v>
      </c>
      <c r="J1497" s="3" t="str">
        <f>HYPERLINK("https://www.boe.es/gazeta/dias/1809/02/03/pdfs/GGB-1809-6.pdf#page=6","Abrir facsímil")</f>
        <v>Abrir facsímil</v>
      </c>
      <c r="K1497" s="3" t="s">
        <v>57</v>
      </c>
    </row>
    <row r="1498" spans="1:11" ht="42" customHeight="1">
      <c r="A1498" s="2" t="s">
        <v>4440</v>
      </c>
      <c r="B1498" s="2" t="s">
        <v>4441</v>
      </c>
      <c r="C1498" s="2" t="s">
        <v>25</v>
      </c>
      <c r="D1498" s="2" t="s">
        <v>26</v>
      </c>
      <c r="E1498" s="3" t="s">
        <v>243</v>
      </c>
      <c r="F1498" s="3" t="s">
        <v>735</v>
      </c>
      <c r="G1498" s="3" t="s">
        <v>3928</v>
      </c>
      <c r="H1498" s="2" t="s">
        <v>55</v>
      </c>
      <c r="I1498" s="2" t="s">
        <v>4442</v>
      </c>
      <c r="J1498" s="3" t="str">
        <f>HYPERLINK("https://www.boe.es/gazeta/dias/1809/02/17/pdfs/GGB-1809-8.pdf#page=6","Abrir facsímil")</f>
        <v>Abrir facsímil</v>
      </c>
      <c r="K1498" s="3" t="s">
        <v>57</v>
      </c>
    </row>
    <row r="1499" spans="1:11" ht="42" customHeight="1">
      <c r="A1499" s="2" t="s">
        <v>4443</v>
      </c>
      <c r="B1499" s="2" t="s">
        <v>4444</v>
      </c>
      <c r="C1499" s="2" t="s">
        <v>47</v>
      </c>
      <c r="D1499" s="2" t="s">
        <v>18</v>
      </c>
      <c r="E1499" s="3" t="s">
        <v>1460</v>
      </c>
      <c r="F1499" s="3" t="s">
        <v>1461</v>
      </c>
      <c r="G1499" s="3" t="s">
        <v>75</v>
      </c>
      <c r="H1499" s="2" t="s">
        <v>55</v>
      </c>
      <c r="I1499" s="2" t="s">
        <v>4445</v>
      </c>
      <c r="J1499" s="3" t="str">
        <f>HYPERLINK("https://www.boe.es/gazeta/dias/1809/04/02/pdfs/GMD-1809-92.pdf#page=4","Abrir facsímil")</f>
        <v>Abrir facsímil</v>
      </c>
      <c r="K1499" s="3" t="s">
        <v>57</v>
      </c>
    </row>
    <row r="1500" spans="1:11" ht="42" customHeight="1">
      <c r="A1500" s="2" t="s">
        <v>4446</v>
      </c>
      <c r="B1500" s="2" t="s">
        <v>4447</v>
      </c>
      <c r="C1500" s="2" t="s">
        <v>25</v>
      </c>
      <c r="D1500" s="2" t="s">
        <v>18</v>
      </c>
      <c r="E1500" s="3" t="s">
        <v>27</v>
      </c>
      <c r="F1500" s="3" t="s">
        <v>254</v>
      </c>
      <c r="G1500" s="3" t="s">
        <v>239</v>
      </c>
      <c r="H1500" s="2" t="s">
        <v>55</v>
      </c>
      <c r="I1500" s="2" t="s">
        <v>4448</v>
      </c>
      <c r="J1500" s="3" t="str">
        <f>HYPERLINK("https://www.boe.es/gazeta/dias/1809/05/12/pdfs/GGB-1809-26.pdf#page=11","Abrir facsímil")</f>
        <v>Abrir facsímil</v>
      </c>
      <c r="K1500" s="3" t="s">
        <v>57</v>
      </c>
    </row>
    <row r="1501" spans="1:11" ht="42" customHeight="1">
      <c r="A1501" s="2" t="s">
        <v>4449</v>
      </c>
      <c r="B1501" s="2" t="s">
        <v>4450</v>
      </c>
      <c r="C1501" s="2" t="s">
        <v>25</v>
      </c>
      <c r="D1501" s="2" t="s">
        <v>80</v>
      </c>
      <c r="E1501" s="3" t="s">
        <v>179</v>
      </c>
      <c r="F1501" s="3" t="s">
        <v>180</v>
      </c>
      <c r="G1501" s="3" t="s">
        <v>966</v>
      </c>
      <c r="H1501" s="2" t="s">
        <v>55</v>
      </c>
      <c r="I1501" s="2" t="s">
        <v>4451</v>
      </c>
      <c r="J1501" s="3" t="str">
        <f>HYPERLINK("https://www.boe.es/gazeta/dias/1809/12/08/pdfs/GGB-1809-552E.pdf#page=3","Abrir facsímil")</f>
        <v>Abrir facsímil</v>
      </c>
      <c r="K1501" s="3" t="s">
        <v>57</v>
      </c>
    </row>
    <row r="1502" spans="1:11" ht="42" customHeight="1">
      <c r="A1502" s="2" t="s">
        <v>4452</v>
      </c>
      <c r="B1502" s="2" t="s">
        <v>4453</v>
      </c>
      <c r="C1502" s="2" t="s">
        <v>25</v>
      </c>
      <c r="D1502" s="2" t="s">
        <v>80</v>
      </c>
      <c r="E1502" s="3" t="s">
        <v>81</v>
      </c>
      <c r="F1502" s="3" t="s">
        <v>82</v>
      </c>
      <c r="G1502" s="3" t="s">
        <v>120</v>
      </c>
      <c r="H1502" s="2" t="s">
        <v>55</v>
      </c>
      <c r="I1502" s="2" t="s">
        <v>4454</v>
      </c>
      <c r="J1502" s="3" t="str">
        <f>HYPERLINK("https://www.boe.es/gazeta/dias/1809/04/11/pdfs/GGB-1809-16E.pdf#page=5","Abrir facsímil")</f>
        <v>Abrir facsímil</v>
      </c>
      <c r="K1502" s="3" t="s">
        <v>57</v>
      </c>
    </row>
    <row r="1503" spans="1:11" ht="42" customHeight="1">
      <c r="A1503" s="2" t="s">
        <v>4455</v>
      </c>
      <c r="B1503" s="2" t="s">
        <v>4456</v>
      </c>
      <c r="C1503" s="2" t="s">
        <v>25</v>
      </c>
      <c r="D1503" s="2" t="s">
        <v>18</v>
      </c>
      <c r="E1503" s="3" t="s">
        <v>27</v>
      </c>
      <c r="F1503" s="3" t="s">
        <v>254</v>
      </c>
      <c r="G1503" s="3" t="s">
        <v>239</v>
      </c>
      <c r="H1503" s="2" t="s">
        <v>55</v>
      </c>
      <c r="I1503" s="2" t="s">
        <v>4457</v>
      </c>
      <c r="J1503" s="3" t="str">
        <f>HYPERLINK("https://www.boe.es/gazeta/dias/1809/05/12/pdfs/GGB-1809-26.pdf#page=11","Abrir facsímil")</f>
        <v>Abrir facsímil</v>
      </c>
      <c r="K1503" s="3" t="s">
        <v>57</v>
      </c>
    </row>
    <row r="1504" spans="1:11" ht="42" customHeight="1">
      <c r="A1504" s="2" t="s">
        <v>4458</v>
      </c>
      <c r="B1504" s="2" t="s">
        <v>4459</v>
      </c>
      <c r="C1504" s="2" t="s">
        <v>25</v>
      </c>
      <c r="D1504" s="2" t="s">
        <v>72</v>
      </c>
      <c r="E1504" s="3" t="s">
        <v>143</v>
      </c>
      <c r="F1504" s="3" t="s">
        <v>705</v>
      </c>
      <c r="G1504" s="3" t="s">
        <v>225</v>
      </c>
      <c r="H1504" s="2" t="s">
        <v>55</v>
      </c>
      <c r="I1504" s="2" t="s">
        <v>4460</v>
      </c>
      <c r="J1504" s="3" t="str">
        <f>HYPERLINK("https://www.boe.es/gazeta/dias/1809/11/16/pdfs/GGB-H-1809-462.pdf#page=4","Abrir facsímil")</f>
        <v>Abrir facsímil</v>
      </c>
      <c r="K1504" s="3" t="s">
        <v>57</v>
      </c>
    </row>
    <row r="1505" spans="1:11" ht="42" customHeight="1">
      <c r="A1505" s="2" t="s">
        <v>4461</v>
      </c>
      <c r="B1505" s="2" t="s">
        <v>4462</v>
      </c>
      <c r="C1505" s="2" t="s">
        <v>17</v>
      </c>
      <c r="D1505" s="2" t="s">
        <v>18</v>
      </c>
      <c r="E1505" s="3" t="s">
        <v>2249</v>
      </c>
      <c r="F1505" s="3" t="s">
        <v>2250</v>
      </c>
      <c r="G1505" s="3" t="s">
        <v>2251</v>
      </c>
      <c r="H1505" s="2" t="s">
        <v>55</v>
      </c>
      <c r="I1505" s="2" t="s">
        <v>4463</v>
      </c>
      <c r="J1505" s="3" t="str">
        <f>HYPERLINK("https://www.boe.es/gazeta/dias/1809/06/08/pdfs/GMD-1809-159.pdf#page=4","Abrir facsímil")</f>
        <v>Abrir facsímil</v>
      </c>
      <c r="K1505" s="3" t="s">
        <v>57</v>
      </c>
    </row>
    <row r="1506" spans="1:11" ht="42" customHeight="1">
      <c r="A1506" s="2" t="s">
        <v>4464</v>
      </c>
      <c r="B1506" s="2" t="s">
        <v>4465</v>
      </c>
      <c r="C1506" s="2" t="s">
        <v>25</v>
      </c>
      <c r="D1506" s="2" t="s">
        <v>18</v>
      </c>
      <c r="E1506" s="3" t="s">
        <v>273</v>
      </c>
      <c r="F1506" s="3" t="s">
        <v>274</v>
      </c>
      <c r="G1506" s="3" t="s">
        <v>275</v>
      </c>
      <c r="H1506" s="2" t="s">
        <v>22</v>
      </c>
      <c r="I1506" s="2" t="s">
        <v>4466</v>
      </c>
      <c r="J1506" s="3" t="str">
        <f>HYPERLINK("https://www.boe.es/gazeta/dias/1809/08/13/pdfs/GMD-1809-226.pdf#page=1","Abrir facsímil")</f>
        <v>Abrir facsímil</v>
      </c>
      <c r="K1506" s="3" t="s">
        <v>24</v>
      </c>
    </row>
    <row r="1507" spans="1:11" ht="42" customHeight="1">
      <c r="A1507" s="2" t="s">
        <v>4467</v>
      </c>
      <c r="B1507" s="2" t="s">
        <v>4468</v>
      </c>
      <c r="C1507" s="2" t="s">
        <v>25</v>
      </c>
      <c r="D1507" s="2" t="s">
        <v>26</v>
      </c>
      <c r="E1507" s="3" t="s">
        <v>1514</v>
      </c>
      <c r="F1507" s="3" t="s">
        <v>1840</v>
      </c>
      <c r="G1507" s="3" t="s">
        <v>239</v>
      </c>
      <c r="H1507" s="2" t="s">
        <v>55</v>
      </c>
      <c r="I1507" s="2" t="s">
        <v>4469</v>
      </c>
      <c r="J1507" s="3" t="str">
        <f>HYPERLINK("https://www.boe.es/gazeta/dias/1809/04/17/pdfs/GGB-1809-19.pdf#page=7","Abrir facsímil")</f>
        <v>Abrir facsímil</v>
      </c>
      <c r="K1507" s="3" t="s">
        <v>57</v>
      </c>
    </row>
    <row r="1508" spans="1:11" ht="42" customHeight="1">
      <c r="A1508" s="2" t="s">
        <v>4470</v>
      </c>
      <c r="B1508" s="2" t="s">
        <v>4471</v>
      </c>
      <c r="C1508" s="2" t="s">
        <v>25</v>
      </c>
      <c r="D1508" s="2" t="s">
        <v>72</v>
      </c>
      <c r="E1508" s="3" t="s">
        <v>143</v>
      </c>
      <c r="F1508" s="3" t="s">
        <v>705</v>
      </c>
      <c r="G1508" s="3" t="s">
        <v>260</v>
      </c>
      <c r="H1508" s="2" t="s">
        <v>55</v>
      </c>
      <c r="I1508" s="2" t="s">
        <v>4472</v>
      </c>
      <c r="J1508" s="3" t="str">
        <f>HYPERLINK("https://www.boe.es/gazeta/dias/1809/11/16/pdfs/GGB-H-1809-462.pdf#page=7","Abrir facsímil")</f>
        <v>Abrir facsímil</v>
      </c>
      <c r="K1508" s="3" t="s">
        <v>57</v>
      </c>
    </row>
    <row r="1509" spans="1:11" ht="42" customHeight="1">
      <c r="A1509" s="2" t="s">
        <v>4473</v>
      </c>
      <c r="B1509" s="2" t="s">
        <v>4474</v>
      </c>
      <c r="C1509" s="2" t="s">
        <v>25</v>
      </c>
      <c r="D1509" s="2" t="s">
        <v>26</v>
      </c>
      <c r="E1509" s="3" t="s">
        <v>482</v>
      </c>
      <c r="F1509" s="3" t="s">
        <v>483</v>
      </c>
      <c r="G1509" s="3" t="s">
        <v>484</v>
      </c>
      <c r="H1509" s="2" t="s">
        <v>55</v>
      </c>
      <c r="I1509" s="2" t="s">
        <v>4475</v>
      </c>
      <c r="J1509" s="3" t="str">
        <f>HYPERLINK("https://www.boe.es/gazeta/dias/1809/06/15/pdfs/GMD-1809-166.pdf#page=3","Abrir facsímil")</f>
        <v>Abrir facsímil</v>
      </c>
      <c r="K1509" s="3" t="s">
        <v>57</v>
      </c>
    </row>
    <row r="1510" spans="1:11" ht="42" customHeight="1">
      <c r="A1510" s="2" t="s">
        <v>4476</v>
      </c>
      <c r="B1510" s="2" t="s">
        <v>4477</v>
      </c>
      <c r="C1510" s="2" t="s">
        <v>79</v>
      </c>
      <c r="D1510" s="2" t="s">
        <v>18</v>
      </c>
      <c r="E1510" s="3" t="s">
        <v>327</v>
      </c>
      <c r="F1510" s="3" t="s">
        <v>328</v>
      </c>
      <c r="G1510" s="3" t="s">
        <v>329</v>
      </c>
      <c r="H1510" s="2" t="s">
        <v>55</v>
      </c>
      <c r="I1510" s="2" t="s">
        <v>4478</v>
      </c>
      <c r="J1510" s="3" t="str">
        <f>HYPERLINK("https://www.boe.es/gazeta/dias/1809/09/14/pdfs/GGB-1809-192.pdf#page=8","Abrir facsímil")</f>
        <v>Abrir facsímil</v>
      </c>
      <c r="K1510" s="3" t="s">
        <v>57</v>
      </c>
    </row>
    <row r="1511" spans="1:11" ht="42" customHeight="1">
      <c r="A1511" s="2" t="s">
        <v>4479</v>
      </c>
      <c r="B1511" s="2" t="s">
        <v>4480</v>
      </c>
      <c r="C1511" s="2" t="s">
        <v>17</v>
      </c>
      <c r="D1511" s="2" t="s">
        <v>18</v>
      </c>
      <c r="E1511" s="3" t="s">
        <v>2840</v>
      </c>
      <c r="F1511" s="3" t="s">
        <v>2841</v>
      </c>
      <c r="G1511" s="3" t="s">
        <v>29</v>
      </c>
      <c r="H1511" s="2" t="s">
        <v>55</v>
      </c>
      <c r="I1511" s="2" t="s">
        <v>4481</v>
      </c>
      <c r="J1511" s="3" t="str">
        <f>HYPERLINK("https://www.boe.es/gazeta/dias/1809/11/30/pdfs/GMD-1809-335.pdf#page=3","Abrir facsímil")</f>
        <v>Abrir facsímil</v>
      </c>
      <c r="K1511" s="3" t="s">
        <v>57</v>
      </c>
    </row>
    <row r="1512" spans="1:11" ht="42" customHeight="1">
      <c r="A1512" s="2" t="s">
        <v>4482</v>
      </c>
      <c r="B1512" s="2" t="s">
        <v>4483</v>
      </c>
      <c r="C1512" s="2" t="s">
        <v>25</v>
      </c>
      <c r="D1512" s="2" t="s">
        <v>18</v>
      </c>
      <c r="E1512" s="3" t="s">
        <v>2840</v>
      </c>
      <c r="F1512" s="3" t="s">
        <v>4484</v>
      </c>
      <c r="G1512" s="3" t="s">
        <v>2021</v>
      </c>
      <c r="H1512" s="2" t="s">
        <v>55</v>
      </c>
      <c r="I1512" s="2" t="s">
        <v>4485</v>
      </c>
      <c r="J1512" s="3" t="str">
        <f>HYPERLINK("https://www.boe.es/gazeta/dias/1809/11/30/pdfs/GGB-1809-522.pdf#page=7","Abrir facsímil")</f>
        <v>Abrir facsímil</v>
      </c>
      <c r="K1512" s="3" t="s">
        <v>57</v>
      </c>
    </row>
    <row r="1513" spans="1:11" ht="42" customHeight="1">
      <c r="A1513" s="2" t="s">
        <v>4486</v>
      </c>
      <c r="B1513" s="2" t="s">
        <v>4487</v>
      </c>
      <c r="C1513" s="2" t="s">
        <v>17</v>
      </c>
      <c r="D1513" s="2" t="s">
        <v>72</v>
      </c>
      <c r="E1513" s="3" t="s">
        <v>394</v>
      </c>
      <c r="F1513" s="3" t="s">
        <v>395</v>
      </c>
      <c r="G1513" s="3" t="s">
        <v>396</v>
      </c>
      <c r="H1513" s="2" t="s">
        <v>55</v>
      </c>
      <c r="I1513" s="2" t="s">
        <v>4488</v>
      </c>
      <c r="J1513" s="3" t="str">
        <f>HYPERLINK("https://www.boe.es/gazeta/dias/1809/12/14/pdfs/GGB-H-1809-582.pdf#page=2","Abrir facsímil")</f>
        <v>Abrir facsímil</v>
      </c>
      <c r="K1513" s="3" t="s">
        <v>57</v>
      </c>
    </row>
    <row r="1514" spans="1:11" ht="42" customHeight="1">
      <c r="A1514" s="2" t="s">
        <v>4489</v>
      </c>
      <c r="B1514" s="2" t="s">
        <v>4490</v>
      </c>
      <c r="C1514" s="2" t="s">
        <v>25</v>
      </c>
      <c r="D1514" s="2" t="s">
        <v>26</v>
      </c>
      <c r="E1514" s="3" t="s">
        <v>3714</v>
      </c>
      <c r="F1514" s="3" t="s">
        <v>3715</v>
      </c>
      <c r="G1514" s="3" t="s">
        <v>225</v>
      </c>
      <c r="H1514" s="2" t="s">
        <v>55</v>
      </c>
      <c r="I1514" s="2" t="s">
        <v>4491</v>
      </c>
      <c r="J1514" s="3" t="str">
        <f>HYPERLINK("https://www.boe.es/gazeta/dias/1809/12/07/pdfs/GMD-1809-342.pdf#page=4","Abrir facsímil")</f>
        <v>Abrir facsímil</v>
      </c>
      <c r="K1514" s="3" t="s">
        <v>57</v>
      </c>
    </row>
    <row r="1515" spans="1:11" ht="42" customHeight="1">
      <c r="A1515" s="2" t="s">
        <v>4492</v>
      </c>
      <c r="B1515" s="2" t="s">
        <v>4493</v>
      </c>
      <c r="C1515" s="2" t="s">
        <v>25</v>
      </c>
      <c r="D1515" s="2" t="s">
        <v>18</v>
      </c>
      <c r="E1515" s="3" t="s">
        <v>868</v>
      </c>
      <c r="F1515" s="3" t="s">
        <v>869</v>
      </c>
      <c r="G1515" s="3" t="s">
        <v>789</v>
      </c>
      <c r="H1515" s="2" t="s">
        <v>55</v>
      </c>
      <c r="I1515" s="2" t="s">
        <v>4494</v>
      </c>
      <c r="J1515" s="3" t="str">
        <f>HYPERLINK("https://www.boe.es/gazeta/dias/1809/09/22/pdfs/GMD-1809-266.pdf#page=3","Abrir facsímil")</f>
        <v>Abrir facsímil</v>
      </c>
      <c r="K1515" s="3" t="s">
        <v>57</v>
      </c>
    </row>
    <row r="1516" spans="1:11" ht="42" customHeight="1">
      <c r="A1516" s="2" t="s">
        <v>4495</v>
      </c>
      <c r="B1516" s="2" t="s">
        <v>4496</v>
      </c>
      <c r="C1516" s="2" t="s">
        <v>17</v>
      </c>
      <c r="D1516" s="2" t="s">
        <v>18</v>
      </c>
      <c r="E1516" s="3" t="s">
        <v>523</v>
      </c>
      <c r="F1516" s="3" t="s">
        <v>524</v>
      </c>
      <c r="G1516" s="3" t="s">
        <v>605</v>
      </c>
      <c r="H1516" s="2" t="s">
        <v>55</v>
      </c>
      <c r="I1516" s="2" t="s">
        <v>4497</v>
      </c>
      <c r="J1516" s="3" t="str">
        <f>HYPERLINK("https://www.boe.es/gazeta/dias/1809/02/14/pdfs/GMD-1809-45.pdf#page=2","Abrir facsímil")</f>
        <v>Abrir facsímil</v>
      </c>
      <c r="K1516" s="3" t="s">
        <v>57</v>
      </c>
    </row>
    <row r="1517" spans="1:11" ht="42" customHeight="1">
      <c r="A1517" s="2" t="s">
        <v>4498</v>
      </c>
      <c r="B1517" s="2" t="s">
        <v>4499</v>
      </c>
      <c r="C1517" s="2" t="s">
        <v>131</v>
      </c>
      <c r="D1517" s="2" t="s">
        <v>18</v>
      </c>
      <c r="E1517" s="3" t="s">
        <v>925</v>
      </c>
      <c r="F1517" s="3" t="s">
        <v>1451</v>
      </c>
      <c r="G1517" s="3" t="s">
        <v>239</v>
      </c>
      <c r="H1517" s="2" t="s">
        <v>55</v>
      </c>
      <c r="I1517" s="2" t="s">
        <v>4500</v>
      </c>
      <c r="J1517" s="3" t="str">
        <f>HYPERLINK("https://www.boe.es/gazeta/dias/1809/01/11/pdfs/GMD-1809-11.pdf#page=4","Abrir facsímil")</f>
        <v>Abrir facsímil</v>
      </c>
      <c r="K1517" s="3" t="s">
        <v>57</v>
      </c>
    </row>
    <row r="1518" spans="1:11" ht="42" customHeight="1">
      <c r="A1518" s="2" t="s">
        <v>4498</v>
      </c>
      <c r="B1518" s="2" t="s">
        <v>4499</v>
      </c>
      <c r="C1518" s="2" t="s">
        <v>131</v>
      </c>
      <c r="D1518" s="2" t="s">
        <v>18</v>
      </c>
      <c r="E1518" s="3" t="s">
        <v>87</v>
      </c>
      <c r="F1518" s="3" t="s">
        <v>88</v>
      </c>
      <c r="G1518" s="3" t="s">
        <v>239</v>
      </c>
      <c r="H1518" s="2" t="s">
        <v>55</v>
      </c>
      <c r="I1518" s="2" t="s">
        <v>4501</v>
      </c>
      <c r="J1518" s="3" t="str">
        <f>HYPERLINK("https://www.boe.es/gazeta/dias/1809/02/15/pdfs/GMD-1809-46.pdf#page=3","Abrir facsímil")</f>
        <v>Abrir facsímil</v>
      </c>
      <c r="K1518" s="3" t="s">
        <v>57</v>
      </c>
    </row>
    <row r="1519" spans="1:11" ht="42" customHeight="1">
      <c r="A1519" s="2" t="s">
        <v>4502</v>
      </c>
      <c r="B1519" s="2" t="s">
        <v>4503</v>
      </c>
      <c r="C1519" s="2" t="s">
        <v>17</v>
      </c>
      <c r="D1519" s="2" t="s">
        <v>72</v>
      </c>
      <c r="E1519" s="3" t="s">
        <v>1974</v>
      </c>
      <c r="F1519" s="3" t="s">
        <v>1975</v>
      </c>
      <c r="G1519" s="3" t="s">
        <v>239</v>
      </c>
      <c r="H1519" s="2" t="s">
        <v>55</v>
      </c>
      <c r="I1519" s="2" t="s">
        <v>4504</v>
      </c>
      <c r="J1519" s="3" t="str">
        <f>HYPERLINK("https://www.boe.es/gazeta/dias/1809/05/03/pdfs/GMD-E-1809-123.pdf#page=1","Abrir facsímil")</f>
        <v>Abrir facsímil</v>
      </c>
      <c r="K1519" s="3" t="s">
        <v>57</v>
      </c>
    </row>
    <row r="1520" spans="1:11" ht="42" customHeight="1">
      <c r="A1520" s="2" t="s">
        <v>4505</v>
      </c>
      <c r="B1520" s="2" t="s">
        <v>4506</v>
      </c>
      <c r="C1520" s="2" t="s">
        <v>17</v>
      </c>
      <c r="D1520" s="2" t="s">
        <v>40</v>
      </c>
      <c r="E1520" s="3" t="s">
        <v>1226</v>
      </c>
      <c r="F1520" s="3" t="s">
        <v>1566</v>
      </c>
      <c r="G1520" s="3" t="s">
        <v>3650</v>
      </c>
      <c r="H1520" s="2" t="s">
        <v>55</v>
      </c>
      <c r="I1520" s="2" t="s">
        <v>4507</v>
      </c>
      <c r="J1520" s="3" t="str">
        <f>HYPERLINK("https://www.boe.es/gazeta/dias/1809/11/09/pdfs/GGB-1809-432.pdf#page=7","Abrir facsímil")</f>
        <v>Abrir facsímil</v>
      </c>
      <c r="K1520" s="3" t="s">
        <v>57</v>
      </c>
    </row>
    <row r="1521" spans="1:11" ht="42" customHeight="1">
      <c r="A1521" s="2" t="s">
        <v>4508</v>
      </c>
      <c r="B1521" s="2" t="s">
        <v>4509</v>
      </c>
      <c r="C1521" s="2" t="s">
        <v>25</v>
      </c>
      <c r="D1521" s="2" t="s">
        <v>26</v>
      </c>
      <c r="E1521" s="3" t="s">
        <v>1226</v>
      </c>
      <c r="F1521" s="3" t="s">
        <v>1566</v>
      </c>
      <c r="G1521" s="3" t="s">
        <v>4510</v>
      </c>
      <c r="H1521" s="2" t="s">
        <v>55</v>
      </c>
      <c r="I1521" s="2" t="s">
        <v>4511</v>
      </c>
      <c r="J1521" s="3" t="str">
        <f>HYPERLINK("https://www.boe.es/gazeta/dias/1809/11/09/pdfs/GGB-1809-432.pdf#page=8","Abrir facsímil")</f>
        <v>Abrir facsímil</v>
      </c>
      <c r="K1521" s="3" t="s">
        <v>57</v>
      </c>
    </row>
    <row r="1522" spans="1:11" ht="42" customHeight="1">
      <c r="A1522" s="2" t="s">
        <v>4508</v>
      </c>
      <c r="B1522" s="2" t="s">
        <v>4509</v>
      </c>
      <c r="C1522" s="2" t="s">
        <v>17</v>
      </c>
      <c r="D1522" s="2" t="s">
        <v>18</v>
      </c>
      <c r="E1522" s="3" t="s">
        <v>394</v>
      </c>
      <c r="F1522" s="3" t="s">
        <v>1210</v>
      </c>
      <c r="G1522" s="3" t="s">
        <v>4512</v>
      </c>
      <c r="H1522" s="2" t="s">
        <v>55</v>
      </c>
      <c r="I1522" s="2" t="s">
        <v>4513</v>
      </c>
      <c r="J1522" s="3" t="str">
        <f>HYPERLINK("https://www.boe.es/gazeta/dias/1809/12/14/pdfs/GGB-1809-582.pdf#page=3","Abrir facsímil")</f>
        <v>Abrir facsímil</v>
      </c>
      <c r="K1522" s="3" t="s">
        <v>57</v>
      </c>
    </row>
    <row r="1523" spans="1:11" ht="42" customHeight="1">
      <c r="A1523" s="2" t="s">
        <v>4514</v>
      </c>
      <c r="B1523" s="2" t="s">
        <v>4515</v>
      </c>
      <c r="C1523" s="2" t="s">
        <v>17</v>
      </c>
      <c r="D1523" s="2" t="s">
        <v>18</v>
      </c>
      <c r="E1523" s="3" t="s">
        <v>2159</v>
      </c>
      <c r="F1523" s="3" t="s">
        <v>2160</v>
      </c>
      <c r="G1523" s="3" t="s">
        <v>374</v>
      </c>
      <c r="H1523" s="2" t="s">
        <v>55</v>
      </c>
      <c r="I1523" s="2" t="s">
        <v>4516</v>
      </c>
      <c r="J1523" s="3" t="str">
        <f>HYPERLINK("https://www.boe.es/gazeta/dias/1809/04/09/pdfs/GMD-1809-99.pdf#page=3","Abrir facsímil")</f>
        <v>Abrir facsímil</v>
      </c>
      <c r="K1523" s="3" t="s">
        <v>57</v>
      </c>
    </row>
    <row r="1524" spans="1:11" ht="42" customHeight="1">
      <c r="A1524" s="2" t="s">
        <v>4517</v>
      </c>
      <c r="B1524" s="2" t="s">
        <v>4518</v>
      </c>
      <c r="C1524" s="2" t="s">
        <v>17</v>
      </c>
      <c r="D1524" s="2" t="s">
        <v>18</v>
      </c>
      <c r="E1524" s="3" t="s">
        <v>60</v>
      </c>
      <c r="F1524" s="3" t="s">
        <v>61</v>
      </c>
      <c r="G1524" s="3" t="s">
        <v>29</v>
      </c>
      <c r="H1524" s="2" t="s">
        <v>55</v>
      </c>
      <c r="I1524" s="2" t="s">
        <v>4519</v>
      </c>
      <c r="J1524" s="3" t="str">
        <f>HYPERLINK("https://www.boe.es/gazeta/dias/1809/02/07/pdfs/GMD-1809-38.pdf#page=3","Abrir facsímil")</f>
        <v>Abrir facsímil</v>
      </c>
      <c r="K1524" s="3" t="s">
        <v>57</v>
      </c>
    </row>
    <row r="1525" spans="1:11" ht="42" customHeight="1">
      <c r="A1525" s="2" t="s">
        <v>4520</v>
      </c>
      <c r="B1525" s="2" t="s">
        <v>4521</v>
      </c>
      <c r="C1525" s="2" t="s">
        <v>17</v>
      </c>
      <c r="D1525" s="2" t="s">
        <v>18</v>
      </c>
      <c r="E1525" s="3" t="s">
        <v>33</v>
      </c>
      <c r="F1525" s="3" t="s">
        <v>4522</v>
      </c>
      <c r="G1525" s="3" t="s">
        <v>234</v>
      </c>
      <c r="H1525" s="2" t="s">
        <v>55</v>
      </c>
      <c r="I1525" s="2" t="s">
        <v>4523</v>
      </c>
      <c r="J1525" s="3" t="str">
        <f>HYPERLINK("https://www.boe.es/gazeta/dias/1809/12/19/pdfs/GMD-1809-354.pdf#page=4","Abrir facsímil")</f>
        <v>Abrir facsímil</v>
      </c>
      <c r="K1525" s="3" t="s">
        <v>57</v>
      </c>
    </row>
    <row r="1526" spans="1:11" ht="42" customHeight="1">
      <c r="A1526" s="2" t="s">
        <v>4524</v>
      </c>
      <c r="B1526" s="2" t="s">
        <v>4525</v>
      </c>
      <c r="C1526" s="2" t="s">
        <v>25</v>
      </c>
      <c r="D1526" s="2" t="s">
        <v>18</v>
      </c>
      <c r="E1526" s="3" t="s">
        <v>167</v>
      </c>
      <c r="F1526" s="3" t="s">
        <v>168</v>
      </c>
      <c r="G1526" s="3" t="s">
        <v>1183</v>
      </c>
      <c r="H1526" s="2" t="s">
        <v>55</v>
      </c>
      <c r="I1526" s="2" t="s">
        <v>4526</v>
      </c>
      <c r="J1526" s="3" t="str">
        <f>HYPERLINK("https://www.boe.es/gazeta/dias/1809/06/19/pdfs/GGB-1809-38.pdf#page=6","Abrir facsímil")</f>
        <v>Abrir facsímil</v>
      </c>
      <c r="K1526" s="3" t="s">
        <v>57</v>
      </c>
    </row>
    <row r="1527" spans="1:11" ht="42" customHeight="1">
      <c r="A1527" s="2" t="s">
        <v>4527</v>
      </c>
      <c r="B1527" s="2" t="s">
        <v>4528</v>
      </c>
      <c r="C1527" s="2" t="s">
        <v>369</v>
      </c>
      <c r="D1527" s="2" t="s">
        <v>40</v>
      </c>
      <c r="E1527" s="3" t="s">
        <v>2244</v>
      </c>
      <c r="F1527" s="3" t="s">
        <v>2245</v>
      </c>
      <c r="G1527" s="3" t="s">
        <v>3015</v>
      </c>
      <c r="H1527" s="2" t="s">
        <v>55</v>
      </c>
      <c r="I1527" s="2" t="s">
        <v>4529</v>
      </c>
      <c r="J1527" s="3" t="str">
        <f>HYPERLINK("https://www.boe.es/gazeta/dias/1809/03/27/pdfs/GGB-1809-13B.pdf#page=8","Abrir facsímil")</f>
        <v>Abrir facsímil</v>
      </c>
      <c r="K1527" s="3" t="s">
        <v>57</v>
      </c>
    </row>
    <row r="1528" spans="1:11" ht="42" customHeight="1">
      <c r="A1528" s="2" t="s">
        <v>4530</v>
      </c>
      <c r="B1528" s="2" t="s">
        <v>4531</v>
      </c>
      <c r="C1528" s="2" t="s">
        <v>17</v>
      </c>
      <c r="D1528" s="2" t="s">
        <v>72</v>
      </c>
      <c r="E1528" s="3" t="s">
        <v>243</v>
      </c>
      <c r="F1528" s="3" t="s">
        <v>244</v>
      </c>
      <c r="G1528" s="3" t="s">
        <v>110</v>
      </c>
      <c r="H1528" s="2" t="s">
        <v>55</v>
      </c>
      <c r="I1528" s="2" t="s">
        <v>4532</v>
      </c>
      <c r="J1528" s="3" t="str">
        <f>HYPERLINK("https://www.boe.es/gazeta/dias/1809/02/17/pdfs/GGB-G-1809-8.pdf#page=6","Abrir facsímil")</f>
        <v>Abrir facsímil</v>
      </c>
      <c r="K1528" s="3" t="s">
        <v>57</v>
      </c>
    </row>
    <row r="1529" spans="1:11" ht="42" customHeight="1">
      <c r="A1529" s="2" t="s">
        <v>4533</v>
      </c>
      <c r="B1529" s="2" t="s">
        <v>4534</v>
      </c>
      <c r="C1529" s="2" t="s">
        <v>47</v>
      </c>
      <c r="D1529" s="2" t="s">
        <v>107</v>
      </c>
      <c r="E1529" s="3" t="s">
        <v>749</v>
      </c>
      <c r="F1529" s="3" t="s">
        <v>1740</v>
      </c>
      <c r="G1529" s="3" t="s">
        <v>120</v>
      </c>
      <c r="H1529" s="2" t="s">
        <v>22</v>
      </c>
      <c r="I1529" s="2" t="s">
        <v>4535</v>
      </c>
      <c r="J1529" s="3" t="str">
        <f>HYPERLINK("https://www.boe.es/gazeta/dias/1809/05/19/pdfs/GMD-1809-139.pdf#page=3","Abrir facsímil")</f>
        <v>Abrir facsímil</v>
      </c>
      <c r="K1529" s="3" t="s">
        <v>24</v>
      </c>
    </row>
    <row r="1530" spans="1:11" ht="42" customHeight="1">
      <c r="A1530" s="2" t="s">
        <v>4536</v>
      </c>
      <c r="B1530" s="2" t="s">
        <v>4537</v>
      </c>
      <c r="C1530" s="2" t="s">
        <v>17</v>
      </c>
      <c r="D1530" s="2" t="s">
        <v>18</v>
      </c>
      <c r="E1530" s="3" t="s">
        <v>167</v>
      </c>
      <c r="F1530" s="3" t="s">
        <v>168</v>
      </c>
      <c r="G1530" s="3" t="s">
        <v>62</v>
      </c>
      <c r="H1530" s="2" t="s">
        <v>22</v>
      </c>
      <c r="I1530" s="2" t="s">
        <v>4538</v>
      </c>
      <c r="J1530" s="3" t="str">
        <f>HYPERLINK("https://www.boe.es/gazeta/dias/1809/06/19/pdfs/GGB-1809-38.pdf#page=1","Abrir facsímil")</f>
        <v>Abrir facsímil</v>
      </c>
      <c r="K1530" s="3" t="s">
        <v>24</v>
      </c>
    </row>
    <row r="1531" spans="1:11" ht="42" customHeight="1">
      <c r="A1531" s="2" t="s">
        <v>4539</v>
      </c>
      <c r="B1531" s="2" t="s">
        <v>4540</v>
      </c>
      <c r="C1531" s="2" t="s">
        <v>25</v>
      </c>
      <c r="D1531" s="2" t="s">
        <v>26</v>
      </c>
      <c r="E1531" s="3" t="s">
        <v>73</v>
      </c>
      <c r="F1531" s="3" t="s">
        <v>1045</v>
      </c>
      <c r="G1531" s="3" t="s">
        <v>89</v>
      </c>
      <c r="H1531" s="2" t="s">
        <v>22</v>
      </c>
      <c r="I1531" s="2" t="s">
        <v>4541</v>
      </c>
      <c r="J1531" s="3" t="str">
        <f>HYPERLINK("https://www.boe.es/gazeta/dias/1809/09/21/pdfs/GMD-1809-265.pdf#page=3","Abrir facsímil")</f>
        <v>Abrir facsímil</v>
      </c>
      <c r="K1531" s="3" t="s">
        <v>24</v>
      </c>
    </row>
    <row r="1532" spans="1:11" ht="42" customHeight="1">
      <c r="A1532" s="2" t="s">
        <v>4542</v>
      </c>
      <c r="B1532" s="2" t="s">
        <v>4543</v>
      </c>
      <c r="C1532" s="2" t="s">
        <v>47</v>
      </c>
      <c r="D1532" s="2" t="s">
        <v>18</v>
      </c>
      <c r="E1532" s="3" t="s">
        <v>1468</v>
      </c>
      <c r="F1532" s="3" t="s">
        <v>1469</v>
      </c>
      <c r="G1532" s="3" t="s">
        <v>1516</v>
      </c>
      <c r="H1532" s="2" t="s">
        <v>55</v>
      </c>
      <c r="I1532" s="2" t="s">
        <v>4544</v>
      </c>
      <c r="J1532" s="3" t="str">
        <f>HYPERLINK("https://www.boe.es/gazeta/dias/1809/02/12/pdfs/GMD-1809-43.pdf#page=2","Abrir facsímil")</f>
        <v>Abrir facsímil</v>
      </c>
      <c r="K1532" s="3" t="s">
        <v>57</v>
      </c>
    </row>
    <row r="1533" spans="1:11" ht="42" customHeight="1">
      <c r="A1533" s="2" t="s">
        <v>4545</v>
      </c>
      <c r="B1533" s="2" t="s">
        <v>4546</v>
      </c>
      <c r="C1533" s="2" t="s">
        <v>17</v>
      </c>
      <c r="D1533" s="2" t="s">
        <v>72</v>
      </c>
      <c r="E1533" s="3" t="s">
        <v>776</v>
      </c>
      <c r="F1533" s="3" t="s">
        <v>777</v>
      </c>
      <c r="G1533" s="3" t="s">
        <v>736</v>
      </c>
      <c r="H1533" s="2" t="s">
        <v>55</v>
      </c>
      <c r="I1533" s="2" t="s">
        <v>4547</v>
      </c>
      <c r="J1533" s="3" t="str">
        <f>HYPERLINK("https://www.boe.es/gazeta/dias/1809/05/28/pdfs/GMD-E-1809-148.pdf#page=1","Abrir facsímil")</f>
        <v>Abrir facsímil</v>
      </c>
      <c r="K1533" s="3" t="s">
        <v>57</v>
      </c>
    </row>
    <row r="1534" spans="1:11" ht="42" customHeight="1">
      <c r="A1534" s="2" t="s">
        <v>4548</v>
      </c>
      <c r="B1534" s="2" t="s">
        <v>4549</v>
      </c>
      <c r="C1534" s="2" t="s">
        <v>39</v>
      </c>
      <c r="D1534" s="2" t="s">
        <v>18</v>
      </c>
      <c r="E1534" s="3" t="s">
        <v>1226</v>
      </c>
      <c r="F1534" s="3" t="s">
        <v>1566</v>
      </c>
      <c r="G1534" s="3" t="s">
        <v>3650</v>
      </c>
      <c r="H1534" s="2" t="s">
        <v>55</v>
      </c>
      <c r="I1534" s="2" t="s">
        <v>4550</v>
      </c>
      <c r="J1534" s="3" t="str">
        <f>HYPERLINK("https://www.boe.es/gazeta/dias/1809/11/09/pdfs/GGB-1809-432.pdf#page=7","Abrir facsímil")</f>
        <v>Abrir facsímil</v>
      </c>
      <c r="K1534" s="3" t="s">
        <v>57</v>
      </c>
    </row>
    <row r="1535" spans="1:11" ht="42" customHeight="1">
      <c r="A1535" s="2" t="s">
        <v>4551</v>
      </c>
      <c r="B1535" s="2" t="s">
        <v>4552</v>
      </c>
      <c r="C1535" s="2" t="s">
        <v>25</v>
      </c>
      <c r="D1535" s="2" t="s">
        <v>18</v>
      </c>
      <c r="E1535" s="3" t="s">
        <v>258</v>
      </c>
      <c r="F1535" s="3" t="s">
        <v>910</v>
      </c>
      <c r="G1535" s="3" t="s">
        <v>1152</v>
      </c>
      <c r="H1535" s="2" t="s">
        <v>55</v>
      </c>
      <c r="I1535" s="2" t="s">
        <v>4553</v>
      </c>
      <c r="J1535" s="3" t="str">
        <f>HYPERLINK("https://www.boe.es/gazeta/dias/1809/03/17/pdfs/GGB-1809-12.pdf#page=11","Abrir facsímil")</f>
        <v>Abrir facsímil</v>
      </c>
      <c r="K1535" s="3" t="s">
        <v>57</v>
      </c>
    </row>
    <row r="1536" spans="1:11" ht="42" customHeight="1">
      <c r="A1536" s="2" t="s">
        <v>4551</v>
      </c>
      <c r="B1536" s="2" t="s">
        <v>4552</v>
      </c>
      <c r="C1536" s="2" t="s">
        <v>25</v>
      </c>
      <c r="D1536" s="2" t="s">
        <v>40</v>
      </c>
      <c r="E1536" s="3" t="s">
        <v>27</v>
      </c>
      <c r="F1536" s="3" t="s">
        <v>4554</v>
      </c>
      <c r="G1536" s="3" t="s">
        <v>89</v>
      </c>
      <c r="H1536" s="2" t="s">
        <v>55</v>
      </c>
      <c r="I1536" s="2" t="s">
        <v>4555</v>
      </c>
      <c r="J1536" s="3" t="str">
        <f>HYPERLINK("https://www.boe.es/gazeta/dias/1809/05/12/pdfs/GGB-G-1809-26.pdf#page=4","Abrir facsímil")</f>
        <v>Abrir facsímil</v>
      </c>
      <c r="K1536" s="3" t="s">
        <v>57</v>
      </c>
    </row>
    <row r="1537" spans="1:11" ht="42" customHeight="1">
      <c r="A1537" s="2" t="s">
        <v>4551</v>
      </c>
      <c r="B1537" s="2" t="s">
        <v>4552</v>
      </c>
      <c r="C1537" s="2" t="s">
        <v>17</v>
      </c>
      <c r="D1537" s="2" t="s">
        <v>18</v>
      </c>
      <c r="E1537" s="3" t="s">
        <v>2414</v>
      </c>
      <c r="F1537" s="3" t="s">
        <v>4556</v>
      </c>
      <c r="G1537" s="3" t="s">
        <v>4557</v>
      </c>
      <c r="H1537" s="2" t="s">
        <v>55</v>
      </c>
      <c r="I1537" s="2" t="s">
        <v>4558</v>
      </c>
      <c r="J1537" s="3" t="str">
        <f>HYPERLINK("https://www.boe.es/gazeta/dias/1809/11/18/pdfs/GGB-1809-472.pdf#page=8","Abrir facsímil")</f>
        <v>Abrir facsímil</v>
      </c>
      <c r="K1537" s="3" t="s">
        <v>57</v>
      </c>
    </row>
    <row r="1538" spans="1:11" ht="42" customHeight="1">
      <c r="A1538" s="2" t="s">
        <v>4559</v>
      </c>
      <c r="B1538" s="2" t="s">
        <v>4560</v>
      </c>
      <c r="C1538" s="2" t="s">
        <v>17</v>
      </c>
      <c r="D1538" s="2" t="s">
        <v>72</v>
      </c>
      <c r="E1538" s="3" t="s">
        <v>557</v>
      </c>
      <c r="F1538" s="3" t="s">
        <v>558</v>
      </c>
      <c r="G1538" s="3" t="s">
        <v>21</v>
      </c>
      <c r="H1538" s="2" t="s">
        <v>55</v>
      </c>
      <c r="I1538" s="2" t="s">
        <v>4561</v>
      </c>
      <c r="J1538" s="3" t="str">
        <f>HYPERLINK("https://www.boe.es/gazeta/dias/1809/04/19/pdfs/GMD-E-1809-109.pdf#page=1","Abrir facsímil")</f>
        <v>Abrir facsímil</v>
      </c>
      <c r="K1538" s="3" t="s">
        <v>57</v>
      </c>
    </row>
    <row r="1539" spans="1:11" ht="42" customHeight="1">
      <c r="A1539" s="2" t="s">
        <v>4562</v>
      </c>
      <c r="B1539" s="2" t="s">
        <v>4563</v>
      </c>
      <c r="C1539" s="2" t="s">
        <v>17</v>
      </c>
      <c r="D1539" s="2" t="s">
        <v>72</v>
      </c>
      <c r="E1539" s="3" t="s">
        <v>557</v>
      </c>
      <c r="F1539" s="3" t="s">
        <v>558</v>
      </c>
      <c r="G1539" s="3" t="s">
        <v>21</v>
      </c>
      <c r="H1539" s="2" t="s">
        <v>55</v>
      </c>
      <c r="I1539" s="2" t="s">
        <v>4564</v>
      </c>
      <c r="J1539" s="3" t="str">
        <f>HYPERLINK("https://www.boe.es/gazeta/dias/1809/04/19/pdfs/GMD-E-1809-109.pdf#page=1","Abrir facsímil")</f>
        <v>Abrir facsímil</v>
      </c>
      <c r="K1539" s="3" t="s">
        <v>57</v>
      </c>
    </row>
    <row r="1540" spans="1:11" ht="42" customHeight="1">
      <c r="A1540" s="2" t="s">
        <v>4562</v>
      </c>
      <c r="B1540" s="2" t="s">
        <v>4563</v>
      </c>
      <c r="C1540" s="2" t="s">
        <v>17</v>
      </c>
      <c r="D1540" s="2" t="s">
        <v>72</v>
      </c>
      <c r="E1540" s="3" t="s">
        <v>557</v>
      </c>
      <c r="F1540" s="3" t="s">
        <v>558</v>
      </c>
      <c r="G1540" s="3" t="s">
        <v>265</v>
      </c>
      <c r="H1540" s="2" t="s">
        <v>55</v>
      </c>
      <c r="I1540" s="2" t="s">
        <v>4565</v>
      </c>
      <c r="J1540" s="3" t="str">
        <f>HYPERLINK("https://www.boe.es/gazeta/dias/1809/04/19/pdfs/GMD-E-1809-109.pdf#page=2","Abrir facsímil")</f>
        <v>Abrir facsímil</v>
      </c>
      <c r="K1540" s="3" t="s">
        <v>57</v>
      </c>
    </row>
    <row r="1541" spans="1:11" ht="42" customHeight="1">
      <c r="A1541" s="2" t="s">
        <v>4562</v>
      </c>
      <c r="B1541" s="2" t="s">
        <v>4563</v>
      </c>
      <c r="C1541" s="2" t="s">
        <v>17</v>
      </c>
      <c r="D1541" s="2" t="s">
        <v>72</v>
      </c>
      <c r="E1541" s="3" t="s">
        <v>3178</v>
      </c>
      <c r="F1541" s="3" t="s">
        <v>3179</v>
      </c>
      <c r="G1541" s="3" t="s">
        <v>396</v>
      </c>
      <c r="H1541" s="2" t="s">
        <v>55</v>
      </c>
      <c r="I1541" s="2" t="s">
        <v>4566</v>
      </c>
      <c r="J1541" s="3" t="str">
        <f>HYPERLINK("https://www.boe.es/gazeta/dias/1809/04/20/pdfs/GMD-E-1809-110.pdf#page=1","Abrir facsímil")</f>
        <v>Abrir facsímil</v>
      </c>
      <c r="K1541" s="3" t="s">
        <v>57</v>
      </c>
    </row>
    <row r="1542" spans="1:11" ht="42" customHeight="1">
      <c r="A1542" s="2" t="s">
        <v>4562</v>
      </c>
      <c r="B1542" s="2" t="s">
        <v>4563</v>
      </c>
      <c r="C1542" s="2" t="s">
        <v>17</v>
      </c>
      <c r="D1542" s="2" t="s">
        <v>72</v>
      </c>
      <c r="E1542" s="3" t="s">
        <v>3178</v>
      </c>
      <c r="F1542" s="3" t="s">
        <v>3179</v>
      </c>
      <c r="G1542" s="3" t="s">
        <v>75</v>
      </c>
      <c r="H1542" s="2" t="s">
        <v>55</v>
      </c>
      <c r="I1542" s="2" t="s">
        <v>4567</v>
      </c>
      <c r="J1542" s="3" t="str">
        <f>HYPERLINK("https://www.boe.es/gazeta/dias/1809/04/20/pdfs/GMD-E-1809-110.pdf#page=2","Abrir facsímil")</f>
        <v>Abrir facsímil</v>
      </c>
      <c r="K1542" s="3" t="s">
        <v>57</v>
      </c>
    </row>
    <row r="1543" spans="1:11" ht="42" customHeight="1">
      <c r="A1543" s="2" t="s">
        <v>4562</v>
      </c>
      <c r="B1543" s="2" t="s">
        <v>4563</v>
      </c>
      <c r="C1543" s="2" t="s">
        <v>288</v>
      </c>
      <c r="D1543" s="2" t="s">
        <v>72</v>
      </c>
      <c r="E1543" s="3" t="s">
        <v>787</v>
      </c>
      <c r="F1543" s="3" t="s">
        <v>788</v>
      </c>
      <c r="G1543" s="3" t="s">
        <v>789</v>
      </c>
      <c r="H1543" s="2" t="s">
        <v>55</v>
      </c>
      <c r="I1543" s="2" t="s">
        <v>4568</v>
      </c>
      <c r="J1543" s="3" t="str">
        <f>HYPERLINK("https://www.boe.es/gazeta/dias/1809/04/29/pdfs/GMD-E-1809-119.pdf#page=1","Abrir facsímil")</f>
        <v>Abrir facsímil</v>
      </c>
      <c r="K1543" s="3" t="s">
        <v>57</v>
      </c>
    </row>
    <row r="1544" spans="1:11" ht="42" customHeight="1">
      <c r="A1544" s="2" t="s">
        <v>4562</v>
      </c>
      <c r="B1544" s="2" t="s">
        <v>4563</v>
      </c>
      <c r="C1544" s="2" t="s">
        <v>17</v>
      </c>
      <c r="D1544" s="2" t="s">
        <v>72</v>
      </c>
      <c r="E1544" s="3" t="s">
        <v>1974</v>
      </c>
      <c r="F1544" s="3" t="s">
        <v>1975</v>
      </c>
      <c r="G1544" s="3" t="s">
        <v>239</v>
      </c>
      <c r="H1544" s="2" t="s">
        <v>55</v>
      </c>
      <c r="I1544" s="2" t="s">
        <v>4569</v>
      </c>
      <c r="J1544" s="3" t="str">
        <f>HYPERLINK("https://www.boe.es/gazeta/dias/1809/05/03/pdfs/GMD-E-1809-123.pdf#page=1","Abrir facsímil")</f>
        <v>Abrir facsímil</v>
      </c>
      <c r="K1544" s="3" t="s">
        <v>57</v>
      </c>
    </row>
    <row r="1545" spans="1:11" ht="42" customHeight="1">
      <c r="A1545" s="2" t="s">
        <v>4570</v>
      </c>
      <c r="B1545" s="2" t="s">
        <v>4571</v>
      </c>
      <c r="C1545" s="2" t="s">
        <v>17</v>
      </c>
      <c r="D1545" s="2" t="s">
        <v>72</v>
      </c>
      <c r="E1545" s="3" t="s">
        <v>3178</v>
      </c>
      <c r="F1545" s="3" t="s">
        <v>3179</v>
      </c>
      <c r="G1545" s="3" t="s">
        <v>396</v>
      </c>
      <c r="H1545" s="2" t="s">
        <v>55</v>
      </c>
      <c r="I1545" s="2" t="s">
        <v>4572</v>
      </c>
      <c r="J1545" s="3" t="str">
        <f>HYPERLINK("https://www.boe.es/gazeta/dias/1809/04/20/pdfs/GMD-E-1809-110.pdf#page=1","Abrir facsímil")</f>
        <v>Abrir facsímil</v>
      </c>
      <c r="K1545" s="3" t="s">
        <v>57</v>
      </c>
    </row>
    <row r="1546" spans="1:11" ht="42" customHeight="1">
      <c r="A1546" s="2" t="s">
        <v>4573</v>
      </c>
      <c r="B1546" s="2" t="s">
        <v>4574</v>
      </c>
      <c r="C1546" s="2" t="s">
        <v>17</v>
      </c>
      <c r="D1546" s="2" t="s">
        <v>18</v>
      </c>
      <c r="E1546" s="3" t="s">
        <v>551</v>
      </c>
      <c r="F1546" s="3" t="s">
        <v>552</v>
      </c>
      <c r="G1546" s="3" t="s">
        <v>553</v>
      </c>
      <c r="H1546" s="2" t="s">
        <v>55</v>
      </c>
      <c r="I1546" s="2" t="s">
        <v>4575</v>
      </c>
      <c r="J1546" s="3" t="str">
        <f>HYPERLINK("https://www.boe.es/gazeta/dias/1809/05/04/pdfs/GMD-1809-124.pdf#page=1","Abrir facsímil")</f>
        <v>Abrir facsímil</v>
      </c>
      <c r="K1546" s="3" t="s">
        <v>57</v>
      </c>
    </row>
    <row r="1547" spans="1:11" ht="42" customHeight="1">
      <c r="A1547" s="2" t="s">
        <v>4576</v>
      </c>
      <c r="B1547" s="2" t="s">
        <v>4577</v>
      </c>
      <c r="C1547" s="2" t="s">
        <v>17</v>
      </c>
      <c r="D1547" s="2" t="s">
        <v>18</v>
      </c>
      <c r="E1547" s="3" t="s">
        <v>283</v>
      </c>
      <c r="F1547" s="3" t="s">
        <v>284</v>
      </c>
      <c r="G1547" s="3" t="s">
        <v>21</v>
      </c>
      <c r="H1547" s="2" t="s">
        <v>55</v>
      </c>
      <c r="I1547" s="2" t="s">
        <v>4578</v>
      </c>
      <c r="J1547" s="3" t="str">
        <f>HYPERLINK("https://www.boe.es/gazeta/dias/1809/02/09/pdfs/GMD-1809-40.pdf#page=4","Abrir facsímil")</f>
        <v>Abrir facsímil</v>
      </c>
      <c r="K1547" s="3" t="s">
        <v>57</v>
      </c>
    </row>
    <row r="1548" spans="1:11" ht="42" customHeight="1">
      <c r="A1548" s="2" t="s">
        <v>4576</v>
      </c>
      <c r="B1548" s="2" t="s">
        <v>4577</v>
      </c>
      <c r="C1548" s="2" t="s">
        <v>17</v>
      </c>
      <c r="D1548" s="2" t="s">
        <v>40</v>
      </c>
      <c r="E1548" s="3" t="s">
        <v>755</v>
      </c>
      <c r="F1548" s="3" t="s">
        <v>756</v>
      </c>
      <c r="G1548" s="3" t="s">
        <v>525</v>
      </c>
      <c r="H1548" s="2" t="s">
        <v>55</v>
      </c>
      <c r="I1548" s="2" t="s">
        <v>4579</v>
      </c>
      <c r="J1548" s="3" t="str">
        <f>HYPERLINK("https://www.boe.es/gazeta/dias/1809/05/20/pdfs/GMD-1809-140.pdf#page=4","Abrir facsímil")</f>
        <v>Abrir facsímil</v>
      </c>
      <c r="K1548" s="3" t="s">
        <v>57</v>
      </c>
    </row>
    <row r="1549" spans="1:11" ht="42" customHeight="1">
      <c r="A1549" s="2" t="s">
        <v>4580</v>
      </c>
      <c r="B1549" s="2" t="s">
        <v>4581</v>
      </c>
      <c r="C1549" s="2" t="s">
        <v>17</v>
      </c>
      <c r="D1549" s="2" t="s">
        <v>18</v>
      </c>
      <c r="E1549" s="3" t="s">
        <v>548</v>
      </c>
      <c r="F1549" s="3" t="s">
        <v>549</v>
      </c>
      <c r="G1549" s="3" t="s">
        <v>120</v>
      </c>
      <c r="H1549" s="2" t="s">
        <v>55</v>
      </c>
      <c r="I1549" s="2" t="s">
        <v>4582</v>
      </c>
      <c r="J1549" s="3" t="str">
        <f>HYPERLINK("https://www.boe.es/gazeta/dias/1809/03/12/pdfs/GMD-1809-71.pdf#page=3","Abrir facsímil")</f>
        <v>Abrir facsímil</v>
      </c>
      <c r="K1549" s="3" t="s">
        <v>57</v>
      </c>
    </row>
    <row r="1550" spans="1:11" ht="42" customHeight="1">
      <c r="A1550" s="2" t="s">
        <v>4583</v>
      </c>
      <c r="B1550" s="2" t="s">
        <v>4584</v>
      </c>
      <c r="C1550" s="2" t="s">
        <v>17</v>
      </c>
      <c r="D1550" s="2" t="s">
        <v>72</v>
      </c>
      <c r="E1550" s="3" t="s">
        <v>776</v>
      </c>
      <c r="F1550" s="3" t="s">
        <v>777</v>
      </c>
      <c r="G1550" s="3" t="s">
        <v>21</v>
      </c>
      <c r="H1550" s="2" t="s">
        <v>55</v>
      </c>
      <c r="I1550" s="2" t="s">
        <v>4585</v>
      </c>
      <c r="J1550" s="3" t="str">
        <f>HYPERLINK("https://www.boe.es/gazeta/dias/1809/05/28/pdfs/GMD-E-1809-148.pdf#page=2","Abrir facsímil")</f>
        <v>Abrir facsímil</v>
      </c>
      <c r="K1550" s="3" t="s">
        <v>57</v>
      </c>
    </row>
    <row r="1551" spans="1:11" ht="42" customHeight="1">
      <c r="A1551" s="2" t="s">
        <v>4586</v>
      </c>
      <c r="B1551" s="2" t="s">
        <v>4587</v>
      </c>
      <c r="C1551" s="2" t="s">
        <v>39</v>
      </c>
      <c r="D1551" s="2" t="s">
        <v>18</v>
      </c>
      <c r="E1551" s="3" t="s">
        <v>787</v>
      </c>
      <c r="F1551" s="3" t="s">
        <v>4588</v>
      </c>
      <c r="G1551" s="3" t="s">
        <v>654</v>
      </c>
      <c r="H1551" s="2" t="s">
        <v>55</v>
      </c>
      <c r="I1551" s="2" t="s">
        <v>4589</v>
      </c>
      <c r="J1551" s="3" t="str">
        <f>HYPERLINK("https://www.boe.es/gazeta/dias/1809/04/29/pdfs/GMD-1809-119.pdf#page=4","Abrir facsímil")</f>
        <v>Abrir facsímil</v>
      </c>
      <c r="K1551" s="3" t="s">
        <v>57</v>
      </c>
    </row>
    <row r="1552" spans="1:11" ht="42" customHeight="1">
      <c r="A1552" s="2" t="s">
        <v>4590</v>
      </c>
      <c r="B1552" s="2" t="s">
        <v>4591</v>
      </c>
      <c r="C1552" s="2" t="s">
        <v>369</v>
      </c>
      <c r="D1552" s="2" t="s">
        <v>72</v>
      </c>
      <c r="E1552" s="3" t="s">
        <v>557</v>
      </c>
      <c r="F1552" s="3" t="s">
        <v>558</v>
      </c>
      <c r="G1552" s="3" t="s">
        <v>265</v>
      </c>
      <c r="H1552" s="2" t="s">
        <v>55</v>
      </c>
      <c r="I1552" s="2" t="s">
        <v>4592</v>
      </c>
      <c r="J1552" s="3" t="str">
        <f>HYPERLINK("https://www.boe.es/gazeta/dias/1809/04/19/pdfs/GMD-E-1809-109.pdf#page=2","Abrir facsímil")</f>
        <v>Abrir facsímil</v>
      </c>
      <c r="K1552" s="3" t="s">
        <v>57</v>
      </c>
    </row>
    <row r="1553" spans="1:11" ht="42" customHeight="1">
      <c r="A1553" s="2" t="s">
        <v>4593</v>
      </c>
      <c r="B1553" s="2" t="s">
        <v>4594</v>
      </c>
      <c r="C1553" s="2" t="s">
        <v>25</v>
      </c>
      <c r="D1553" s="2" t="s">
        <v>26</v>
      </c>
      <c r="E1553" s="3" t="s">
        <v>1872</v>
      </c>
      <c r="F1553" s="3" t="s">
        <v>1873</v>
      </c>
      <c r="G1553" s="3" t="s">
        <v>1874</v>
      </c>
      <c r="H1553" s="2" t="s">
        <v>55</v>
      </c>
      <c r="I1553" s="2" t="s">
        <v>4595</v>
      </c>
      <c r="J1553" s="3" t="str">
        <f>HYPERLINK("https://www.boe.es/gazeta/dias/1809/11/07/pdfs/GGB-1809-422.pdf#page=5","Abrir facsímil")</f>
        <v>Abrir facsímil</v>
      </c>
      <c r="K1553" s="3" t="s">
        <v>57</v>
      </c>
    </row>
    <row r="1554" spans="1:11" ht="42" customHeight="1">
      <c r="A1554" s="2" t="s">
        <v>4596</v>
      </c>
      <c r="B1554" s="2" t="s">
        <v>4597</v>
      </c>
      <c r="C1554" s="2" t="s">
        <v>131</v>
      </c>
      <c r="D1554" s="2" t="s">
        <v>18</v>
      </c>
      <c r="E1554" s="3" t="s">
        <v>4598</v>
      </c>
      <c r="F1554" s="3" t="s">
        <v>4599</v>
      </c>
      <c r="G1554" s="3" t="s">
        <v>120</v>
      </c>
      <c r="H1554" s="2" t="s">
        <v>55</v>
      </c>
      <c r="I1554" s="2" t="s">
        <v>4600</v>
      </c>
      <c r="J1554" s="3" t="str">
        <f>HYPERLINK("https://www.boe.es/gazeta/dias/1809/12/29/pdfs/GMD-1809-364.pdf#page=4","Abrir facsímil")</f>
        <v>Abrir facsímil</v>
      </c>
      <c r="K1554" s="3" t="s">
        <v>57</v>
      </c>
    </row>
    <row r="1555" spans="1:11" ht="42" customHeight="1">
      <c r="A1555" s="2" t="s">
        <v>4601</v>
      </c>
      <c r="B1555" s="2" t="s">
        <v>4602</v>
      </c>
      <c r="C1555" s="2" t="s">
        <v>131</v>
      </c>
      <c r="D1555" s="2" t="s">
        <v>26</v>
      </c>
      <c r="E1555" s="3" t="s">
        <v>515</v>
      </c>
      <c r="F1555" s="3" t="s">
        <v>516</v>
      </c>
      <c r="G1555" s="3" t="s">
        <v>1380</v>
      </c>
      <c r="H1555" s="2" t="s">
        <v>55</v>
      </c>
      <c r="I1555" s="2" t="s">
        <v>4603</v>
      </c>
      <c r="J1555" s="3" t="str">
        <f>HYPERLINK("https://www.boe.es/gazeta/dias/1809/09/02/pdfs/GMD-1809-246.pdf#page=3","Abrir facsímil")</f>
        <v>Abrir facsímil</v>
      </c>
      <c r="K1555" s="3" t="s">
        <v>57</v>
      </c>
    </row>
    <row r="1556" spans="1:11" ht="42" customHeight="1">
      <c r="A1556" s="2" t="s">
        <v>4604</v>
      </c>
      <c r="B1556" s="2" t="s">
        <v>4605</v>
      </c>
      <c r="C1556" s="2" t="s">
        <v>25</v>
      </c>
      <c r="D1556" s="2" t="s">
        <v>80</v>
      </c>
      <c r="E1556" s="3" t="s">
        <v>179</v>
      </c>
      <c r="F1556" s="3" t="s">
        <v>180</v>
      </c>
      <c r="G1556" s="3" t="s">
        <v>239</v>
      </c>
      <c r="H1556" s="2" t="s">
        <v>55</v>
      </c>
      <c r="I1556" s="2" t="s">
        <v>4606</v>
      </c>
      <c r="J1556" s="3" t="str">
        <f>HYPERLINK("https://www.boe.es/gazeta/dias/1809/12/08/pdfs/GGB-1809-552E.pdf#page=2","Abrir facsímil")</f>
        <v>Abrir facsímil</v>
      </c>
      <c r="K1556" s="3" t="s">
        <v>57</v>
      </c>
    </row>
    <row r="1557" spans="1:11" ht="42" customHeight="1">
      <c r="A1557" s="2" t="s">
        <v>4607</v>
      </c>
      <c r="B1557" s="2" t="s">
        <v>4608</v>
      </c>
      <c r="C1557" s="2" t="s">
        <v>25</v>
      </c>
      <c r="D1557" s="2" t="s">
        <v>26</v>
      </c>
      <c r="E1557" s="3" t="s">
        <v>2269</v>
      </c>
      <c r="F1557" s="3" t="s">
        <v>2270</v>
      </c>
      <c r="G1557" s="3" t="s">
        <v>29</v>
      </c>
      <c r="H1557" s="2" t="s">
        <v>55</v>
      </c>
      <c r="I1557" s="2" t="s">
        <v>4609</v>
      </c>
      <c r="J1557" s="3" t="str">
        <f>HYPERLINK("https://www.boe.es/gazeta/dias/1809/04/12/pdfs/GMD-1809-102.pdf#page=3","Abrir facsímil")</f>
        <v>Abrir facsímil</v>
      </c>
      <c r="K1557" s="3" t="s">
        <v>57</v>
      </c>
    </row>
    <row r="1558" spans="1:11" ht="42" customHeight="1">
      <c r="A1558" s="2" t="s">
        <v>4610</v>
      </c>
      <c r="B1558" s="2" t="s">
        <v>4611</v>
      </c>
      <c r="C1558" s="2" t="s">
        <v>17</v>
      </c>
      <c r="D1558" s="2" t="s">
        <v>72</v>
      </c>
      <c r="E1558" s="3" t="s">
        <v>1974</v>
      </c>
      <c r="F1558" s="3" t="s">
        <v>1975</v>
      </c>
      <c r="G1558" s="3" t="s">
        <v>239</v>
      </c>
      <c r="H1558" s="2" t="s">
        <v>55</v>
      </c>
      <c r="I1558" s="2" t="s">
        <v>4612</v>
      </c>
      <c r="J1558" s="3" t="str">
        <f>HYPERLINK("https://www.boe.es/gazeta/dias/1809/05/03/pdfs/GMD-E-1809-123.pdf#page=1","Abrir facsímil")</f>
        <v>Abrir facsímil</v>
      </c>
      <c r="K1558" s="3" t="s">
        <v>57</v>
      </c>
    </row>
    <row r="1559" spans="1:11" ht="42" customHeight="1">
      <c r="A1559" s="2" t="s">
        <v>4613</v>
      </c>
      <c r="B1559" s="2" t="s">
        <v>4614</v>
      </c>
      <c r="C1559" s="2" t="s">
        <v>17</v>
      </c>
      <c r="D1559" s="2" t="s">
        <v>72</v>
      </c>
      <c r="E1559" s="3" t="s">
        <v>3178</v>
      </c>
      <c r="F1559" s="3" t="s">
        <v>3179</v>
      </c>
      <c r="G1559" s="3" t="s">
        <v>396</v>
      </c>
      <c r="H1559" s="2" t="s">
        <v>55</v>
      </c>
      <c r="I1559" s="2" t="s">
        <v>4615</v>
      </c>
      <c r="J1559" s="3" t="str">
        <f>HYPERLINK("https://www.boe.es/gazeta/dias/1809/04/20/pdfs/GMD-E-1809-110.pdf#page=1","Abrir facsímil")</f>
        <v>Abrir facsímil</v>
      </c>
      <c r="K1559" s="3" t="s">
        <v>57</v>
      </c>
    </row>
    <row r="1560" spans="1:11" ht="42" customHeight="1">
      <c r="A1560" s="2" t="s">
        <v>4616</v>
      </c>
      <c r="B1560" s="2" t="s">
        <v>4617</v>
      </c>
      <c r="C1560" s="2" t="s">
        <v>2176</v>
      </c>
      <c r="D1560" s="2" t="s">
        <v>40</v>
      </c>
      <c r="E1560" s="3" t="s">
        <v>599</v>
      </c>
      <c r="F1560" s="3" t="s">
        <v>600</v>
      </c>
      <c r="G1560" s="3" t="s">
        <v>601</v>
      </c>
      <c r="H1560" s="2" t="s">
        <v>55</v>
      </c>
      <c r="I1560" s="2" t="s">
        <v>4618</v>
      </c>
      <c r="J1560" s="3" t="str">
        <f>HYPERLINK("https://www.boe.es/gazeta/dias/1809/01/19/pdfs/GMD-1809-19.pdf#page=4","Abrir facsímil")</f>
        <v>Abrir facsímil</v>
      </c>
      <c r="K1560" s="3" t="s">
        <v>57</v>
      </c>
    </row>
    <row r="1561" spans="1:11" ht="42" customHeight="1">
      <c r="A1561" s="2" t="s">
        <v>4619</v>
      </c>
      <c r="B1561" s="2" t="s">
        <v>4620</v>
      </c>
      <c r="C1561" s="2" t="s">
        <v>131</v>
      </c>
      <c r="D1561" s="2" t="s">
        <v>18</v>
      </c>
      <c r="E1561" s="3" t="s">
        <v>515</v>
      </c>
      <c r="F1561" s="3" t="s">
        <v>516</v>
      </c>
      <c r="G1561" s="3" t="s">
        <v>1380</v>
      </c>
      <c r="H1561" s="2" t="s">
        <v>55</v>
      </c>
      <c r="I1561" s="2" t="s">
        <v>4621</v>
      </c>
      <c r="J1561" s="3" t="str">
        <f>HYPERLINK("https://www.boe.es/gazeta/dias/1809/09/02/pdfs/GMD-1809-246.pdf#page=3","Abrir facsímil")</f>
        <v>Abrir facsímil</v>
      </c>
      <c r="K1561" s="3" t="s">
        <v>57</v>
      </c>
    </row>
    <row r="1562" spans="1:11" ht="42" customHeight="1">
      <c r="A1562" s="2" t="s">
        <v>4622</v>
      </c>
      <c r="B1562" s="2" t="s">
        <v>4623</v>
      </c>
      <c r="C1562" s="2" t="s">
        <v>17</v>
      </c>
      <c r="D1562" s="2" t="s">
        <v>40</v>
      </c>
      <c r="E1562" s="3" t="s">
        <v>4624</v>
      </c>
      <c r="F1562" s="3" t="s">
        <v>4625</v>
      </c>
      <c r="G1562" s="3" t="s">
        <v>270</v>
      </c>
      <c r="H1562" s="2" t="s">
        <v>55</v>
      </c>
      <c r="I1562" s="2" t="s">
        <v>4626</v>
      </c>
      <c r="J1562" s="3" t="str">
        <f>HYPERLINK("https://www.boe.es/gazeta/dias/1809/01/31/pdfs/GMD-1809-31.pdf#page=1","Abrir facsímil")</f>
        <v>Abrir facsímil</v>
      </c>
      <c r="K1562" s="3" t="s">
        <v>57</v>
      </c>
    </row>
    <row r="1563" spans="1:11" ht="42" customHeight="1">
      <c r="A1563" s="2" t="s">
        <v>4627</v>
      </c>
      <c r="B1563" s="2" t="s">
        <v>4628</v>
      </c>
      <c r="C1563" s="2" t="s">
        <v>25</v>
      </c>
      <c r="D1563" s="2" t="s">
        <v>26</v>
      </c>
      <c r="E1563" s="3" t="s">
        <v>179</v>
      </c>
      <c r="F1563" s="3" t="s">
        <v>2418</v>
      </c>
      <c r="G1563" s="3" t="s">
        <v>1646</v>
      </c>
      <c r="H1563" s="2" t="s">
        <v>55</v>
      </c>
      <c r="I1563" s="2" t="s">
        <v>4629</v>
      </c>
      <c r="J1563" s="3" t="str">
        <f>HYPERLINK("https://www.boe.es/gazeta/dias/1809/12/08/pdfs/GMD-1809-343.pdf#page=1","Abrir facsímil")</f>
        <v>Abrir facsímil</v>
      </c>
      <c r="K1563" s="3" t="s">
        <v>57</v>
      </c>
    </row>
    <row r="1564" spans="1:11" ht="42" customHeight="1">
      <c r="A1564" s="2" t="s">
        <v>4630</v>
      </c>
      <c r="B1564" s="2" t="s">
        <v>4631</v>
      </c>
      <c r="C1564" s="2" t="s">
        <v>79</v>
      </c>
      <c r="D1564" s="2" t="s">
        <v>18</v>
      </c>
      <c r="E1564" s="3" t="s">
        <v>102</v>
      </c>
      <c r="F1564" s="3" t="s">
        <v>103</v>
      </c>
      <c r="G1564" s="3" t="s">
        <v>104</v>
      </c>
      <c r="H1564" s="2" t="s">
        <v>55</v>
      </c>
      <c r="I1564" s="2" t="s">
        <v>4632</v>
      </c>
      <c r="J1564" s="3" t="str">
        <f>HYPERLINK("https://www.boe.es/gazeta/dias/1809/09/28/pdfs/GGB-1809-252.pdf#page=8","Abrir facsímil")</f>
        <v>Abrir facsímil</v>
      </c>
      <c r="K1564" s="3" t="s">
        <v>57</v>
      </c>
    </row>
    <row r="1565" spans="1:11" ht="42" customHeight="1">
      <c r="A1565" s="2" t="s">
        <v>4633</v>
      </c>
      <c r="B1565" s="2" t="s">
        <v>4634</v>
      </c>
      <c r="C1565" s="2" t="s">
        <v>17</v>
      </c>
      <c r="D1565" s="2" t="s">
        <v>18</v>
      </c>
      <c r="E1565" s="3" t="s">
        <v>243</v>
      </c>
      <c r="F1565" s="3" t="s">
        <v>735</v>
      </c>
      <c r="G1565" s="3" t="s">
        <v>736</v>
      </c>
      <c r="H1565" s="2" t="s">
        <v>55</v>
      </c>
      <c r="I1565" s="2" t="s">
        <v>4635</v>
      </c>
      <c r="J1565" s="3" t="str">
        <f>HYPERLINK("https://www.boe.es/gazeta/dias/1809/02/17/pdfs/GGB-1809-8.pdf#page=8","Abrir facsímil")</f>
        <v>Abrir facsímil</v>
      </c>
      <c r="K1565" s="3" t="s">
        <v>57</v>
      </c>
    </row>
    <row r="1566" spans="1:11" ht="42" customHeight="1">
      <c r="A1566" s="2" t="s">
        <v>4636</v>
      </c>
      <c r="B1566" s="2" t="s">
        <v>4637</v>
      </c>
      <c r="C1566" s="2" t="s">
        <v>79</v>
      </c>
      <c r="D1566" s="2" t="s">
        <v>40</v>
      </c>
      <c r="E1566" s="3" t="s">
        <v>258</v>
      </c>
      <c r="F1566" s="3" t="s">
        <v>259</v>
      </c>
      <c r="G1566" s="3" t="s">
        <v>4638</v>
      </c>
      <c r="H1566" s="2" t="s">
        <v>55</v>
      </c>
      <c r="I1566" s="2" t="s">
        <v>4639</v>
      </c>
      <c r="J1566" s="3" t="str">
        <f>HYPERLINK("https://www.boe.es/gazeta/dias/1809/03/17/pdfs/GMD-1809-76.pdf#page=4","Abrir facsímil")</f>
        <v>Abrir facsímil</v>
      </c>
      <c r="K1566" s="3" t="s">
        <v>57</v>
      </c>
    </row>
    <row r="1567" spans="1:11" ht="42" customHeight="1">
      <c r="A1567" s="2" t="s">
        <v>4640</v>
      </c>
      <c r="B1567" s="2" t="s">
        <v>4641</v>
      </c>
      <c r="C1567" s="2" t="s">
        <v>17</v>
      </c>
      <c r="D1567" s="2" t="s">
        <v>80</v>
      </c>
      <c r="E1567" s="3" t="s">
        <v>179</v>
      </c>
      <c r="F1567" s="3" t="s">
        <v>180</v>
      </c>
      <c r="G1567" s="3" t="s">
        <v>239</v>
      </c>
      <c r="H1567" s="2" t="s">
        <v>55</v>
      </c>
      <c r="I1567" s="2" t="s">
        <v>4642</v>
      </c>
      <c r="J1567" s="3" t="str">
        <f>HYPERLINK("https://www.boe.es/gazeta/dias/1809/12/08/pdfs/GGB-1809-552E.pdf#page=2","Abrir facsímil")</f>
        <v>Abrir facsímil</v>
      </c>
      <c r="K1567" s="3" t="s">
        <v>57</v>
      </c>
    </row>
    <row r="1568" spans="1:11" ht="42" customHeight="1">
      <c r="A1568" s="2" t="s">
        <v>4643</v>
      </c>
      <c r="B1568" s="2" t="s">
        <v>4644</v>
      </c>
      <c r="C1568" s="2" t="s">
        <v>17</v>
      </c>
      <c r="D1568" s="2" t="s">
        <v>40</v>
      </c>
      <c r="E1568" s="3" t="s">
        <v>48</v>
      </c>
      <c r="F1568" s="3" t="s">
        <v>1718</v>
      </c>
      <c r="G1568" s="3" t="s">
        <v>4645</v>
      </c>
      <c r="H1568" s="2" t="s">
        <v>55</v>
      </c>
      <c r="I1568" s="2" t="s">
        <v>4646</v>
      </c>
      <c r="J1568" s="3" t="str">
        <f>HYPERLINK("https://www.boe.es/gazeta/dias/1809/10/03/pdfs/GGB-1809-272.pdf#page=6","Abrir facsímil")</f>
        <v>Abrir facsímil</v>
      </c>
      <c r="K1568" s="3" t="s">
        <v>57</v>
      </c>
    </row>
    <row r="1569" spans="1:11" ht="42" customHeight="1">
      <c r="A1569" s="2" t="s">
        <v>4647</v>
      </c>
      <c r="B1569" s="2" t="s">
        <v>4648</v>
      </c>
      <c r="C1569" s="2" t="s">
        <v>17</v>
      </c>
      <c r="D1569" s="2" t="s">
        <v>40</v>
      </c>
      <c r="E1569" s="3" t="s">
        <v>163</v>
      </c>
      <c r="F1569" s="3" t="s">
        <v>164</v>
      </c>
      <c r="G1569" s="3" t="s">
        <v>239</v>
      </c>
      <c r="H1569" s="2" t="s">
        <v>55</v>
      </c>
      <c r="I1569" s="2" t="s">
        <v>4649</v>
      </c>
      <c r="J1569" s="3" t="str">
        <f>HYPERLINK("https://www.boe.es/gazeta/dias/1809/03/10/pdfs/GGB-H-1809-11.pdf#page=7","Abrir facsímil")</f>
        <v>Abrir facsímil</v>
      </c>
      <c r="K1569" s="3" t="s">
        <v>57</v>
      </c>
    </row>
    <row r="1570" spans="1:11" ht="42" customHeight="1">
      <c r="A1570" s="2" t="s">
        <v>4650</v>
      </c>
      <c r="B1570" s="2" t="s">
        <v>4651</v>
      </c>
      <c r="C1570" s="2" t="s">
        <v>17</v>
      </c>
      <c r="D1570" s="2" t="s">
        <v>72</v>
      </c>
      <c r="E1570" s="3" t="s">
        <v>243</v>
      </c>
      <c r="F1570" s="3" t="s">
        <v>244</v>
      </c>
      <c r="G1570" s="3" t="s">
        <v>582</v>
      </c>
      <c r="H1570" s="2" t="s">
        <v>55</v>
      </c>
      <c r="I1570" s="2" t="s">
        <v>4652</v>
      </c>
      <c r="J1570" s="3" t="str">
        <f>HYPERLINK("https://www.boe.es/gazeta/dias/1809/02/17/pdfs/GGB-G-1809-8.pdf#page=7","Abrir facsímil")</f>
        <v>Abrir facsímil</v>
      </c>
      <c r="K1570" s="3" t="s">
        <v>57</v>
      </c>
    </row>
    <row r="1571" spans="1:11" ht="42" customHeight="1">
      <c r="A1571" s="2" t="s">
        <v>4653</v>
      </c>
      <c r="B1571" s="2" t="s">
        <v>4654</v>
      </c>
      <c r="C1571" s="2" t="s">
        <v>25</v>
      </c>
      <c r="D1571" s="2" t="s">
        <v>18</v>
      </c>
      <c r="E1571" s="3" t="s">
        <v>857</v>
      </c>
      <c r="F1571" s="3" t="s">
        <v>858</v>
      </c>
      <c r="G1571" s="3" t="s">
        <v>234</v>
      </c>
      <c r="H1571" s="2" t="s">
        <v>55</v>
      </c>
      <c r="I1571" s="2" t="s">
        <v>4655</v>
      </c>
      <c r="J1571" s="3" t="str">
        <f>HYPERLINK("https://www.boe.es/gazeta/dias/1809/05/01/pdfs/GGB-1809-23.pdf#page=6","Abrir facsímil")</f>
        <v>Abrir facsímil</v>
      </c>
      <c r="K1571" s="3" t="s">
        <v>57</v>
      </c>
    </row>
    <row r="1572" spans="1:11" ht="42" customHeight="1">
      <c r="A1572" s="2" t="s">
        <v>4656</v>
      </c>
      <c r="B1572" s="2" t="s">
        <v>4657</v>
      </c>
      <c r="C1572" s="2" t="s">
        <v>369</v>
      </c>
      <c r="D1572" s="2" t="s">
        <v>72</v>
      </c>
      <c r="E1572" s="3" t="s">
        <v>787</v>
      </c>
      <c r="F1572" s="3" t="s">
        <v>788</v>
      </c>
      <c r="G1572" s="3" t="s">
        <v>789</v>
      </c>
      <c r="H1572" s="2" t="s">
        <v>55</v>
      </c>
      <c r="I1572" s="2" t="s">
        <v>4658</v>
      </c>
      <c r="J1572" s="3" t="str">
        <f>HYPERLINK("https://www.boe.es/gazeta/dias/1809/04/29/pdfs/GMD-E-1809-119.pdf#page=1","Abrir facsímil")</f>
        <v>Abrir facsímil</v>
      </c>
      <c r="K1572" s="3" t="s">
        <v>57</v>
      </c>
    </row>
    <row r="1573" spans="1:11" ht="42" customHeight="1">
      <c r="A1573" s="2" t="s">
        <v>4659</v>
      </c>
      <c r="B1573" s="2" t="s">
        <v>4660</v>
      </c>
      <c r="C1573" s="2" t="s">
        <v>17</v>
      </c>
      <c r="D1573" s="2" t="s">
        <v>18</v>
      </c>
      <c r="E1573" s="3" t="s">
        <v>589</v>
      </c>
      <c r="F1573" s="3" t="s">
        <v>1329</v>
      </c>
      <c r="G1573" s="3" t="s">
        <v>29</v>
      </c>
      <c r="H1573" s="2" t="s">
        <v>55</v>
      </c>
      <c r="I1573" s="2" t="s">
        <v>4661</v>
      </c>
      <c r="J1573" s="3" t="str">
        <f>HYPERLINK("https://www.boe.es/gazeta/dias/1809/10/05/pdfs/GMD-1809-279.pdf#page=3","Abrir facsímil")</f>
        <v>Abrir facsímil</v>
      </c>
      <c r="K1573" s="3" t="s">
        <v>57</v>
      </c>
    </row>
    <row r="1574" spans="1:11" ht="42" customHeight="1">
      <c r="A1574" s="2" t="s">
        <v>4662</v>
      </c>
      <c r="B1574" s="2" t="s">
        <v>4663</v>
      </c>
      <c r="C1574" s="2" t="s">
        <v>25</v>
      </c>
      <c r="D1574" s="2" t="s">
        <v>18</v>
      </c>
      <c r="E1574" s="3" t="s">
        <v>621</v>
      </c>
      <c r="F1574" s="3" t="s">
        <v>622</v>
      </c>
      <c r="G1574" s="3" t="s">
        <v>623</v>
      </c>
      <c r="H1574" s="2" t="s">
        <v>55</v>
      </c>
      <c r="I1574" s="2" t="s">
        <v>4664</v>
      </c>
      <c r="J1574" s="3" t="str">
        <f>HYPERLINK("https://www.boe.es/gazeta/dias/1809/07/04/pdfs/GGB-1809-42.pdf#page=6","Abrir facsímil")</f>
        <v>Abrir facsímil</v>
      </c>
      <c r="K1574" s="3" t="s">
        <v>57</v>
      </c>
    </row>
    <row r="1575" spans="1:11" ht="42" customHeight="1">
      <c r="A1575" s="2" t="s">
        <v>4665</v>
      </c>
      <c r="B1575" s="2" t="s">
        <v>4666</v>
      </c>
      <c r="C1575" s="2" t="s">
        <v>17</v>
      </c>
      <c r="D1575" s="2" t="s">
        <v>40</v>
      </c>
      <c r="E1575" s="3" t="s">
        <v>2818</v>
      </c>
      <c r="F1575" s="3" t="s">
        <v>4438</v>
      </c>
      <c r="G1575" s="3" t="s">
        <v>587</v>
      </c>
      <c r="H1575" s="2" t="s">
        <v>55</v>
      </c>
      <c r="I1575" s="2" t="s">
        <v>4667</v>
      </c>
      <c r="J1575" s="3" t="str">
        <f>HYPERLINK("https://www.boe.es/gazeta/dias/1809/02/03/pdfs/GGB-1809-6.pdf#page=8","Abrir facsímil")</f>
        <v>Abrir facsímil</v>
      </c>
      <c r="K1575" s="3" t="s">
        <v>57</v>
      </c>
    </row>
    <row r="1576" spans="1:11" ht="42" customHeight="1">
      <c r="A1576" s="2" t="s">
        <v>4668</v>
      </c>
      <c r="B1576" s="2" t="s">
        <v>4669</v>
      </c>
      <c r="C1576" s="2" t="s">
        <v>25</v>
      </c>
      <c r="D1576" s="2" t="s">
        <v>18</v>
      </c>
      <c r="E1576" s="3" t="s">
        <v>243</v>
      </c>
      <c r="F1576" s="3" t="s">
        <v>735</v>
      </c>
      <c r="G1576" s="3" t="s">
        <v>439</v>
      </c>
      <c r="H1576" s="2" t="s">
        <v>55</v>
      </c>
      <c r="I1576" s="2" t="s">
        <v>4670</v>
      </c>
      <c r="J1576" s="3" t="str">
        <f>HYPERLINK("https://www.boe.es/gazeta/dias/1809/02/17/pdfs/GGB-1809-8.pdf#page=1","Abrir facsímil")</f>
        <v>Abrir facsímil</v>
      </c>
      <c r="K1576" s="3" t="s">
        <v>57</v>
      </c>
    </row>
    <row r="1577" spans="1:11" ht="42" customHeight="1">
      <c r="A1577" s="2" t="s">
        <v>4671</v>
      </c>
      <c r="B1577" s="2" t="s">
        <v>4672</v>
      </c>
      <c r="C1577" s="2" t="s">
        <v>47</v>
      </c>
      <c r="D1577" s="2" t="s">
        <v>18</v>
      </c>
      <c r="E1577" s="3" t="s">
        <v>458</v>
      </c>
      <c r="F1577" s="3" t="s">
        <v>459</v>
      </c>
      <c r="G1577" s="3" t="s">
        <v>4673</v>
      </c>
      <c r="H1577" s="2" t="s">
        <v>55</v>
      </c>
      <c r="I1577" s="2" t="s">
        <v>4674</v>
      </c>
      <c r="J1577" s="3" t="str">
        <f>HYPERLINK("https://www.boe.es/gazeta/dias/1809/03/14/pdfs/GMD-1809-73.pdf#page=1","Abrir facsímil")</f>
        <v>Abrir facsímil</v>
      </c>
      <c r="K1577" s="3" t="s">
        <v>57</v>
      </c>
    </row>
    <row r="1578" spans="1:11" ht="42" customHeight="1">
      <c r="A1578" s="2" t="s">
        <v>4675</v>
      </c>
      <c r="B1578" s="2" t="s">
        <v>4676</v>
      </c>
      <c r="C1578" s="2" t="s">
        <v>25</v>
      </c>
      <c r="D1578" s="2" t="s">
        <v>80</v>
      </c>
      <c r="E1578" s="3" t="s">
        <v>1700</v>
      </c>
      <c r="F1578" s="3" t="s">
        <v>1701</v>
      </c>
      <c r="G1578" s="3" t="s">
        <v>1702</v>
      </c>
      <c r="H1578" s="2" t="s">
        <v>22</v>
      </c>
      <c r="I1578" s="2" t="s">
        <v>4677</v>
      </c>
      <c r="J1578" s="3" t="str">
        <f>HYPERLINK("https://www.boe.es/gazeta/dias/1809/01/16/pdfs/GGB-1809-3E.pdf#page=6","Abrir facsímil")</f>
        <v>Abrir facsímil</v>
      </c>
      <c r="K1578" s="3" t="s">
        <v>24</v>
      </c>
    </row>
    <row r="1579" spans="1:11" ht="42" customHeight="1">
      <c r="A1579" s="2" t="s">
        <v>4678</v>
      </c>
      <c r="B1579" s="2" t="s">
        <v>4679</v>
      </c>
      <c r="C1579" s="2" t="s">
        <v>17</v>
      </c>
      <c r="D1579" s="2" t="s">
        <v>18</v>
      </c>
      <c r="E1579" s="3" t="s">
        <v>1468</v>
      </c>
      <c r="F1579" s="3" t="s">
        <v>1469</v>
      </c>
      <c r="G1579" s="3" t="s">
        <v>104</v>
      </c>
      <c r="H1579" s="2" t="s">
        <v>55</v>
      </c>
      <c r="I1579" s="2" t="s">
        <v>4680</v>
      </c>
      <c r="J1579" s="3" t="str">
        <f>HYPERLINK("https://www.boe.es/gazeta/dias/1809/02/12/pdfs/GMD-1809-43.pdf#page=6","Abrir facsímil")</f>
        <v>Abrir facsímil</v>
      </c>
      <c r="K1579" s="3" t="s">
        <v>57</v>
      </c>
    </row>
    <row r="1580" spans="1:11" ht="42" customHeight="1">
      <c r="A1580" s="2" t="s">
        <v>4681</v>
      </c>
      <c r="B1580" s="2" t="s">
        <v>4682</v>
      </c>
      <c r="C1580" s="2" t="s">
        <v>131</v>
      </c>
      <c r="D1580" s="2" t="s">
        <v>40</v>
      </c>
      <c r="E1580" s="3" t="s">
        <v>925</v>
      </c>
      <c r="F1580" s="3" t="s">
        <v>926</v>
      </c>
      <c r="G1580" s="3" t="s">
        <v>21</v>
      </c>
      <c r="H1580" s="2" t="s">
        <v>55</v>
      </c>
      <c r="I1580" s="2" t="s">
        <v>4683</v>
      </c>
      <c r="J1580" s="3" t="str">
        <f>HYPERLINK("https://www.boe.es/gazeta/dias/1809/01/11/pdfs/GGB-1809-2.pdf#page=1","Abrir facsímil")</f>
        <v>Abrir facsímil</v>
      </c>
      <c r="K1580" s="3" t="s">
        <v>57</v>
      </c>
    </row>
    <row r="1581" spans="1:11" ht="42" customHeight="1">
      <c r="A1581" s="2" t="s">
        <v>4684</v>
      </c>
      <c r="B1581" s="2" t="s">
        <v>4685</v>
      </c>
      <c r="C1581" s="2" t="s">
        <v>17</v>
      </c>
      <c r="D1581" s="2" t="s">
        <v>72</v>
      </c>
      <c r="E1581" s="3" t="s">
        <v>1206</v>
      </c>
      <c r="F1581" s="3" t="s">
        <v>1207</v>
      </c>
      <c r="G1581" s="3" t="s">
        <v>2545</v>
      </c>
      <c r="H1581" s="2" t="s">
        <v>55</v>
      </c>
      <c r="I1581" s="2" t="s">
        <v>4686</v>
      </c>
      <c r="J1581" s="3" t="str">
        <f>HYPERLINK("https://www.boe.es/gazeta/dias/1809/09/23/pdfs/GGB-H-1809-232.pdf#page=6","Abrir facsímil")</f>
        <v>Abrir facsímil</v>
      </c>
      <c r="K1581" s="3" t="s">
        <v>57</v>
      </c>
    </row>
    <row r="1582" spans="1:11" ht="42" customHeight="1">
      <c r="A1582" s="2" t="s">
        <v>4687</v>
      </c>
      <c r="B1582" s="2" t="s">
        <v>4688</v>
      </c>
      <c r="C1582" s="2" t="s">
        <v>17</v>
      </c>
      <c r="D1582" s="2" t="s">
        <v>18</v>
      </c>
      <c r="E1582" s="3" t="s">
        <v>27</v>
      </c>
      <c r="F1582" s="3" t="s">
        <v>254</v>
      </c>
      <c r="G1582" s="3" t="s">
        <v>239</v>
      </c>
      <c r="H1582" s="2" t="s">
        <v>55</v>
      </c>
      <c r="I1582" s="2" t="s">
        <v>4689</v>
      </c>
      <c r="J1582" s="3" t="str">
        <f>HYPERLINK("https://www.boe.es/gazeta/dias/1809/05/12/pdfs/GGB-1809-26.pdf#page=11","Abrir facsímil")</f>
        <v>Abrir facsímil</v>
      </c>
      <c r="K1582" s="3" t="s">
        <v>57</v>
      </c>
    </row>
    <row r="1583" spans="1:11" ht="42" customHeight="1">
      <c r="A1583" s="2" t="s">
        <v>4690</v>
      </c>
      <c r="B1583" s="2" t="s">
        <v>4691</v>
      </c>
      <c r="C1583" s="2" t="s">
        <v>25</v>
      </c>
      <c r="D1583" s="2" t="s">
        <v>18</v>
      </c>
      <c r="E1583" s="3" t="s">
        <v>857</v>
      </c>
      <c r="F1583" s="3" t="s">
        <v>4692</v>
      </c>
      <c r="G1583" s="3" t="s">
        <v>587</v>
      </c>
      <c r="H1583" s="2" t="s">
        <v>55</v>
      </c>
      <c r="I1583" s="2" t="s">
        <v>4693</v>
      </c>
      <c r="J1583" s="3" t="str">
        <f>HYPERLINK("https://www.boe.es/gazeta/dias/1809/05/01/pdfs/GMD-1809-121.pdf#page=2","Abrir facsímil")</f>
        <v>Abrir facsímil</v>
      </c>
      <c r="K1583" s="3" t="s">
        <v>57</v>
      </c>
    </row>
    <row r="1584" spans="1:11" ht="42" customHeight="1">
      <c r="A1584" s="2" t="s">
        <v>4694</v>
      </c>
      <c r="B1584" s="2" t="s">
        <v>4695</v>
      </c>
      <c r="C1584" s="2" t="s">
        <v>25</v>
      </c>
      <c r="D1584" s="2" t="s">
        <v>26</v>
      </c>
      <c r="E1584" s="3" t="s">
        <v>1352</v>
      </c>
      <c r="F1584" s="3" t="s">
        <v>1353</v>
      </c>
      <c r="G1584" s="3" t="s">
        <v>89</v>
      </c>
      <c r="H1584" s="2" t="s">
        <v>55</v>
      </c>
      <c r="I1584" s="2" t="s">
        <v>4696</v>
      </c>
      <c r="J1584" s="3" t="str">
        <f>HYPERLINK("https://www.boe.es/gazeta/dias/1809/05/27/pdfs/GMD-1809-147.pdf#page=2","Abrir facsímil")</f>
        <v>Abrir facsímil</v>
      </c>
      <c r="K1584" s="3" t="s">
        <v>57</v>
      </c>
    </row>
    <row r="1585" spans="1:11" ht="42" customHeight="1">
      <c r="A1585" s="2" t="s">
        <v>4697</v>
      </c>
      <c r="B1585" s="2" t="s">
        <v>4698</v>
      </c>
      <c r="C1585" s="2" t="s">
        <v>25</v>
      </c>
      <c r="D1585" s="2" t="s">
        <v>26</v>
      </c>
      <c r="E1585" s="3" t="s">
        <v>1616</v>
      </c>
      <c r="F1585" s="3" t="s">
        <v>1617</v>
      </c>
      <c r="G1585" s="3" t="s">
        <v>75</v>
      </c>
      <c r="H1585" s="2" t="s">
        <v>55</v>
      </c>
      <c r="I1585" s="2" t="s">
        <v>4699</v>
      </c>
      <c r="J1585" s="3" t="str">
        <f>HYPERLINK("https://www.boe.es/gazeta/dias/1809/01/14/pdfs/GGB-1809-3.pdf#page=2","Abrir facsímil")</f>
        <v>Abrir facsímil</v>
      </c>
      <c r="K1585" s="3" t="s">
        <v>57</v>
      </c>
    </row>
    <row r="1586" spans="1:11" ht="42" customHeight="1">
      <c r="A1586" s="2" t="s">
        <v>4700</v>
      </c>
      <c r="B1586" s="2" t="s">
        <v>4701</v>
      </c>
      <c r="C1586" s="2" t="s">
        <v>288</v>
      </c>
      <c r="D1586" s="2" t="s">
        <v>18</v>
      </c>
      <c r="E1586" s="3" t="s">
        <v>838</v>
      </c>
      <c r="F1586" s="3" t="s">
        <v>839</v>
      </c>
      <c r="G1586" s="3" t="s">
        <v>906</v>
      </c>
      <c r="H1586" s="2" t="s">
        <v>55</v>
      </c>
      <c r="I1586" s="2" t="s">
        <v>4702</v>
      </c>
      <c r="J1586" s="3" t="str">
        <f>HYPERLINK("https://www.boe.es/gazeta/dias/1809/08/03/pdfs/GGB-1809-12.pdf#page=8","Abrir facsímil")</f>
        <v>Abrir facsímil</v>
      </c>
      <c r="K1586" s="3" t="s">
        <v>57</v>
      </c>
    </row>
    <row r="1587" spans="1:11" ht="42" customHeight="1">
      <c r="A1587" s="2" t="s">
        <v>4703</v>
      </c>
      <c r="B1587" s="2" t="s">
        <v>4704</v>
      </c>
      <c r="C1587" s="2" t="s">
        <v>131</v>
      </c>
      <c r="D1587" s="2" t="s">
        <v>26</v>
      </c>
      <c r="E1587" s="3" t="s">
        <v>515</v>
      </c>
      <c r="F1587" s="3" t="s">
        <v>516</v>
      </c>
      <c r="G1587" s="3" t="s">
        <v>1380</v>
      </c>
      <c r="H1587" s="2" t="s">
        <v>55</v>
      </c>
      <c r="I1587" s="2" t="s">
        <v>4705</v>
      </c>
      <c r="J1587" s="3" t="str">
        <f>HYPERLINK("https://www.boe.es/gazeta/dias/1809/09/02/pdfs/GMD-1809-246.pdf#page=3","Abrir facsímil")</f>
        <v>Abrir facsímil</v>
      </c>
      <c r="K1587" s="3" t="s">
        <v>57</v>
      </c>
    </row>
    <row r="1588" spans="1:11" ht="42" customHeight="1">
      <c r="A1588" s="2" t="s">
        <v>4706</v>
      </c>
      <c r="B1588" s="2" t="s">
        <v>4707</v>
      </c>
      <c r="C1588" s="2" t="s">
        <v>17</v>
      </c>
      <c r="D1588" s="2" t="s">
        <v>40</v>
      </c>
      <c r="E1588" s="3" t="s">
        <v>776</v>
      </c>
      <c r="F1588" s="3" t="s">
        <v>777</v>
      </c>
      <c r="G1588" s="3" t="s">
        <v>736</v>
      </c>
      <c r="H1588" s="2" t="s">
        <v>55</v>
      </c>
      <c r="I1588" s="2" t="s">
        <v>4708</v>
      </c>
      <c r="J1588" s="3" t="str">
        <f>HYPERLINK("https://www.boe.es/gazeta/dias/1809/05/28/pdfs/GMD-E-1809-148.pdf#page=1","Abrir facsímil")</f>
        <v>Abrir facsímil</v>
      </c>
      <c r="K1588" s="3" t="s">
        <v>57</v>
      </c>
    </row>
    <row r="1589" spans="1:11" ht="42" customHeight="1">
      <c r="A1589" s="2" t="s">
        <v>4709</v>
      </c>
      <c r="B1589" s="2" t="s">
        <v>4710</v>
      </c>
      <c r="C1589" s="2" t="s">
        <v>39</v>
      </c>
      <c r="D1589" s="2" t="s">
        <v>80</v>
      </c>
      <c r="E1589" s="3" t="s">
        <v>248</v>
      </c>
      <c r="F1589" s="3" t="s">
        <v>249</v>
      </c>
      <c r="G1589" s="3" t="s">
        <v>169</v>
      </c>
      <c r="H1589" s="2" t="s">
        <v>55</v>
      </c>
      <c r="I1589" s="2" t="s">
        <v>4711</v>
      </c>
      <c r="J1589" s="3" t="str">
        <f>HYPERLINK("https://www.boe.es/gazeta/dias/1809/07/26/pdfs/GGB-1809-48E.pdf#page=11","Abrir facsímil")</f>
        <v>Abrir facsímil</v>
      </c>
      <c r="K1589" s="3" t="s">
        <v>57</v>
      </c>
    </row>
    <row r="1590" spans="1:11" ht="42" customHeight="1">
      <c r="A1590" s="2" t="s">
        <v>4712</v>
      </c>
      <c r="B1590" s="2" t="s">
        <v>4713</v>
      </c>
      <c r="C1590" s="2" t="s">
        <v>25</v>
      </c>
      <c r="D1590" s="2" t="s">
        <v>26</v>
      </c>
      <c r="E1590" s="3" t="s">
        <v>248</v>
      </c>
      <c r="F1590" s="3" t="s">
        <v>249</v>
      </c>
      <c r="G1590" s="3" t="s">
        <v>94</v>
      </c>
      <c r="H1590" s="2" t="s">
        <v>55</v>
      </c>
      <c r="I1590" s="2" t="s">
        <v>4714</v>
      </c>
      <c r="J1590" s="3" t="str">
        <f>HYPERLINK("https://www.boe.es/gazeta/dias/1809/07/26/pdfs/GGB-1809-48E.pdf#page=5","Abrir facsímil")</f>
        <v>Abrir facsímil</v>
      </c>
      <c r="K1590" s="3" t="s">
        <v>57</v>
      </c>
    </row>
    <row r="1591" spans="1:11" ht="42" customHeight="1">
      <c r="A1591" s="2" t="s">
        <v>4715</v>
      </c>
      <c r="B1591" s="2" t="s">
        <v>4716</v>
      </c>
      <c r="C1591" s="2" t="s">
        <v>17</v>
      </c>
      <c r="D1591" s="2" t="s">
        <v>18</v>
      </c>
      <c r="E1591" s="3" t="s">
        <v>4389</v>
      </c>
      <c r="F1591" s="3" t="s">
        <v>4390</v>
      </c>
      <c r="G1591" s="3" t="s">
        <v>4391</v>
      </c>
      <c r="H1591" s="2" t="s">
        <v>55</v>
      </c>
      <c r="I1591" s="2" t="s">
        <v>4717</v>
      </c>
      <c r="J1591" s="3" t="str">
        <f>HYPERLINK("https://www.boe.es/gazeta/dias/1809/02/06/pdfs/GMD-1809-37.pdf#page=4","Abrir facsímil")</f>
        <v>Abrir facsímil</v>
      </c>
      <c r="K1591" s="3" t="s">
        <v>57</v>
      </c>
    </row>
    <row r="1592" spans="1:11" ht="42" customHeight="1">
      <c r="A1592" s="2" t="s">
        <v>4718</v>
      </c>
      <c r="B1592" s="2" t="s">
        <v>4719</v>
      </c>
      <c r="C1592" s="2" t="s">
        <v>131</v>
      </c>
      <c r="D1592" s="2" t="s">
        <v>80</v>
      </c>
      <c r="E1592" s="3" t="s">
        <v>81</v>
      </c>
      <c r="F1592" s="3" t="s">
        <v>82</v>
      </c>
      <c r="G1592" s="3" t="s">
        <v>3332</v>
      </c>
      <c r="H1592" s="2" t="s">
        <v>55</v>
      </c>
      <c r="I1592" s="2" t="s">
        <v>4720</v>
      </c>
      <c r="J1592" s="3" t="str">
        <f>HYPERLINK("https://www.boe.es/gazeta/dias/1809/04/11/pdfs/GGB-1809-16E.pdf#page=8","Abrir facsímil")</f>
        <v>Abrir facsímil</v>
      </c>
      <c r="K1592" s="3" t="s">
        <v>57</v>
      </c>
    </row>
    <row r="1593" spans="1:11" ht="42" customHeight="1">
      <c r="A1593" s="2" t="s">
        <v>4721</v>
      </c>
      <c r="B1593" s="2" t="s">
        <v>4722</v>
      </c>
      <c r="C1593" s="2" t="s">
        <v>25</v>
      </c>
      <c r="D1593" s="2" t="s">
        <v>80</v>
      </c>
      <c r="E1593" s="3" t="s">
        <v>81</v>
      </c>
      <c r="F1593" s="3" t="s">
        <v>82</v>
      </c>
      <c r="G1593" s="3" t="s">
        <v>250</v>
      </c>
      <c r="H1593" s="2" t="s">
        <v>55</v>
      </c>
      <c r="I1593" s="2" t="s">
        <v>4723</v>
      </c>
      <c r="J1593" s="3" t="str">
        <f>HYPERLINK("https://www.boe.es/gazeta/dias/1809/04/11/pdfs/GGB-1809-16E.pdf#page=1","Abrir facsímil")</f>
        <v>Abrir facsímil</v>
      </c>
      <c r="K1593" s="3" t="s">
        <v>57</v>
      </c>
    </row>
    <row r="1594" spans="1:11" ht="42" customHeight="1">
      <c r="A1594" s="2" t="s">
        <v>4724</v>
      </c>
      <c r="B1594" s="2" t="s">
        <v>4725</v>
      </c>
      <c r="C1594" s="2" t="s">
        <v>17</v>
      </c>
      <c r="D1594" s="2" t="s">
        <v>72</v>
      </c>
      <c r="E1594" s="3" t="s">
        <v>243</v>
      </c>
      <c r="F1594" s="3" t="s">
        <v>244</v>
      </c>
      <c r="G1594" s="3" t="s">
        <v>110</v>
      </c>
      <c r="H1594" s="2" t="s">
        <v>55</v>
      </c>
      <c r="I1594" s="2" t="s">
        <v>4726</v>
      </c>
      <c r="J1594" s="3" t="str">
        <f>HYPERLINK("https://www.boe.es/gazeta/dias/1809/02/17/pdfs/GGB-G-1809-8.pdf#page=5","Abrir facsímil")</f>
        <v>Abrir facsímil</v>
      </c>
      <c r="K1594" s="3" t="s">
        <v>57</v>
      </c>
    </row>
    <row r="1595" spans="1:11" ht="42" customHeight="1">
      <c r="A1595" s="2" t="s">
        <v>4727</v>
      </c>
      <c r="B1595" s="2" t="s">
        <v>4728</v>
      </c>
      <c r="C1595" s="2" t="s">
        <v>17</v>
      </c>
      <c r="D1595" s="2" t="s">
        <v>18</v>
      </c>
      <c r="E1595" s="3" t="s">
        <v>2976</v>
      </c>
      <c r="F1595" s="3" t="s">
        <v>2977</v>
      </c>
      <c r="G1595" s="3" t="s">
        <v>62</v>
      </c>
      <c r="H1595" s="2" t="s">
        <v>22</v>
      </c>
      <c r="I1595" s="2" t="s">
        <v>4729</v>
      </c>
      <c r="J1595" s="3" t="str">
        <f>HYPERLINK("https://www.boe.es/gazeta/dias/1809/05/05/pdfs/GGB-1809-24.pdf#page=8","Abrir facsímil")</f>
        <v>Abrir facsímil</v>
      </c>
      <c r="K1595" s="3" t="s">
        <v>24</v>
      </c>
    </row>
    <row r="1596" spans="1:11" ht="42" customHeight="1">
      <c r="A1596" s="2" t="s">
        <v>4730</v>
      </c>
      <c r="B1596" s="2" t="s">
        <v>4731</v>
      </c>
      <c r="C1596" s="2" t="s">
        <v>369</v>
      </c>
      <c r="D1596" s="2" t="s">
        <v>40</v>
      </c>
      <c r="E1596" s="3" t="s">
        <v>1551</v>
      </c>
      <c r="F1596" s="3" t="s">
        <v>1552</v>
      </c>
      <c r="G1596" s="3" t="s">
        <v>75</v>
      </c>
      <c r="H1596" s="2" t="s">
        <v>55</v>
      </c>
      <c r="I1596" s="2" t="s">
        <v>4732</v>
      </c>
      <c r="J1596" s="3" t="str">
        <f>HYPERLINK("https://www.boe.es/gazeta/dias/1809/06/12/pdfs/GGB-1809-36.pdf#page=12","Abrir facsímil")</f>
        <v>Abrir facsímil</v>
      </c>
      <c r="K1596" s="3" t="s">
        <v>57</v>
      </c>
    </row>
    <row r="1597" spans="1:11" ht="42" customHeight="1">
      <c r="A1597" s="2" t="s">
        <v>4733</v>
      </c>
      <c r="B1597" s="2" t="s">
        <v>4734</v>
      </c>
      <c r="C1597" s="2" t="s">
        <v>17</v>
      </c>
      <c r="D1597" s="2" t="s">
        <v>18</v>
      </c>
      <c r="E1597" s="3" t="s">
        <v>229</v>
      </c>
      <c r="F1597" s="3" t="s">
        <v>230</v>
      </c>
      <c r="G1597" s="3" t="s">
        <v>110</v>
      </c>
      <c r="H1597" s="2" t="s">
        <v>55</v>
      </c>
      <c r="I1597" s="2" t="s">
        <v>4735</v>
      </c>
      <c r="J1597" s="3" t="str">
        <f>HYPERLINK("https://www.boe.es/gazeta/dias/1809/02/26/pdfs/GMD-1809-57.pdf#page=2","Abrir facsímil")</f>
        <v>Abrir facsímil</v>
      </c>
      <c r="K1597" s="3" t="s">
        <v>57</v>
      </c>
    </row>
    <row r="1598" spans="1:11" ht="42" customHeight="1">
      <c r="A1598" s="2" t="s">
        <v>4736</v>
      </c>
      <c r="B1598" s="2" t="s">
        <v>4737</v>
      </c>
      <c r="C1598" s="2" t="s">
        <v>17</v>
      </c>
      <c r="D1598" s="2" t="s">
        <v>18</v>
      </c>
      <c r="E1598" s="3" t="s">
        <v>3397</v>
      </c>
      <c r="F1598" s="3" t="s">
        <v>3398</v>
      </c>
      <c r="G1598" s="3" t="s">
        <v>225</v>
      </c>
      <c r="H1598" s="2" t="s">
        <v>55</v>
      </c>
      <c r="I1598" s="2" t="s">
        <v>4738</v>
      </c>
      <c r="J1598" s="3" t="str">
        <f>HYPERLINK("https://www.boe.es/gazeta/dias/1809/02/08/pdfs/GMD-1809-39.pdf#page=4","Abrir facsímil")</f>
        <v>Abrir facsímil</v>
      </c>
      <c r="K1598" s="3" t="s">
        <v>57</v>
      </c>
    </row>
    <row r="1599" spans="1:11" ht="42" customHeight="1">
      <c r="A1599" s="2" t="s">
        <v>4739</v>
      </c>
      <c r="B1599" s="2" t="s">
        <v>4740</v>
      </c>
      <c r="C1599" s="2" t="s">
        <v>17</v>
      </c>
      <c r="D1599" s="2" t="s">
        <v>18</v>
      </c>
      <c r="E1599" s="3" t="s">
        <v>357</v>
      </c>
      <c r="F1599" s="3" t="s">
        <v>358</v>
      </c>
      <c r="G1599" s="3" t="s">
        <v>225</v>
      </c>
      <c r="H1599" s="2" t="s">
        <v>55</v>
      </c>
      <c r="I1599" s="2" t="s">
        <v>4741</v>
      </c>
      <c r="J1599" s="3" t="str">
        <f>HYPERLINK("https://www.boe.es/gazeta/dias/1809/03/20/pdfs/GMD-1809-79.pdf#page=4","Abrir facsímil")</f>
        <v>Abrir facsímil</v>
      </c>
      <c r="K1599" s="3" t="s">
        <v>57</v>
      </c>
    </row>
    <row r="1600" spans="1:11" ht="42" customHeight="1">
      <c r="A1600" s="2" t="s">
        <v>4742</v>
      </c>
      <c r="B1600" s="2" t="s">
        <v>4743</v>
      </c>
      <c r="C1600" s="2" t="s">
        <v>39</v>
      </c>
      <c r="D1600" s="2" t="s">
        <v>18</v>
      </c>
      <c r="E1600" s="3" t="s">
        <v>730</v>
      </c>
      <c r="F1600" s="3" t="s">
        <v>3423</v>
      </c>
      <c r="G1600" s="3" t="s">
        <v>1935</v>
      </c>
      <c r="H1600" s="2" t="s">
        <v>55</v>
      </c>
      <c r="I1600" s="2" t="s">
        <v>4744</v>
      </c>
      <c r="J1600" s="3" t="str">
        <f>HYPERLINK("https://www.boe.es/gazeta/dias/1809/06/23/pdfs/GGB-1809-39.pdf#page=12","Abrir facsímil")</f>
        <v>Abrir facsímil</v>
      </c>
      <c r="K1600" s="3" t="s">
        <v>57</v>
      </c>
    </row>
    <row r="1601" spans="1:11" ht="42" customHeight="1">
      <c r="A1601" s="2" t="s">
        <v>4745</v>
      </c>
      <c r="B1601" s="2" t="s">
        <v>4746</v>
      </c>
      <c r="C1601" s="2" t="s">
        <v>25</v>
      </c>
      <c r="D1601" s="2" t="s">
        <v>18</v>
      </c>
      <c r="E1601" s="3" t="s">
        <v>73</v>
      </c>
      <c r="F1601" s="3" t="s">
        <v>1045</v>
      </c>
      <c r="G1601" s="3" t="s">
        <v>89</v>
      </c>
      <c r="H1601" s="2" t="s">
        <v>55</v>
      </c>
      <c r="I1601" s="2" t="s">
        <v>4747</v>
      </c>
      <c r="J1601" s="3" t="str">
        <f>HYPERLINK("https://www.boe.es/gazeta/dias/1809/09/21/pdfs/GMD-1809-265.pdf#page=3","Abrir facsímil")</f>
        <v>Abrir facsímil</v>
      </c>
      <c r="K1601" s="3" t="s">
        <v>57</v>
      </c>
    </row>
    <row r="1602" spans="1:11" ht="42" customHeight="1">
      <c r="A1602" s="2" t="s">
        <v>4748</v>
      </c>
      <c r="B1602" s="2" t="s">
        <v>4749</v>
      </c>
      <c r="C1602" s="2" t="s">
        <v>17</v>
      </c>
      <c r="D1602" s="2" t="s">
        <v>40</v>
      </c>
      <c r="E1602" s="3" t="s">
        <v>196</v>
      </c>
      <c r="F1602" s="3" t="s">
        <v>197</v>
      </c>
      <c r="G1602" s="3" t="s">
        <v>198</v>
      </c>
      <c r="H1602" s="2" t="s">
        <v>55</v>
      </c>
      <c r="I1602" s="2" t="s">
        <v>4750</v>
      </c>
      <c r="J1602" s="3" t="str">
        <f>HYPERLINK("https://www.boe.es/gazeta/dias/1809/09/04/pdfs/GMD-1809-248.pdf#page=3","Abrir facsímil")</f>
        <v>Abrir facsímil</v>
      </c>
      <c r="K1602" s="3" t="s">
        <v>57</v>
      </c>
    </row>
    <row r="1603" spans="1:11" ht="42" customHeight="1">
      <c r="A1603" s="2" t="s">
        <v>4751</v>
      </c>
      <c r="B1603" s="2" t="s">
        <v>4752</v>
      </c>
      <c r="C1603" s="2" t="s">
        <v>47</v>
      </c>
      <c r="D1603" s="2" t="s">
        <v>18</v>
      </c>
      <c r="E1603" s="3" t="s">
        <v>377</v>
      </c>
      <c r="F1603" s="3" t="s">
        <v>378</v>
      </c>
      <c r="G1603" s="3" t="s">
        <v>110</v>
      </c>
      <c r="H1603" s="2" t="s">
        <v>55</v>
      </c>
      <c r="I1603" s="2" t="s">
        <v>4753</v>
      </c>
      <c r="J1603" s="3" t="str">
        <f>HYPERLINK("https://www.boe.es/gazeta/dias/1809/03/19/pdfs/GMD-1809-78.pdf#page=3","Abrir facsímil")</f>
        <v>Abrir facsímil</v>
      </c>
      <c r="K1603" s="3" t="s">
        <v>57</v>
      </c>
    </row>
    <row r="1604" spans="1:11" ht="42" customHeight="1">
      <c r="A1604" s="2" t="s">
        <v>4754</v>
      </c>
      <c r="B1604" s="2" t="s">
        <v>4755</v>
      </c>
      <c r="C1604" s="2" t="s">
        <v>17</v>
      </c>
      <c r="D1604" s="2" t="s">
        <v>18</v>
      </c>
      <c r="E1604" s="3" t="s">
        <v>599</v>
      </c>
      <c r="F1604" s="3" t="s">
        <v>600</v>
      </c>
      <c r="G1604" s="3" t="s">
        <v>601</v>
      </c>
      <c r="H1604" s="2" t="s">
        <v>55</v>
      </c>
      <c r="I1604" s="2" t="s">
        <v>4756</v>
      </c>
      <c r="J1604" s="3" t="str">
        <f>HYPERLINK("https://www.boe.es/gazeta/dias/1809/01/19/pdfs/GMD-1809-19.pdf#page=4","Abrir facsímil")</f>
        <v>Abrir facsímil</v>
      </c>
      <c r="K1604" s="3" t="s">
        <v>57</v>
      </c>
    </row>
    <row r="1605" spans="1:11" ht="42" customHeight="1">
      <c r="A1605" s="2" t="s">
        <v>4757</v>
      </c>
      <c r="B1605" s="2" t="s">
        <v>4758</v>
      </c>
      <c r="C1605" s="2" t="s">
        <v>17</v>
      </c>
      <c r="D1605" s="2" t="s">
        <v>18</v>
      </c>
      <c r="E1605" s="3" t="s">
        <v>158</v>
      </c>
      <c r="F1605" s="3" t="s">
        <v>159</v>
      </c>
      <c r="G1605" s="3" t="s">
        <v>120</v>
      </c>
      <c r="H1605" s="2" t="s">
        <v>55</v>
      </c>
      <c r="I1605" s="2" t="s">
        <v>4759</v>
      </c>
      <c r="J1605" s="3" t="str">
        <f>HYPERLINK("https://www.boe.es/gazeta/dias/1809/02/10/pdfs/GGB-1809-7.pdf#page=9","Abrir facsímil")</f>
        <v>Abrir facsímil</v>
      </c>
      <c r="K1605" s="3" t="s">
        <v>57</v>
      </c>
    </row>
    <row r="1606" spans="1:11" ht="42" customHeight="1">
      <c r="A1606" s="2" t="s">
        <v>4760</v>
      </c>
      <c r="B1606" s="2" t="s">
        <v>4761</v>
      </c>
      <c r="C1606" s="2" t="s">
        <v>369</v>
      </c>
      <c r="D1606" s="2" t="s">
        <v>18</v>
      </c>
      <c r="E1606" s="3" t="s">
        <v>666</v>
      </c>
      <c r="F1606" s="3" t="s">
        <v>667</v>
      </c>
      <c r="G1606" s="3" t="s">
        <v>4762</v>
      </c>
      <c r="H1606" s="2" t="s">
        <v>55</v>
      </c>
      <c r="I1606" s="2" t="s">
        <v>4763</v>
      </c>
      <c r="J1606" s="3" t="str">
        <f>HYPERLINK("https://www.boe.es/gazeta/dias/1809/08/29/pdfs/GGB-1809-122.pdf#page=8","Abrir facsímil")</f>
        <v>Abrir facsímil</v>
      </c>
      <c r="K1606" s="3" t="s">
        <v>57</v>
      </c>
    </row>
    <row r="1607" spans="1:11" ht="42" customHeight="1">
      <c r="A1607" s="2" t="s">
        <v>4764</v>
      </c>
      <c r="B1607" s="2" t="s">
        <v>4765</v>
      </c>
      <c r="C1607" s="2" t="s">
        <v>17</v>
      </c>
      <c r="D1607" s="2" t="s">
        <v>18</v>
      </c>
      <c r="E1607" s="3" t="s">
        <v>3397</v>
      </c>
      <c r="F1607" s="3" t="s">
        <v>3398</v>
      </c>
      <c r="G1607" s="3" t="s">
        <v>225</v>
      </c>
      <c r="H1607" s="2" t="s">
        <v>55</v>
      </c>
      <c r="I1607" s="2" t="s">
        <v>4766</v>
      </c>
      <c r="J1607" s="3" t="str">
        <f>HYPERLINK("https://www.boe.es/gazeta/dias/1809/02/08/pdfs/GMD-1809-39.pdf#page=4","Abrir facsímil")</f>
        <v>Abrir facsímil</v>
      </c>
      <c r="K1607" s="3" t="s">
        <v>57</v>
      </c>
    </row>
    <row r="1608" spans="1:11" ht="42" customHeight="1">
      <c r="A1608" s="2" t="s">
        <v>4767</v>
      </c>
      <c r="B1608" s="2" t="s">
        <v>4768</v>
      </c>
      <c r="C1608" s="2" t="s">
        <v>369</v>
      </c>
      <c r="D1608" s="2" t="s">
        <v>18</v>
      </c>
      <c r="E1608" s="3" t="s">
        <v>1954</v>
      </c>
      <c r="F1608" s="3" t="s">
        <v>1955</v>
      </c>
      <c r="G1608" s="3" t="s">
        <v>1956</v>
      </c>
      <c r="H1608" s="2" t="s">
        <v>22</v>
      </c>
      <c r="I1608" s="2" t="s">
        <v>4769</v>
      </c>
      <c r="J1608" s="3" t="str">
        <f>HYPERLINK("https://www.boe.es/gazeta/dias/1809/11/08/pdfs/GMD-1809-313.pdf#page=4","Abrir facsímil")</f>
        <v>Abrir facsímil</v>
      </c>
      <c r="K1608" s="3" t="s">
        <v>24</v>
      </c>
    </row>
    <row r="1609" spans="1:11" ht="42" customHeight="1">
      <c r="A1609" s="2" t="s">
        <v>4770</v>
      </c>
      <c r="B1609" s="2" t="s">
        <v>4771</v>
      </c>
      <c r="C1609" s="2" t="s">
        <v>17</v>
      </c>
      <c r="D1609" s="2" t="s">
        <v>18</v>
      </c>
      <c r="E1609" s="3" t="s">
        <v>283</v>
      </c>
      <c r="F1609" s="3" t="s">
        <v>284</v>
      </c>
      <c r="G1609" s="3" t="s">
        <v>29</v>
      </c>
      <c r="H1609" s="2" t="s">
        <v>55</v>
      </c>
      <c r="I1609" s="2" t="s">
        <v>4772</v>
      </c>
      <c r="J1609" s="3" t="str">
        <f>HYPERLINK("https://www.boe.es/gazeta/dias/1809/02/09/pdfs/GMD-1809-40.pdf#page=3","Abrir facsímil")</f>
        <v>Abrir facsímil</v>
      </c>
      <c r="K1609" s="3" t="s">
        <v>57</v>
      </c>
    </row>
    <row r="1610" spans="1:11" ht="42" customHeight="1">
      <c r="A1610" s="2" t="s">
        <v>4773</v>
      </c>
      <c r="B1610" s="2" t="s">
        <v>4774</v>
      </c>
      <c r="C1610" s="2" t="s">
        <v>17</v>
      </c>
      <c r="D1610" s="2" t="s">
        <v>72</v>
      </c>
      <c r="E1610" s="3" t="s">
        <v>243</v>
      </c>
      <c r="F1610" s="3" t="s">
        <v>244</v>
      </c>
      <c r="G1610" s="3" t="s">
        <v>525</v>
      </c>
      <c r="H1610" s="2" t="s">
        <v>55</v>
      </c>
      <c r="I1610" s="2" t="s">
        <v>4775</v>
      </c>
      <c r="J1610" s="3" t="str">
        <f>HYPERLINK("https://www.boe.es/gazeta/dias/1809/02/17/pdfs/GGB-G-1809-8.pdf#page=4","Abrir facsímil")</f>
        <v>Abrir facsímil</v>
      </c>
      <c r="K1610" s="3" t="s">
        <v>57</v>
      </c>
    </row>
    <row r="1611" spans="1:11" ht="42" customHeight="1">
      <c r="A1611" s="2" t="s">
        <v>4776</v>
      </c>
      <c r="B1611" s="2" t="s">
        <v>4777</v>
      </c>
      <c r="C1611" s="2" t="s">
        <v>47</v>
      </c>
      <c r="D1611" s="2" t="s">
        <v>107</v>
      </c>
      <c r="E1611" s="3" t="s">
        <v>2388</v>
      </c>
      <c r="F1611" s="3" t="s">
        <v>2389</v>
      </c>
      <c r="G1611" s="3" t="s">
        <v>4778</v>
      </c>
      <c r="H1611" s="2" t="s">
        <v>22</v>
      </c>
      <c r="I1611" s="2" t="s">
        <v>4779</v>
      </c>
      <c r="J1611" s="3" t="str">
        <f>HYPERLINK("https://www.boe.es/gazeta/dias/1809/06/11/pdfs/GMD-1809-162.pdf#page=2","Abrir facsímil")</f>
        <v>Abrir facsímil</v>
      </c>
      <c r="K1611" s="3" t="s">
        <v>24</v>
      </c>
    </row>
    <row r="1612" spans="1:11" ht="42" customHeight="1">
      <c r="A1612" s="2" t="s">
        <v>4780</v>
      </c>
      <c r="B1612" s="2" t="s">
        <v>4781</v>
      </c>
      <c r="C1612" s="2" t="s">
        <v>25</v>
      </c>
      <c r="D1612" s="2" t="s">
        <v>80</v>
      </c>
      <c r="E1612" s="3" t="s">
        <v>1700</v>
      </c>
      <c r="F1612" s="3" t="s">
        <v>1701</v>
      </c>
      <c r="G1612" s="3" t="s">
        <v>349</v>
      </c>
      <c r="H1612" s="2" t="s">
        <v>55</v>
      </c>
      <c r="I1612" s="2" t="s">
        <v>4782</v>
      </c>
      <c r="J1612" s="3" t="str">
        <f>HYPERLINK("https://www.boe.es/gazeta/dias/1809/01/16/pdfs/GGB-1809-3E.pdf#page=3","Abrir facsímil")</f>
        <v>Abrir facsímil</v>
      </c>
      <c r="K1612" s="3" t="s">
        <v>57</v>
      </c>
    </row>
    <row r="1613" spans="1:11" ht="42" customHeight="1">
      <c r="A1613" s="2" t="s">
        <v>4783</v>
      </c>
      <c r="B1613" s="2" t="s">
        <v>4784</v>
      </c>
      <c r="C1613" s="2" t="s">
        <v>17</v>
      </c>
      <c r="D1613" s="2" t="s">
        <v>72</v>
      </c>
      <c r="E1613" s="3" t="s">
        <v>243</v>
      </c>
      <c r="F1613" s="3" t="s">
        <v>244</v>
      </c>
      <c r="G1613" s="3" t="s">
        <v>110</v>
      </c>
      <c r="H1613" s="2" t="s">
        <v>55</v>
      </c>
      <c r="I1613" s="2" t="s">
        <v>4785</v>
      </c>
      <c r="J1613" s="3" t="str">
        <f>HYPERLINK("https://www.boe.es/gazeta/dias/1809/02/17/pdfs/GGB-G-1809-8.pdf#page=5","Abrir facsímil")</f>
        <v>Abrir facsímil</v>
      </c>
      <c r="K1613" s="3" t="s">
        <v>57</v>
      </c>
    </row>
    <row r="1614" spans="1:11" ht="42" customHeight="1">
      <c r="A1614" s="2" t="s">
        <v>4786</v>
      </c>
      <c r="B1614" s="2" t="s">
        <v>4787</v>
      </c>
      <c r="C1614" s="2" t="s">
        <v>17</v>
      </c>
      <c r="D1614" s="2" t="s">
        <v>40</v>
      </c>
      <c r="E1614" s="3" t="s">
        <v>925</v>
      </c>
      <c r="F1614" s="3" t="s">
        <v>926</v>
      </c>
      <c r="G1614" s="3" t="s">
        <v>62</v>
      </c>
      <c r="H1614" s="2" t="s">
        <v>55</v>
      </c>
      <c r="I1614" s="2" t="s">
        <v>4788</v>
      </c>
      <c r="J1614" s="3" t="str">
        <f>HYPERLINK("https://www.boe.es/gazeta/dias/1809/01/11/pdfs/GGB-1809-2.pdf#page=6","Abrir facsímil")</f>
        <v>Abrir facsímil</v>
      </c>
      <c r="K1614" s="3" t="s">
        <v>57</v>
      </c>
    </row>
    <row r="1615" spans="1:11" ht="42" customHeight="1">
      <c r="A1615" s="2" t="s">
        <v>4789</v>
      </c>
      <c r="B1615" s="2" t="s">
        <v>4790</v>
      </c>
      <c r="C1615" s="2" t="s">
        <v>25</v>
      </c>
      <c r="D1615" s="2" t="s">
        <v>26</v>
      </c>
      <c r="E1615" s="3" t="s">
        <v>258</v>
      </c>
      <c r="F1615" s="3" t="s">
        <v>1673</v>
      </c>
      <c r="G1615" s="3" t="s">
        <v>651</v>
      </c>
      <c r="H1615" s="2" t="s">
        <v>55</v>
      </c>
      <c r="I1615" s="2" t="s">
        <v>4791</v>
      </c>
      <c r="J1615" s="3" t="str">
        <f>HYPERLINK("https://www.boe.es/gazeta/dias/1809/03/17/pdfs/GGB-G-1809-12.pdf#page=4","Abrir facsímil")</f>
        <v>Abrir facsímil</v>
      </c>
      <c r="K1615" s="3" t="s">
        <v>57</v>
      </c>
    </row>
    <row r="1616" spans="1:11" ht="42" customHeight="1">
      <c r="A1616" s="2" t="s">
        <v>4789</v>
      </c>
      <c r="B1616" s="2" t="s">
        <v>4790</v>
      </c>
      <c r="C1616" s="2" t="s">
        <v>25</v>
      </c>
      <c r="D1616" s="2" t="s">
        <v>26</v>
      </c>
      <c r="E1616" s="3" t="s">
        <v>258</v>
      </c>
      <c r="F1616" s="3" t="s">
        <v>1673</v>
      </c>
      <c r="G1616" s="3" t="s">
        <v>239</v>
      </c>
      <c r="H1616" s="2" t="s">
        <v>55</v>
      </c>
      <c r="I1616" s="2" t="s">
        <v>4792</v>
      </c>
      <c r="J1616" s="3" t="str">
        <f>HYPERLINK("https://www.boe.es/gazeta/dias/1809/03/17/pdfs/GGB-G-1809-12.pdf#page=6","Abrir facsímil")</f>
        <v>Abrir facsímil</v>
      </c>
      <c r="K1616" s="3" t="s">
        <v>57</v>
      </c>
    </row>
    <row r="1617" spans="1:11" ht="42" customHeight="1">
      <c r="A1617" s="2" t="s">
        <v>4793</v>
      </c>
      <c r="B1617" s="2" t="s">
        <v>4794</v>
      </c>
      <c r="C1617" s="2" t="s">
        <v>17</v>
      </c>
      <c r="D1617" s="2" t="s">
        <v>18</v>
      </c>
      <c r="E1617" s="3" t="s">
        <v>761</v>
      </c>
      <c r="F1617" s="3" t="s">
        <v>1218</v>
      </c>
      <c r="G1617" s="3" t="s">
        <v>1280</v>
      </c>
      <c r="H1617" s="2" t="s">
        <v>55</v>
      </c>
      <c r="I1617" s="2" t="s">
        <v>4795</v>
      </c>
      <c r="J1617" s="3" t="str">
        <f>HYPERLINK("https://www.boe.es/gazeta/dias/1809/06/02/pdfs/GGB-1809-33.pdf#page=11","Abrir facsímil")</f>
        <v>Abrir facsímil</v>
      </c>
      <c r="K1617" s="3" t="s">
        <v>57</v>
      </c>
    </row>
    <row r="1618" spans="1:11" ht="42" customHeight="1">
      <c r="A1618" s="2" t="s">
        <v>4796</v>
      </c>
      <c r="B1618" s="2" t="s">
        <v>4797</v>
      </c>
      <c r="C1618" s="2" t="s">
        <v>17</v>
      </c>
      <c r="D1618" s="2" t="s">
        <v>72</v>
      </c>
      <c r="E1618" s="3" t="s">
        <v>557</v>
      </c>
      <c r="F1618" s="3" t="s">
        <v>558</v>
      </c>
      <c r="G1618" s="3" t="s">
        <v>265</v>
      </c>
      <c r="H1618" s="2" t="s">
        <v>55</v>
      </c>
      <c r="I1618" s="2" t="s">
        <v>4798</v>
      </c>
      <c r="J1618" s="3" t="str">
        <f>HYPERLINK("https://www.boe.es/gazeta/dias/1809/04/19/pdfs/GMD-E-1809-109.pdf#page=2","Abrir facsímil")</f>
        <v>Abrir facsímil</v>
      </c>
      <c r="K1618" s="3" t="s">
        <v>57</v>
      </c>
    </row>
    <row r="1619" spans="1:11" ht="42" customHeight="1">
      <c r="A1619" s="2" t="s">
        <v>4799</v>
      </c>
      <c r="B1619" s="2" t="s">
        <v>4800</v>
      </c>
      <c r="C1619" s="2" t="s">
        <v>17</v>
      </c>
      <c r="D1619" s="2" t="s">
        <v>18</v>
      </c>
      <c r="E1619" s="3" t="s">
        <v>87</v>
      </c>
      <c r="F1619" s="3" t="s">
        <v>88</v>
      </c>
      <c r="G1619" s="3" t="s">
        <v>239</v>
      </c>
      <c r="H1619" s="2" t="s">
        <v>55</v>
      </c>
      <c r="I1619" s="2" t="s">
        <v>4801</v>
      </c>
      <c r="J1619" s="3" t="str">
        <f>HYPERLINK("https://www.boe.es/gazeta/dias/1809/02/15/pdfs/GMD-1809-46.pdf#page=3","Abrir facsímil")</f>
        <v>Abrir facsímil</v>
      </c>
      <c r="K1619" s="3" t="s">
        <v>57</v>
      </c>
    </row>
    <row r="1620" spans="1:11" ht="42" customHeight="1">
      <c r="A1620" s="2" t="s">
        <v>4802</v>
      </c>
      <c r="B1620" s="2" t="s">
        <v>4803</v>
      </c>
      <c r="C1620" s="2" t="s">
        <v>17</v>
      </c>
      <c r="D1620" s="2" t="s">
        <v>18</v>
      </c>
      <c r="E1620" s="3" t="s">
        <v>33</v>
      </c>
      <c r="F1620" s="3" t="s">
        <v>34</v>
      </c>
      <c r="G1620" s="3" t="s">
        <v>493</v>
      </c>
      <c r="H1620" s="2" t="s">
        <v>55</v>
      </c>
      <c r="I1620" s="2" t="s">
        <v>4804</v>
      </c>
      <c r="J1620" s="3" t="str">
        <f>HYPERLINK("https://www.boe.es/gazeta/dias/1809/12/19/pdfs/GGB-1809-602.pdf#page=6","Abrir facsímil")</f>
        <v>Abrir facsímil</v>
      </c>
      <c r="K1620" s="3" t="s">
        <v>57</v>
      </c>
    </row>
    <row r="1621" spans="1:11" ht="42" customHeight="1">
      <c r="A1621" s="2" t="s">
        <v>4805</v>
      </c>
      <c r="B1621" s="2" t="s">
        <v>4806</v>
      </c>
      <c r="C1621" s="2" t="s">
        <v>17</v>
      </c>
      <c r="D1621" s="2" t="s">
        <v>40</v>
      </c>
      <c r="E1621" s="3" t="s">
        <v>216</v>
      </c>
      <c r="F1621" s="3" t="s">
        <v>217</v>
      </c>
      <c r="G1621" s="3" t="s">
        <v>439</v>
      </c>
      <c r="H1621" s="2" t="s">
        <v>55</v>
      </c>
      <c r="I1621" s="2" t="s">
        <v>4807</v>
      </c>
      <c r="J1621" s="3" t="str">
        <f>HYPERLINK("https://www.boe.es/gazeta/dias/1809/12/05/pdfs/GGB-H-1809-542.pdf#page=7","Abrir facsímil")</f>
        <v>Abrir facsímil</v>
      </c>
      <c r="K1621" s="3" t="s">
        <v>57</v>
      </c>
    </row>
    <row r="1622" spans="1:11" ht="42" customHeight="1">
      <c r="A1622" s="2" t="s">
        <v>4808</v>
      </c>
      <c r="B1622" s="2" t="s">
        <v>4809</v>
      </c>
      <c r="C1622" s="2" t="s">
        <v>17</v>
      </c>
      <c r="D1622" s="2" t="s">
        <v>18</v>
      </c>
      <c r="E1622" s="3" t="s">
        <v>1551</v>
      </c>
      <c r="F1622" s="3" t="s">
        <v>1552</v>
      </c>
      <c r="G1622" s="3" t="s">
        <v>301</v>
      </c>
      <c r="H1622" s="2" t="s">
        <v>55</v>
      </c>
      <c r="I1622" s="2" t="s">
        <v>4810</v>
      </c>
      <c r="J1622" s="3" t="str">
        <f>HYPERLINK("https://www.boe.es/gazeta/dias/1809/06/12/pdfs/GGB-1809-36.pdf#page=10","Abrir facsímil")</f>
        <v>Abrir facsímil</v>
      </c>
      <c r="K1622" s="3" t="s">
        <v>57</v>
      </c>
    </row>
    <row r="1623" spans="1:11" ht="42" customHeight="1">
      <c r="A1623" s="2" t="s">
        <v>4811</v>
      </c>
      <c r="B1623" s="2" t="s">
        <v>4812</v>
      </c>
      <c r="C1623" s="2" t="s">
        <v>17</v>
      </c>
      <c r="D1623" s="2" t="s">
        <v>18</v>
      </c>
      <c r="E1623" s="3" t="s">
        <v>523</v>
      </c>
      <c r="F1623" s="3" t="s">
        <v>524</v>
      </c>
      <c r="G1623" s="3" t="s">
        <v>525</v>
      </c>
      <c r="H1623" s="2" t="s">
        <v>55</v>
      </c>
      <c r="I1623" s="2" t="s">
        <v>4813</v>
      </c>
      <c r="J1623" s="3" t="str">
        <f>HYPERLINK("https://www.boe.es/gazeta/dias/1809/02/14/pdfs/GMD-1809-45.pdf#page=1","Abrir facsímil")</f>
        <v>Abrir facsímil</v>
      </c>
      <c r="K1623" s="3" t="s">
        <v>57</v>
      </c>
    </row>
    <row r="1624" spans="1:11" ht="42" customHeight="1">
      <c r="A1624" s="2" t="s">
        <v>4814</v>
      </c>
      <c r="B1624" s="2" t="s">
        <v>4815</v>
      </c>
      <c r="C1624" s="2" t="s">
        <v>17</v>
      </c>
      <c r="D1624" s="2" t="s">
        <v>80</v>
      </c>
      <c r="E1624" s="3" t="s">
        <v>248</v>
      </c>
      <c r="F1624" s="3" t="s">
        <v>249</v>
      </c>
      <c r="G1624" s="3" t="s">
        <v>169</v>
      </c>
      <c r="H1624" s="2" t="s">
        <v>55</v>
      </c>
      <c r="I1624" s="2" t="s">
        <v>4816</v>
      </c>
      <c r="J1624" s="3" t="str">
        <f>HYPERLINK("https://www.boe.es/gazeta/dias/1809/07/26/pdfs/GGB-1809-48E.pdf#page=11","Abrir facsímil")</f>
        <v>Abrir facsímil</v>
      </c>
      <c r="K1624" s="3" t="s">
        <v>57</v>
      </c>
    </row>
    <row r="1625" spans="1:11" ht="42" customHeight="1">
      <c r="A1625" s="2" t="s">
        <v>4817</v>
      </c>
      <c r="B1625" s="2" t="s">
        <v>4818</v>
      </c>
      <c r="C1625" s="2" t="s">
        <v>17</v>
      </c>
      <c r="D1625" s="2" t="s">
        <v>72</v>
      </c>
      <c r="E1625" s="3" t="s">
        <v>787</v>
      </c>
      <c r="F1625" s="3" t="s">
        <v>788</v>
      </c>
      <c r="G1625" s="3" t="s">
        <v>789</v>
      </c>
      <c r="H1625" s="2" t="s">
        <v>55</v>
      </c>
      <c r="I1625" s="2" t="s">
        <v>4819</v>
      </c>
      <c r="J1625" s="3" t="str">
        <f>HYPERLINK("https://www.boe.es/gazeta/dias/1809/04/29/pdfs/GMD-E-1809-119.pdf#page=1","Abrir facsímil")</f>
        <v>Abrir facsímil</v>
      </c>
      <c r="K1625" s="3" t="s">
        <v>57</v>
      </c>
    </row>
    <row r="1626" spans="1:11" ht="42" customHeight="1">
      <c r="A1626" s="2" t="s">
        <v>4820</v>
      </c>
      <c r="B1626" s="2" t="s">
        <v>4821</v>
      </c>
      <c r="C1626" s="2" t="s">
        <v>25</v>
      </c>
      <c r="D1626" s="2" t="s">
        <v>40</v>
      </c>
      <c r="E1626" s="3" t="s">
        <v>904</v>
      </c>
      <c r="F1626" s="3" t="s">
        <v>905</v>
      </c>
      <c r="G1626" s="3" t="s">
        <v>75</v>
      </c>
      <c r="H1626" s="2" t="s">
        <v>55</v>
      </c>
      <c r="I1626" s="2" t="s">
        <v>4822</v>
      </c>
      <c r="J1626" s="3" t="str">
        <f>HYPERLINK("https://www.boe.es/gazeta/dias/1809/07/07/pdfs/GGB-1809-43.pdf#page=10","Abrir facsímil")</f>
        <v>Abrir facsímil</v>
      </c>
      <c r="K1626" s="3" t="s">
        <v>57</v>
      </c>
    </row>
    <row r="1627" spans="1:11" ht="42" customHeight="1">
      <c r="A1627" s="2" t="s">
        <v>4823</v>
      </c>
      <c r="B1627" s="2" t="s">
        <v>4824</v>
      </c>
      <c r="C1627" s="2" t="s">
        <v>25</v>
      </c>
      <c r="D1627" s="2" t="s">
        <v>18</v>
      </c>
      <c r="E1627" s="3" t="s">
        <v>387</v>
      </c>
      <c r="F1627" s="3" t="s">
        <v>1847</v>
      </c>
      <c r="G1627" s="3" t="s">
        <v>379</v>
      </c>
      <c r="H1627" s="2" t="s">
        <v>55</v>
      </c>
      <c r="I1627" s="2" t="s">
        <v>4825</v>
      </c>
      <c r="J1627" s="3" t="str">
        <f>HYPERLINK("https://www.boe.es/gazeta/dias/1809/09/26/pdfs/GGB-1809-242.pdf#page=1","Abrir facsímil")</f>
        <v>Abrir facsímil</v>
      </c>
      <c r="K1627" s="3" t="s">
        <v>57</v>
      </c>
    </row>
    <row r="1628" spans="1:11" ht="42" customHeight="1">
      <c r="A1628" s="2" t="s">
        <v>4826</v>
      </c>
      <c r="B1628" s="2" t="s">
        <v>4827</v>
      </c>
      <c r="C1628" s="2" t="s">
        <v>17</v>
      </c>
      <c r="D1628" s="2" t="s">
        <v>72</v>
      </c>
      <c r="E1628" s="3" t="s">
        <v>904</v>
      </c>
      <c r="F1628" s="3" t="s">
        <v>2324</v>
      </c>
      <c r="G1628" s="3" t="s">
        <v>2325</v>
      </c>
      <c r="H1628" s="2" t="s">
        <v>55</v>
      </c>
      <c r="I1628" s="2" t="s">
        <v>4828</v>
      </c>
      <c r="J1628" s="3" t="str">
        <f>HYPERLINK("https://www.boe.es/gazeta/dias/1809/07/07/pdfs/GGB-G-1809-43.pdf#page=2","Abrir facsímil")</f>
        <v>Abrir facsímil</v>
      </c>
      <c r="K1628" s="3" t="s">
        <v>57</v>
      </c>
    </row>
    <row r="1629" spans="1:11" ht="42" customHeight="1">
      <c r="A1629" s="2" t="s">
        <v>4829</v>
      </c>
      <c r="B1629" s="2" t="s">
        <v>4830</v>
      </c>
      <c r="C1629" s="2" t="s">
        <v>17</v>
      </c>
      <c r="D1629" s="2" t="s">
        <v>18</v>
      </c>
      <c r="E1629" s="3" t="s">
        <v>229</v>
      </c>
      <c r="F1629" s="3" t="s">
        <v>230</v>
      </c>
      <c r="G1629" s="3" t="s">
        <v>154</v>
      </c>
      <c r="H1629" s="2" t="s">
        <v>55</v>
      </c>
      <c r="I1629" s="2" t="s">
        <v>4831</v>
      </c>
      <c r="J1629" s="3" t="str">
        <f>HYPERLINK("https://www.boe.es/gazeta/dias/1809/02/26/pdfs/GMD-1809-57.pdf#page=3","Abrir facsímil")</f>
        <v>Abrir facsímil</v>
      </c>
      <c r="K1629" s="3" t="s">
        <v>57</v>
      </c>
    </row>
    <row r="1630" spans="1:11" ht="42" customHeight="1">
      <c r="A1630" s="2" t="s">
        <v>4832</v>
      </c>
      <c r="B1630" s="2" t="s">
        <v>4833</v>
      </c>
      <c r="C1630" s="2" t="s">
        <v>25</v>
      </c>
      <c r="D1630" s="2" t="s">
        <v>80</v>
      </c>
      <c r="E1630" s="3" t="s">
        <v>179</v>
      </c>
      <c r="F1630" s="3" t="s">
        <v>180</v>
      </c>
      <c r="G1630" s="3" t="s">
        <v>966</v>
      </c>
      <c r="H1630" s="2" t="s">
        <v>55</v>
      </c>
      <c r="I1630" s="2" t="s">
        <v>4834</v>
      </c>
      <c r="J1630" s="3" t="str">
        <f>HYPERLINK("https://www.boe.es/gazeta/dias/1809/12/08/pdfs/GGB-1809-552E.pdf#page=3","Abrir facsímil")</f>
        <v>Abrir facsímil</v>
      </c>
      <c r="K1630" s="3" t="s">
        <v>57</v>
      </c>
    </row>
    <row r="1631" spans="1:11" ht="42" customHeight="1">
      <c r="A1631" s="2" t="s">
        <v>4835</v>
      </c>
      <c r="B1631" s="2" t="s">
        <v>4836</v>
      </c>
      <c r="C1631" s="2" t="s">
        <v>25</v>
      </c>
      <c r="D1631" s="2" t="s">
        <v>80</v>
      </c>
      <c r="E1631" s="3" t="s">
        <v>179</v>
      </c>
      <c r="F1631" s="3" t="s">
        <v>180</v>
      </c>
      <c r="G1631" s="3" t="s">
        <v>62</v>
      </c>
      <c r="H1631" s="2" t="s">
        <v>55</v>
      </c>
      <c r="I1631" s="2" t="s">
        <v>4837</v>
      </c>
      <c r="J1631" s="3" t="str">
        <f>HYPERLINK("https://www.boe.es/gazeta/dias/1809/12/08/pdfs/GGB-1809-552E.pdf#page=1","Abrir facsímil")</f>
        <v>Abrir facsímil</v>
      </c>
      <c r="K1631" s="3" t="s">
        <v>57</v>
      </c>
    </row>
    <row r="1632" spans="1:11" ht="42" customHeight="1">
      <c r="A1632" s="2" t="s">
        <v>4838</v>
      </c>
      <c r="B1632" s="2" t="s">
        <v>4839</v>
      </c>
      <c r="C1632" s="2" t="s">
        <v>17</v>
      </c>
      <c r="D1632" s="2" t="s">
        <v>72</v>
      </c>
      <c r="E1632" s="3" t="s">
        <v>776</v>
      </c>
      <c r="F1632" s="3" t="s">
        <v>777</v>
      </c>
      <c r="G1632" s="3" t="s">
        <v>736</v>
      </c>
      <c r="H1632" s="2" t="s">
        <v>55</v>
      </c>
      <c r="I1632" s="2" t="s">
        <v>4840</v>
      </c>
      <c r="J1632" s="3" t="str">
        <f>HYPERLINK("https://www.boe.es/gazeta/dias/1809/05/28/pdfs/GMD-E-1809-148.pdf#page=1","Abrir facsímil")</f>
        <v>Abrir facsímil</v>
      </c>
      <c r="K1632" s="3" t="s">
        <v>57</v>
      </c>
    </row>
    <row r="1633" spans="1:11" ht="42" customHeight="1">
      <c r="A1633" s="2" t="s">
        <v>4841</v>
      </c>
      <c r="B1633" s="2" t="s">
        <v>4842</v>
      </c>
      <c r="C1633" s="2" t="s">
        <v>25</v>
      </c>
      <c r="D1633" s="2" t="s">
        <v>26</v>
      </c>
      <c r="E1633" s="3" t="s">
        <v>143</v>
      </c>
      <c r="F1633" s="3" t="s">
        <v>705</v>
      </c>
      <c r="G1633" s="3" t="s">
        <v>3010</v>
      </c>
      <c r="H1633" s="2" t="s">
        <v>55</v>
      </c>
      <c r="I1633" s="2" t="s">
        <v>4843</v>
      </c>
      <c r="J1633" s="3" t="str">
        <f>HYPERLINK("https://www.boe.es/gazeta/dias/1809/11/16/pdfs/GGB-H-1809-462.pdf#page=5","Abrir facsímil")</f>
        <v>Abrir facsímil</v>
      </c>
      <c r="K1633" s="3" t="s">
        <v>57</v>
      </c>
    </row>
    <row r="1634" spans="1:11" ht="42" customHeight="1">
      <c r="A1634" s="2" t="s">
        <v>4844</v>
      </c>
      <c r="B1634" s="2" t="s">
        <v>4845</v>
      </c>
      <c r="C1634" s="2" t="s">
        <v>25</v>
      </c>
      <c r="D1634" s="2" t="s">
        <v>26</v>
      </c>
      <c r="E1634" s="3" t="s">
        <v>81</v>
      </c>
      <c r="F1634" s="3" t="s">
        <v>82</v>
      </c>
      <c r="G1634" s="3" t="s">
        <v>623</v>
      </c>
      <c r="H1634" s="2" t="s">
        <v>55</v>
      </c>
      <c r="I1634" s="2" t="s">
        <v>4846</v>
      </c>
      <c r="J1634" s="3" t="str">
        <f>HYPERLINK("https://www.boe.es/gazeta/dias/1809/04/11/pdfs/GGB-1809-16E.pdf#page=6","Abrir facsímil")</f>
        <v>Abrir facsímil</v>
      </c>
      <c r="K1634" s="3" t="s">
        <v>57</v>
      </c>
    </row>
    <row r="1635" spans="1:11" ht="42" customHeight="1">
      <c r="A1635" s="2" t="s">
        <v>4847</v>
      </c>
      <c r="B1635" s="2" t="s">
        <v>4848</v>
      </c>
      <c r="C1635" s="2" t="s">
        <v>25</v>
      </c>
      <c r="D1635" s="2" t="s">
        <v>107</v>
      </c>
      <c r="E1635" s="3" t="s">
        <v>81</v>
      </c>
      <c r="F1635" s="3" t="s">
        <v>82</v>
      </c>
      <c r="G1635" s="3" t="s">
        <v>3332</v>
      </c>
      <c r="H1635" s="2" t="s">
        <v>55</v>
      </c>
      <c r="I1635" s="2" t="s">
        <v>4849</v>
      </c>
      <c r="J1635" s="3" t="str">
        <f>HYPERLINK("https://www.boe.es/gazeta/dias/1809/04/11/pdfs/GGB-1809-16E.pdf#page=8","Abrir facsímil")</f>
        <v>Abrir facsímil</v>
      </c>
      <c r="K1635" s="3" t="s">
        <v>57</v>
      </c>
    </row>
    <row r="1636" spans="1:11" ht="42" customHeight="1">
      <c r="A1636" s="2" t="s">
        <v>4850</v>
      </c>
      <c r="B1636" s="2" t="s">
        <v>4850</v>
      </c>
      <c r="C1636" s="2" t="s">
        <v>25</v>
      </c>
      <c r="D1636" s="2" t="s">
        <v>18</v>
      </c>
      <c r="E1636" s="3" t="s">
        <v>621</v>
      </c>
      <c r="F1636" s="3" t="s">
        <v>913</v>
      </c>
      <c r="G1636" s="3" t="s">
        <v>914</v>
      </c>
      <c r="H1636" s="2" t="s">
        <v>55</v>
      </c>
      <c r="I1636" s="2" t="s">
        <v>4851</v>
      </c>
      <c r="J1636" s="3" t="str">
        <f>HYPERLINK("https://www.boe.es/gazeta/dias/1809/07/04/pdfs/GMD-1809-185.pdf#page=2","Abrir facsímil")</f>
        <v>Abrir facsímil</v>
      </c>
      <c r="K1636" s="3" t="s">
        <v>57</v>
      </c>
    </row>
    <row r="1637" spans="1:11" ht="42" customHeight="1">
      <c r="A1637" s="2" t="s">
        <v>4852</v>
      </c>
      <c r="B1637" s="2" t="s">
        <v>4853</v>
      </c>
      <c r="C1637" s="2" t="s">
        <v>47</v>
      </c>
      <c r="D1637" s="2" t="s">
        <v>18</v>
      </c>
      <c r="E1637" s="3" t="s">
        <v>621</v>
      </c>
      <c r="F1637" s="3" t="s">
        <v>913</v>
      </c>
      <c r="G1637" s="3" t="s">
        <v>914</v>
      </c>
      <c r="H1637" s="2" t="s">
        <v>22</v>
      </c>
      <c r="I1637" s="2" t="s">
        <v>4854</v>
      </c>
      <c r="J1637" s="3" t="str">
        <f>HYPERLINK("https://www.boe.es/gazeta/dias/1809/07/04/pdfs/GMD-1809-185.pdf#page=2","Abrir facsímil")</f>
        <v>Abrir facsímil</v>
      </c>
      <c r="K1637" s="3" t="s">
        <v>24</v>
      </c>
    </row>
    <row r="1638" spans="1:11" ht="42" customHeight="1">
      <c r="A1638" s="2" t="s">
        <v>4855</v>
      </c>
      <c r="B1638" s="2" t="s">
        <v>4855</v>
      </c>
      <c r="C1638" s="2" t="s">
        <v>25</v>
      </c>
      <c r="D1638" s="2" t="s">
        <v>18</v>
      </c>
      <c r="E1638" s="3" t="s">
        <v>2051</v>
      </c>
      <c r="F1638" s="3" t="s">
        <v>2052</v>
      </c>
      <c r="G1638" s="3" t="s">
        <v>110</v>
      </c>
      <c r="H1638" s="2" t="s">
        <v>55</v>
      </c>
      <c r="I1638" s="2" t="s">
        <v>4856</v>
      </c>
      <c r="J1638" s="3" t="str">
        <f>HYPERLINK("https://www.boe.es/gazeta/dias/1809/07/19/pdfs/GMD-1809-200.pdf#page=2","Abrir facsímil")</f>
        <v>Abrir facsímil</v>
      </c>
      <c r="K1638" s="3" t="s">
        <v>57</v>
      </c>
    </row>
    <row r="1639" spans="1:11" ht="42" customHeight="1">
      <c r="A1639" s="2" t="s">
        <v>4857</v>
      </c>
      <c r="B1639" s="2" t="s">
        <v>4857</v>
      </c>
      <c r="C1639" s="2" t="s">
        <v>17</v>
      </c>
      <c r="D1639" s="2" t="s">
        <v>40</v>
      </c>
      <c r="E1639" s="3" t="s">
        <v>4858</v>
      </c>
      <c r="F1639" s="3" t="s">
        <v>4859</v>
      </c>
      <c r="G1639" s="3" t="s">
        <v>4860</v>
      </c>
      <c r="H1639" s="2" t="s">
        <v>55</v>
      </c>
      <c r="I1639" s="2" t="s">
        <v>4861</v>
      </c>
      <c r="J1639" s="3" t="str">
        <f>HYPERLINK("https://www.boe.es/gazeta/dias/1809/10/09/pdfs/GMD-1809-283.pdf#page=3","Abrir facsímil")</f>
        <v>Abrir facsímil</v>
      </c>
      <c r="K1639" s="3" t="s">
        <v>57</v>
      </c>
    </row>
    <row r="1640" spans="1:11" ht="42" customHeight="1">
      <c r="A1640" s="2" t="s">
        <v>4862</v>
      </c>
      <c r="B1640" s="2" t="s">
        <v>4862</v>
      </c>
      <c r="C1640" s="2" t="s">
        <v>25</v>
      </c>
      <c r="D1640" s="2" t="s">
        <v>26</v>
      </c>
      <c r="E1640" s="3" t="s">
        <v>167</v>
      </c>
      <c r="F1640" s="3" t="s">
        <v>168</v>
      </c>
      <c r="G1640" s="3" t="s">
        <v>1183</v>
      </c>
      <c r="H1640" s="2" t="s">
        <v>55</v>
      </c>
      <c r="I1640" s="2" t="s">
        <v>4863</v>
      </c>
      <c r="J1640" s="3" t="str">
        <f>HYPERLINK("https://www.boe.es/gazeta/dias/1809/06/19/pdfs/GGB-1809-38.pdf#page=6","Abrir facsímil")</f>
        <v>Abrir facsímil</v>
      </c>
      <c r="K1640" s="3" t="s">
        <v>57</v>
      </c>
    </row>
    <row r="1641" spans="1:11" ht="42" customHeight="1">
      <c r="A1641" s="2" t="s">
        <v>4864</v>
      </c>
      <c r="B1641" s="2" t="s">
        <v>4864</v>
      </c>
      <c r="C1641" s="2" t="s">
        <v>25</v>
      </c>
      <c r="D1641" s="2" t="s">
        <v>18</v>
      </c>
      <c r="E1641" s="3" t="s">
        <v>4865</v>
      </c>
      <c r="F1641" s="3" t="s">
        <v>4866</v>
      </c>
      <c r="G1641" s="3" t="s">
        <v>4867</v>
      </c>
      <c r="H1641" s="2" t="s">
        <v>55</v>
      </c>
      <c r="I1641" s="2" t="s">
        <v>4868</v>
      </c>
      <c r="J1641" s="3" t="str">
        <f>HYPERLINK("https://www.boe.es/gazeta/dias/1809/05/17/pdfs/GMD-1809-137.pdf#page=1","Abrir facsímil")</f>
        <v>Abrir facsímil</v>
      </c>
      <c r="K1641" s="3" t="s">
        <v>57</v>
      </c>
    </row>
    <row r="1642" spans="1:11" ht="42" customHeight="1">
      <c r="A1642" s="2" t="s">
        <v>4869</v>
      </c>
      <c r="B1642" s="2" t="s">
        <v>4869</v>
      </c>
      <c r="C1642" s="2" t="s">
        <v>47</v>
      </c>
      <c r="D1642" s="2" t="s">
        <v>18</v>
      </c>
      <c r="E1642" s="3" t="s">
        <v>2230</v>
      </c>
      <c r="F1642" s="3" t="s">
        <v>2231</v>
      </c>
      <c r="G1642" s="3" t="s">
        <v>129</v>
      </c>
      <c r="H1642" s="2" t="s">
        <v>55</v>
      </c>
      <c r="I1642" s="2" t="s">
        <v>4870</v>
      </c>
      <c r="J1642" s="3" t="str">
        <f>HYPERLINK("https://www.boe.es/gazeta/dias/1809/12/10/pdfs/GMD-1809-345.pdf#page=2","Abrir facsímil")</f>
        <v>Abrir facsímil</v>
      </c>
      <c r="K1642" s="3" t="s">
        <v>57</v>
      </c>
    </row>
    <row r="1643" spans="1:11" ht="42" customHeight="1">
      <c r="A1643" s="2" t="s">
        <v>4871</v>
      </c>
      <c r="B1643" s="2" t="s">
        <v>4872</v>
      </c>
      <c r="C1643" s="2" t="s">
        <v>17</v>
      </c>
      <c r="D1643" s="2" t="s">
        <v>18</v>
      </c>
      <c r="E1643" s="3" t="s">
        <v>1586</v>
      </c>
      <c r="F1643" s="3" t="s">
        <v>1587</v>
      </c>
      <c r="G1643" s="3" t="s">
        <v>1909</v>
      </c>
      <c r="H1643" s="2" t="s">
        <v>55</v>
      </c>
      <c r="I1643" s="2" t="s">
        <v>4873</v>
      </c>
      <c r="J1643" s="3" t="str">
        <f>HYPERLINK("https://www.boe.es/gazeta/dias/1809/02/20/pdfs/GMD-1809-51.pdf#page=4","Abrir facsímil")</f>
        <v>Abrir facsímil</v>
      </c>
      <c r="K1643" s="3" t="s">
        <v>57</v>
      </c>
    </row>
    <row r="1644" spans="1:11" ht="42" customHeight="1">
      <c r="A1644" s="2" t="s">
        <v>4874</v>
      </c>
      <c r="B1644" s="2" t="s">
        <v>4875</v>
      </c>
      <c r="C1644" s="2" t="s">
        <v>17</v>
      </c>
      <c r="D1644" s="2" t="s">
        <v>40</v>
      </c>
      <c r="E1644" s="3" t="s">
        <v>173</v>
      </c>
      <c r="F1644" s="3" t="s">
        <v>174</v>
      </c>
      <c r="G1644" s="3" t="s">
        <v>204</v>
      </c>
      <c r="H1644" s="2" t="s">
        <v>55</v>
      </c>
      <c r="I1644" s="2" t="s">
        <v>4876</v>
      </c>
      <c r="J1644" s="3" t="str">
        <f>HYPERLINK("https://www.boe.es/gazeta/dias/1809/09/12/pdfs/GGB-1809-182.pdf#page=8","Abrir facsímil")</f>
        <v>Abrir facsímil</v>
      </c>
      <c r="K1644" s="3" t="s">
        <v>57</v>
      </c>
    </row>
    <row r="1645" spans="1:11" ht="42" customHeight="1">
      <c r="A1645" s="2" t="s">
        <v>4877</v>
      </c>
      <c r="B1645" s="2" t="s">
        <v>4878</v>
      </c>
      <c r="C1645" s="2" t="s">
        <v>47</v>
      </c>
      <c r="D1645" s="2" t="s">
        <v>72</v>
      </c>
      <c r="E1645" s="3" t="s">
        <v>720</v>
      </c>
      <c r="F1645" s="3" t="s">
        <v>721</v>
      </c>
      <c r="G1645" s="3" t="s">
        <v>234</v>
      </c>
      <c r="H1645" s="2" t="s">
        <v>55</v>
      </c>
      <c r="I1645" s="2" t="s">
        <v>4879</v>
      </c>
      <c r="J1645" s="3" t="str">
        <f>HYPERLINK("https://www.boe.es/gazeta/dias/1809/01/27/pdfs/GGB-G-1809-5.pdf#page=7","Abrir facsímil")</f>
        <v>Abrir facsímil</v>
      </c>
      <c r="K1645" s="3" t="s">
        <v>57</v>
      </c>
    </row>
    <row r="1646" spans="1:11" ht="42" customHeight="1">
      <c r="A1646" s="2" t="s">
        <v>4880</v>
      </c>
      <c r="B1646" s="2" t="s">
        <v>4881</v>
      </c>
      <c r="C1646" s="2" t="s">
        <v>17</v>
      </c>
      <c r="D1646" s="2" t="s">
        <v>18</v>
      </c>
      <c r="E1646" s="3" t="s">
        <v>33</v>
      </c>
      <c r="F1646" s="3" t="s">
        <v>34</v>
      </c>
      <c r="G1646" s="3" t="s">
        <v>595</v>
      </c>
      <c r="H1646" s="2" t="s">
        <v>55</v>
      </c>
      <c r="I1646" s="2" t="s">
        <v>4882</v>
      </c>
      <c r="J1646" s="3" t="str">
        <f>HYPERLINK("https://www.boe.es/gazeta/dias/1809/12/19/pdfs/GGB-1809-602.pdf#page=7","Abrir facsímil")</f>
        <v>Abrir facsímil</v>
      </c>
      <c r="K1646" s="3" t="s">
        <v>57</v>
      </c>
    </row>
    <row r="1647" spans="1:11" ht="42" customHeight="1">
      <c r="A1647" s="2" t="s">
        <v>4883</v>
      </c>
      <c r="B1647" s="2" t="s">
        <v>4884</v>
      </c>
      <c r="C1647" s="2" t="s">
        <v>47</v>
      </c>
      <c r="D1647" s="2" t="s">
        <v>18</v>
      </c>
      <c r="E1647" s="3" t="s">
        <v>102</v>
      </c>
      <c r="F1647" s="3" t="s">
        <v>103</v>
      </c>
      <c r="G1647" s="3" t="s">
        <v>1706</v>
      </c>
      <c r="H1647" s="2" t="s">
        <v>55</v>
      </c>
      <c r="I1647" s="2" t="s">
        <v>4885</v>
      </c>
      <c r="J1647" s="3" t="str">
        <f>HYPERLINK("https://www.boe.es/gazeta/dias/1809/09/28/pdfs/GGB-1809-252.pdf#page=5","Abrir facsímil")</f>
        <v>Abrir facsímil</v>
      </c>
      <c r="K1647" s="3" t="s">
        <v>57</v>
      </c>
    </row>
    <row r="1648" spans="1:11" ht="42" customHeight="1">
      <c r="A1648" s="2" t="s">
        <v>4886</v>
      </c>
      <c r="B1648" s="2" t="s">
        <v>4887</v>
      </c>
      <c r="C1648" s="2" t="s">
        <v>17</v>
      </c>
      <c r="D1648" s="2" t="s">
        <v>18</v>
      </c>
      <c r="E1648" s="3" t="s">
        <v>1586</v>
      </c>
      <c r="F1648" s="3" t="s">
        <v>1587</v>
      </c>
      <c r="G1648" s="3" t="s">
        <v>1909</v>
      </c>
      <c r="H1648" s="2" t="s">
        <v>55</v>
      </c>
      <c r="I1648" s="2" t="s">
        <v>4888</v>
      </c>
      <c r="J1648" s="3" t="str">
        <f>HYPERLINK("https://www.boe.es/gazeta/dias/1809/02/20/pdfs/GMD-1809-51.pdf#page=4","Abrir facsímil")</f>
        <v>Abrir facsímil</v>
      </c>
      <c r="K1648" s="3" t="s">
        <v>57</v>
      </c>
    </row>
    <row r="1649" spans="1:11" ht="42" customHeight="1">
      <c r="A1649" s="2" t="s">
        <v>4889</v>
      </c>
      <c r="B1649" s="2" t="s">
        <v>4890</v>
      </c>
      <c r="C1649" s="2" t="s">
        <v>288</v>
      </c>
      <c r="D1649" s="2" t="s">
        <v>72</v>
      </c>
      <c r="E1649" s="3" t="s">
        <v>720</v>
      </c>
      <c r="F1649" s="3" t="s">
        <v>721</v>
      </c>
      <c r="G1649" s="3" t="s">
        <v>62</v>
      </c>
      <c r="H1649" s="2" t="s">
        <v>55</v>
      </c>
      <c r="I1649" s="2" t="s">
        <v>4891</v>
      </c>
      <c r="J1649" s="3" t="str">
        <f>HYPERLINK("https://www.boe.es/gazeta/dias/1809/01/27/pdfs/GGB-G-1809-5.pdf#page=8","Abrir facsímil")</f>
        <v>Abrir facsímil</v>
      </c>
      <c r="K1649" s="3" t="s">
        <v>57</v>
      </c>
    </row>
    <row r="1650" spans="1:11" ht="42" customHeight="1">
      <c r="A1650" s="2" t="s">
        <v>4889</v>
      </c>
      <c r="B1650" s="2" t="s">
        <v>4890</v>
      </c>
      <c r="C1650" s="2" t="s">
        <v>17</v>
      </c>
      <c r="D1650" s="2" t="s">
        <v>18</v>
      </c>
      <c r="E1650" s="3" t="s">
        <v>33</v>
      </c>
      <c r="F1650" s="3" t="s">
        <v>34</v>
      </c>
      <c r="G1650" s="3" t="s">
        <v>595</v>
      </c>
      <c r="H1650" s="2" t="s">
        <v>55</v>
      </c>
      <c r="I1650" s="2" t="s">
        <v>4892</v>
      </c>
      <c r="J1650" s="3" t="str">
        <f>HYPERLINK("https://www.boe.es/gazeta/dias/1809/12/19/pdfs/GGB-1809-602.pdf#page=7","Abrir facsímil")</f>
        <v>Abrir facsímil</v>
      </c>
      <c r="K1650" s="3" t="s">
        <v>57</v>
      </c>
    </row>
    <row r="1651" spans="1:11" ht="42" customHeight="1">
      <c r="A1651" s="2" t="s">
        <v>4893</v>
      </c>
      <c r="B1651" s="2" t="s">
        <v>4894</v>
      </c>
      <c r="C1651" s="2" t="s">
        <v>47</v>
      </c>
      <c r="D1651" s="2" t="s">
        <v>18</v>
      </c>
      <c r="E1651" s="3" t="s">
        <v>357</v>
      </c>
      <c r="F1651" s="3" t="s">
        <v>358</v>
      </c>
      <c r="G1651" s="3" t="s">
        <v>225</v>
      </c>
      <c r="H1651" s="2" t="s">
        <v>55</v>
      </c>
      <c r="I1651" s="2" t="s">
        <v>4895</v>
      </c>
      <c r="J1651" s="3" t="str">
        <f>HYPERLINK("https://www.boe.es/gazeta/dias/1809/03/20/pdfs/GMD-1809-79.pdf#page=4","Abrir facsímil")</f>
        <v>Abrir facsímil</v>
      </c>
      <c r="K1651" s="3" t="s">
        <v>57</v>
      </c>
    </row>
    <row r="1652" spans="1:11" ht="42" customHeight="1">
      <c r="A1652" s="2" t="s">
        <v>4896</v>
      </c>
      <c r="B1652" s="2" t="s">
        <v>4897</v>
      </c>
      <c r="C1652" s="2" t="s">
        <v>25</v>
      </c>
      <c r="D1652" s="2" t="s">
        <v>80</v>
      </c>
      <c r="E1652" s="3" t="s">
        <v>179</v>
      </c>
      <c r="F1652" s="3" t="s">
        <v>180</v>
      </c>
      <c r="G1652" s="3" t="s">
        <v>239</v>
      </c>
      <c r="H1652" s="2" t="s">
        <v>55</v>
      </c>
      <c r="I1652" s="2" t="s">
        <v>4898</v>
      </c>
      <c r="J1652" s="3" t="str">
        <f>HYPERLINK("https://www.boe.es/gazeta/dias/1809/12/08/pdfs/GGB-1809-552E.pdf#page=2","Abrir facsímil")</f>
        <v>Abrir facsímil</v>
      </c>
      <c r="K1652" s="3" t="s">
        <v>57</v>
      </c>
    </row>
    <row r="1653" spans="1:11" ht="42" customHeight="1">
      <c r="A1653" s="2" t="s">
        <v>4899</v>
      </c>
      <c r="B1653" s="2" t="s">
        <v>4900</v>
      </c>
      <c r="C1653" s="2" t="s">
        <v>39</v>
      </c>
      <c r="D1653" s="2" t="s">
        <v>40</v>
      </c>
      <c r="E1653" s="3" t="s">
        <v>925</v>
      </c>
      <c r="F1653" s="3" t="s">
        <v>926</v>
      </c>
      <c r="G1653" s="3" t="s">
        <v>75</v>
      </c>
      <c r="H1653" s="2" t="s">
        <v>55</v>
      </c>
      <c r="I1653" s="2" t="s">
        <v>4901</v>
      </c>
      <c r="J1653" s="3" t="str">
        <f>HYPERLINK("https://www.boe.es/gazeta/dias/1809/01/11/pdfs/GGB-1809-2.pdf#page=4","Abrir facsímil")</f>
        <v>Abrir facsímil</v>
      </c>
      <c r="K1653" s="3" t="s">
        <v>57</v>
      </c>
    </row>
    <row r="1654" spans="1:11" ht="42" customHeight="1">
      <c r="A1654" s="2" t="s">
        <v>4902</v>
      </c>
      <c r="B1654" s="2" t="s">
        <v>4903</v>
      </c>
      <c r="C1654" s="2" t="s">
        <v>17</v>
      </c>
      <c r="D1654" s="2" t="s">
        <v>72</v>
      </c>
      <c r="E1654" s="3" t="s">
        <v>163</v>
      </c>
      <c r="F1654" s="3" t="s">
        <v>164</v>
      </c>
      <c r="G1654" s="3" t="s">
        <v>239</v>
      </c>
      <c r="H1654" s="2" t="s">
        <v>55</v>
      </c>
      <c r="I1654" s="2" t="s">
        <v>4904</v>
      </c>
      <c r="J1654" s="3" t="str">
        <f>HYPERLINK("https://www.boe.es/gazeta/dias/1809/03/10/pdfs/GGB-H-1809-11.pdf#page=7","Abrir facsímil")</f>
        <v>Abrir facsímil</v>
      </c>
      <c r="K1654" s="3" t="s">
        <v>57</v>
      </c>
    </row>
    <row r="1655" spans="1:11" ht="42" customHeight="1">
      <c r="A1655" s="2" t="s">
        <v>4905</v>
      </c>
      <c r="B1655" s="2" t="s">
        <v>4906</v>
      </c>
      <c r="C1655" s="2" t="s">
        <v>17</v>
      </c>
      <c r="D1655" s="2" t="s">
        <v>40</v>
      </c>
      <c r="E1655" s="3" t="s">
        <v>1343</v>
      </c>
      <c r="F1655" s="3" t="s">
        <v>1344</v>
      </c>
      <c r="G1655" s="3" t="s">
        <v>270</v>
      </c>
      <c r="H1655" s="2" t="s">
        <v>55</v>
      </c>
      <c r="I1655" s="2" t="s">
        <v>4907</v>
      </c>
      <c r="J1655" s="3" t="str">
        <f>HYPERLINK("https://www.boe.es/gazeta/dias/1809/07/24/pdfs/GMD-1809-205.pdf#page=7","Abrir facsímil")</f>
        <v>Abrir facsímil</v>
      </c>
      <c r="K1655" s="3" t="s">
        <v>57</v>
      </c>
    </row>
    <row r="1656" spans="1:11" ht="42" customHeight="1">
      <c r="A1656" s="2" t="s">
        <v>4908</v>
      </c>
      <c r="B1656" s="2" t="s">
        <v>4909</v>
      </c>
      <c r="C1656" s="2" t="s">
        <v>131</v>
      </c>
      <c r="D1656" s="2" t="s">
        <v>18</v>
      </c>
      <c r="E1656" s="3" t="s">
        <v>515</v>
      </c>
      <c r="F1656" s="3" t="s">
        <v>516</v>
      </c>
      <c r="G1656" s="3" t="s">
        <v>1380</v>
      </c>
      <c r="H1656" s="2" t="s">
        <v>55</v>
      </c>
      <c r="I1656" s="2" t="s">
        <v>4910</v>
      </c>
      <c r="J1656" s="3" t="str">
        <f>HYPERLINK("https://www.boe.es/gazeta/dias/1809/09/02/pdfs/GMD-1809-246.pdf#page=3","Abrir facsímil")</f>
        <v>Abrir facsímil</v>
      </c>
      <c r="K1656" s="3" t="s">
        <v>57</v>
      </c>
    </row>
    <row r="1657" spans="1:11" ht="42" customHeight="1">
      <c r="A1657" s="2" t="s">
        <v>4911</v>
      </c>
      <c r="B1657" s="2" t="s">
        <v>4912</v>
      </c>
      <c r="C1657" s="2" t="s">
        <v>131</v>
      </c>
      <c r="D1657" s="2" t="s">
        <v>26</v>
      </c>
      <c r="E1657" s="3" t="s">
        <v>515</v>
      </c>
      <c r="F1657" s="3" t="s">
        <v>516</v>
      </c>
      <c r="G1657" s="3" t="s">
        <v>1380</v>
      </c>
      <c r="H1657" s="2" t="s">
        <v>55</v>
      </c>
      <c r="I1657" s="2" t="s">
        <v>4913</v>
      </c>
      <c r="J1657" s="3" t="str">
        <f>HYPERLINK("https://www.boe.es/gazeta/dias/1809/09/02/pdfs/GMD-1809-246.pdf#page=3","Abrir facsímil")</f>
        <v>Abrir facsímil</v>
      </c>
      <c r="K1657" s="3" t="s">
        <v>57</v>
      </c>
    </row>
    <row r="1658" spans="1:11" ht="42" customHeight="1">
      <c r="A1658" s="2" t="s">
        <v>4914</v>
      </c>
      <c r="B1658" s="2" t="s">
        <v>4915</v>
      </c>
      <c r="C1658" s="2" t="s">
        <v>25</v>
      </c>
      <c r="D1658" s="2" t="s">
        <v>18</v>
      </c>
      <c r="E1658" s="3" t="s">
        <v>294</v>
      </c>
      <c r="F1658" s="3" t="s">
        <v>1360</v>
      </c>
      <c r="G1658" s="3" t="s">
        <v>2517</v>
      </c>
      <c r="H1658" s="2" t="s">
        <v>55</v>
      </c>
      <c r="I1658" s="2" t="s">
        <v>4916</v>
      </c>
      <c r="J1658" s="3" t="str">
        <f>HYPERLINK("https://www.boe.es/gazeta/dias/1809/09/30/pdfs/GGB-1809-262.pdf#page=1","Abrir facsímil")</f>
        <v>Abrir facsímil</v>
      </c>
      <c r="K1658" s="3" t="s">
        <v>57</v>
      </c>
    </row>
    <row r="1659" spans="1:11" ht="42" customHeight="1">
      <c r="A1659" s="2" t="s">
        <v>4917</v>
      </c>
      <c r="B1659" s="2" t="s">
        <v>4918</v>
      </c>
      <c r="C1659" s="2" t="s">
        <v>131</v>
      </c>
      <c r="D1659" s="2" t="s">
        <v>18</v>
      </c>
      <c r="E1659" s="3" t="s">
        <v>429</v>
      </c>
      <c r="F1659" s="3" t="s">
        <v>430</v>
      </c>
      <c r="G1659" s="3" t="s">
        <v>270</v>
      </c>
      <c r="H1659" s="2" t="s">
        <v>55</v>
      </c>
      <c r="I1659" s="2" t="s">
        <v>4919</v>
      </c>
      <c r="J1659" s="3" t="str">
        <f>HYPERLINK("https://www.boe.es/gazeta/dias/1809/06/09/pdfs/GGB-1809-35.pdf#page=6","Abrir facsímil")</f>
        <v>Abrir facsímil</v>
      </c>
      <c r="K1659" s="3" t="s">
        <v>57</v>
      </c>
    </row>
    <row r="1660" spans="1:11" ht="42" customHeight="1">
      <c r="A1660" s="2" t="s">
        <v>4920</v>
      </c>
      <c r="B1660" s="2" t="s">
        <v>4921</v>
      </c>
      <c r="C1660" s="2" t="s">
        <v>79</v>
      </c>
      <c r="D1660" s="2" t="s">
        <v>80</v>
      </c>
      <c r="E1660" s="3" t="s">
        <v>81</v>
      </c>
      <c r="F1660" s="3" t="s">
        <v>82</v>
      </c>
      <c r="G1660" s="3" t="s">
        <v>83</v>
      </c>
      <c r="H1660" s="2" t="s">
        <v>55</v>
      </c>
      <c r="I1660" s="2" t="s">
        <v>4922</v>
      </c>
      <c r="J1660" s="3" t="str">
        <f>HYPERLINK("https://www.boe.es/gazeta/dias/1809/04/11/pdfs/GGB-1809-16E.pdf#page=4","Abrir facsímil")</f>
        <v>Abrir facsímil</v>
      </c>
      <c r="K1660" s="3" t="s">
        <v>57</v>
      </c>
    </row>
    <row r="1661" spans="1:11" ht="42" customHeight="1">
      <c r="A1661" s="2" t="s">
        <v>4923</v>
      </c>
      <c r="B1661" s="2" t="s">
        <v>4924</v>
      </c>
      <c r="C1661" s="2" t="s">
        <v>17</v>
      </c>
      <c r="D1661" s="2" t="s">
        <v>72</v>
      </c>
      <c r="E1661" s="3" t="s">
        <v>163</v>
      </c>
      <c r="F1661" s="3" t="s">
        <v>164</v>
      </c>
      <c r="G1661" s="3" t="s">
        <v>21</v>
      </c>
      <c r="H1661" s="2" t="s">
        <v>55</v>
      </c>
      <c r="I1661" s="2" t="s">
        <v>4925</v>
      </c>
      <c r="J1661" s="3" t="str">
        <f>HYPERLINK("https://www.boe.es/gazeta/dias/1809/03/10/pdfs/GGB-H-1809-11.pdf#page=8","Abrir facsímil")</f>
        <v>Abrir facsímil</v>
      </c>
      <c r="K1661" s="3" t="s">
        <v>57</v>
      </c>
    </row>
    <row r="1662" spans="1:11" ht="42" customHeight="1">
      <c r="A1662" s="2" t="s">
        <v>4926</v>
      </c>
      <c r="B1662" s="2" t="s">
        <v>4927</v>
      </c>
      <c r="C1662" s="2" t="s">
        <v>79</v>
      </c>
      <c r="D1662" s="2" t="s">
        <v>40</v>
      </c>
      <c r="E1662" s="3" t="s">
        <v>179</v>
      </c>
      <c r="F1662" s="3" t="s">
        <v>2418</v>
      </c>
      <c r="G1662" s="3" t="s">
        <v>525</v>
      </c>
      <c r="H1662" s="2" t="s">
        <v>55</v>
      </c>
      <c r="I1662" s="2" t="s">
        <v>4928</v>
      </c>
      <c r="J1662" s="3" t="str">
        <f>HYPERLINK("https://www.boe.es/gazeta/dias/1809/12/08/pdfs/GMD-1809-343.pdf#page=4","Abrir facsímil")</f>
        <v>Abrir facsímil</v>
      </c>
      <c r="K1662" s="3" t="s">
        <v>57</v>
      </c>
    </row>
    <row r="1663" spans="1:11" ht="42" customHeight="1">
      <c r="A1663" s="2" t="s">
        <v>4929</v>
      </c>
      <c r="B1663" s="2" t="s">
        <v>4930</v>
      </c>
      <c r="C1663" s="2" t="s">
        <v>25</v>
      </c>
      <c r="D1663" s="2" t="s">
        <v>80</v>
      </c>
      <c r="E1663" s="3" t="s">
        <v>81</v>
      </c>
      <c r="F1663" s="3" t="s">
        <v>82</v>
      </c>
      <c r="G1663" s="3" t="s">
        <v>250</v>
      </c>
      <c r="H1663" s="2" t="s">
        <v>55</v>
      </c>
      <c r="I1663" s="2" t="s">
        <v>4931</v>
      </c>
      <c r="J1663" s="3" t="str">
        <f>HYPERLINK("https://www.boe.es/gazeta/dias/1809/04/11/pdfs/GGB-1809-16E.pdf#page=1","Abrir facsímil")</f>
        <v>Abrir facsímil</v>
      </c>
      <c r="K1663" s="3" t="s">
        <v>57</v>
      </c>
    </row>
    <row r="1664" spans="1:11" ht="42" customHeight="1">
      <c r="A1664" s="2" t="s">
        <v>4932</v>
      </c>
      <c r="B1664" s="2" t="s">
        <v>4933</v>
      </c>
      <c r="C1664" s="2" t="s">
        <v>17</v>
      </c>
      <c r="D1664" s="2" t="s">
        <v>18</v>
      </c>
      <c r="E1664" s="3" t="s">
        <v>33</v>
      </c>
      <c r="F1664" s="3" t="s">
        <v>34</v>
      </c>
      <c r="G1664" s="3" t="s">
        <v>595</v>
      </c>
      <c r="H1664" s="2" t="s">
        <v>55</v>
      </c>
      <c r="I1664" s="2" t="s">
        <v>4934</v>
      </c>
      <c r="J1664" s="3" t="str">
        <f>HYPERLINK("https://www.boe.es/gazeta/dias/1809/12/19/pdfs/GGB-1809-602.pdf#page=7","Abrir facsímil")</f>
        <v>Abrir facsímil</v>
      </c>
      <c r="K1664" s="3" t="s">
        <v>57</v>
      </c>
    </row>
    <row r="1665" spans="1:11" ht="42" customHeight="1">
      <c r="A1665" s="2" t="s">
        <v>4935</v>
      </c>
      <c r="B1665" s="2" t="s">
        <v>4936</v>
      </c>
      <c r="C1665" s="2" t="s">
        <v>25</v>
      </c>
      <c r="D1665" s="2" t="s">
        <v>26</v>
      </c>
      <c r="E1665" s="3" t="s">
        <v>1288</v>
      </c>
      <c r="F1665" s="3" t="s">
        <v>2401</v>
      </c>
      <c r="G1665" s="3" t="s">
        <v>2402</v>
      </c>
      <c r="H1665" s="2" t="s">
        <v>22</v>
      </c>
      <c r="I1665" s="2" t="s">
        <v>4937</v>
      </c>
      <c r="J1665" s="3" t="str">
        <f>HYPERLINK("https://www.boe.es/gazeta/dias/1809/07/28/pdfs/GMD-1809-210.pdf#page=2","Abrir facsímil")</f>
        <v>Abrir facsímil</v>
      </c>
      <c r="K1665" s="3" t="s">
        <v>24</v>
      </c>
    </row>
    <row r="1666" spans="1:11" ht="42" customHeight="1">
      <c r="A1666" s="2" t="s">
        <v>4938</v>
      </c>
      <c r="B1666" s="2" t="s">
        <v>4939</v>
      </c>
      <c r="C1666" s="2" t="s">
        <v>25</v>
      </c>
      <c r="D1666" s="2" t="s">
        <v>80</v>
      </c>
      <c r="E1666" s="3" t="s">
        <v>179</v>
      </c>
      <c r="F1666" s="3" t="s">
        <v>180</v>
      </c>
      <c r="G1666" s="3" t="s">
        <v>966</v>
      </c>
      <c r="H1666" s="2" t="s">
        <v>55</v>
      </c>
      <c r="I1666" s="2" t="s">
        <v>4940</v>
      </c>
      <c r="J1666" s="3" t="str">
        <f>HYPERLINK("https://www.boe.es/gazeta/dias/1809/12/08/pdfs/GGB-1809-552E.pdf#page=3","Abrir facsímil")</f>
        <v>Abrir facsímil</v>
      </c>
      <c r="K1666" s="3" t="s">
        <v>57</v>
      </c>
    </row>
    <row r="1667" spans="1:11" ht="42" customHeight="1">
      <c r="A1667" s="2" t="s">
        <v>4941</v>
      </c>
      <c r="B1667" s="2" t="s">
        <v>4942</v>
      </c>
      <c r="C1667" s="2" t="s">
        <v>17</v>
      </c>
      <c r="D1667" s="2" t="s">
        <v>18</v>
      </c>
      <c r="E1667" s="3" t="s">
        <v>347</v>
      </c>
      <c r="F1667" s="3" t="s">
        <v>348</v>
      </c>
      <c r="G1667" s="3" t="s">
        <v>270</v>
      </c>
      <c r="H1667" s="2" t="s">
        <v>55</v>
      </c>
      <c r="I1667" s="2" t="s">
        <v>4943</v>
      </c>
      <c r="J1667" s="3" t="str">
        <f>HYPERLINK("https://www.boe.es/gazeta/dias/1809/03/07/pdfs/GMD-1809-66.pdf#page=4","Abrir facsímil")</f>
        <v>Abrir facsímil</v>
      </c>
      <c r="K1667" s="3" t="s">
        <v>57</v>
      </c>
    </row>
    <row r="1668" spans="1:11" ht="42" customHeight="1">
      <c r="A1668" s="2" t="s">
        <v>4944</v>
      </c>
      <c r="B1668" s="2" t="s">
        <v>4945</v>
      </c>
      <c r="C1668" s="2" t="s">
        <v>17</v>
      </c>
      <c r="D1668" s="2" t="s">
        <v>18</v>
      </c>
      <c r="E1668" s="3" t="s">
        <v>4946</v>
      </c>
      <c r="F1668" s="3" t="s">
        <v>4947</v>
      </c>
      <c r="G1668" s="3" t="s">
        <v>1290</v>
      </c>
      <c r="H1668" s="2" t="s">
        <v>22</v>
      </c>
      <c r="I1668" s="2" t="s">
        <v>4948</v>
      </c>
      <c r="J1668" s="3" t="str">
        <f>HYPERLINK("https://www.boe.es/gazeta/dias/1809/06/13/pdfs/GMD-1809-164.pdf#page=1","Abrir facsímil")</f>
        <v>Abrir facsímil</v>
      </c>
      <c r="K1668" s="3" t="s">
        <v>24</v>
      </c>
    </row>
    <row r="1669" spans="1:11" ht="42" customHeight="1">
      <c r="A1669" s="2" t="s">
        <v>4949</v>
      </c>
      <c r="B1669" s="2" t="s">
        <v>4950</v>
      </c>
      <c r="C1669" s="2" t="s">
        <v>79</v>
      </c>
      <c r="D1669" s="2" t="s">
        <v>18</v>
      </c>
      <c r="E1669" s="3" t="s">
        <v>102</v>
      </c>
      <c r="F1669" s="3" t="s">
        <v>103</v>
      </c>
      <c r="G1669" s="3" t="s">
        <v>104</v>
      </c>
      <c r="H1669" s="2" t="s">
        <v>55</v>
      </c>
      <c r="I1669" s="2" t="s">
        <v>4951</v>
      </c>
      <c r="J1669" s="3" t="str">
        <f>HYPERLINK("https://www.boe.es/gazeta/dias/1809/09/28/pdfs/GGB-1809-252.pdf#page=8","Abrir facsímil")</f>
        <v>Abrir facsímil</v>
      </c>
      <c r="K1669" s="3" t="s">
        <v>57</v>
      </c>
    </row>
    <row r="1670" spans="1:11" ht="42" customHeight="1">
      <c r="A1670" s="2" t="s">
        <v>4952</v>
      </c>
      <c r="B1670" s="2" t="s">
        <v>4953</v>
      </c>
      <c r="C1670" s="2" t="s">
        <v>17</v>
      </c>
      <c r="D1670" s="2" t="s">
        <v>18</v>
      </c>
      <c r="E1670" s="3" t="s">
        <v>305</v>
      </c>
      <c r="F1670" s="3" t="s">
        <v>306</v>
      </c>
      <c r="G1670" s="3" t="s">
        <v>29</v>
      </c>
      <c r="H1670" s="2" t="s">
        <v>55</v>
      </c>
      <c r="I1670" s="2" t="s">
        <v>4954</v>
      </c>
      <c r="J1670" s="3" t="str">
        <f>HYPERLINK("https://www.boe.es/gazeta/dias/1809/10/20/pdfs/GMD-1809-294.pdf#page=3","Abrir facsímil")</f>
        <v>Abrir facsímil</v>
      </c>
      <c r="K1670" s="3" t="s">
        <v>57</v>
      </c>
    </row>
    <row r="1671" spans="1:11" ht="42" customHeight="1">
      <c r="A1671" s="2" t="s">
        <v>4955</v>
      </c>
      <c r="B1671" s="2" t="s">
        <v>4956</v>
      </c>
      <c r="C1671" s="2" t="s">
        <v>17</v>
      </c>
      <c r="D1671" s="2" t="s">
        <v>18</v>
      </c>
      <c r="E1671" s="3" t="s">
        <v>102</v>
      </c>
      <c r="F1671" s="3" t="s">
        <v>103</v>
      </c>
      <c r="G1671" s="3" t="s">
        <v>1091</v>
      </c>
      <c r="H1671" s="2" t="s">
        <v>55</v>
      </c>
      <c r="I1671" s="2" t="s">
        <v>4957</v>
      </c>
      <c r="J1671" s="3" t="str">
        <f>HYPERLINK("https://www.boe.es/gazeta/dias/1809/09/28/pdfs/GGB-1809-252.pdf#page=6","Abrir facsímil")</f>
        <v>Abrir facsímil</v>
      </c>
      <c r="K1671" s="3" t="s">
        <v>57</v>
      </c>
    </row>
    <row r="1672" spans="1:11" ht="42" customHeight="1">
      <c r="A1672" s="2" t="s">
        <v>4958</v>
      </c>
      <c r="B1672" s="2" t="s">
        <v>4959</v>
      </c>
      <c r="C1672" s="2" t="s">
        <v>17</v>
      </c>
      <c r="D1672" s="2" t="s">
        <v>72</v>
      </c>
      <c r="E1672" s="3" t="s">
        <v>243</v>
      </c>
      <c r="F1672" s="3" t="s">
        <v>244</v>
      </c>
      <c r="G1672" s="3" t="s">
        <v>582</v>
      </c>
      <c r="H1672" s="2" t="s">
        <v>55</v>
      </c>
      <c r="I1672" s="2" t="s">
        <v>4960</v>
      </c>
      <c r="J1672" s="3" t="str">
        <f>HYPERLINK("https://www.boe.es/gazeta/dias/1809/02/17/pdfs/GGB-G-1809-8.pdf#page=7","Abrir facsímil")</f>
        <v>Abrir facsímil</v>
      </c>
      <c r="K1672" s="3" t="s">
        <v>57</v>
      </c>
    </row>
    <row r="1673" spans="1:11" ht="42" customHeight="1">
      <c r="A1673" s="2" t="s">
        <v>4961</v>
      </c>
      <c r="B1673" s="2" t="s">
        <v>4961</v>
      </c>
      <c r="C1673" s="2" t="s">
        <v>25</v>
      </c>
      <c r="D1673" s="2" t="s">
        <v>26</v>
      </c>
      <c r="E1673" s="3" t="s">
        <v>585</v>
      </c>
      <c r="F1673" s="3" t="s">
        <v>586</v>
      </c>
      <c r="G1673" s="3" t="s">
        <v>587</v>
      </c>
      <c r="H1673" s="2" t="s">
        <v>55</v>
      </c>
      <c r="I1673" s="2" t="s">
        <v>4962</v>
      </c>
      <c r="J1673" s="3" t="str">
        <f>HYPERLINK("https://www.boe.es/gazeta/dias/1809/01/09/pdfs/GMD-1809-9.pdf#page=3","Abrir facsímil")</f>
        <v>Abrir facsímil</v>
      </c>
      <c r="K1673" s="3" t="s">
        <v>57</v>
      </c>
    </row>
    <row r="1674" spans="1:11" ht="42" customHeight="1">
      <c r="A1674" s="2" t="s">
        <v>4963</v>
      </c>
      <c r="B1674" s="2" t="s">
        <v>4964</v>
      </c>
      <c r="C1674" s="2" t="s">
        <v>131</v>
      </c>
      <c r="D1674" s="2" t="s">
        <v>26</v>
      </c>
      <c r="E1674" s="3" t="s">
        <v>515</v>
      </c>
      <c r="F1674" s="3" t="s">
        <v>516</v>
      </c>
      <c r="G1674" s="3" t="s">
        <v>1380</v>
      </c>
      <c r="H1674" s="2" t="s">
        <v>55</v>
      </c>
      <c r="I1674" s="2" t="s">
        <v>4965</v>
      </c>
      <c r="J1674" s="3" t="str">
        <f>HYPERLINK("https://www.boe.es/gazeta/dias/1809/09/02/pdfs/GMD-1809-246.pdf#page=3","Abrir facsímil")</f>
        <v>Abrir facsímil</v>
      </c>
      <c r="K1674" s="3" t="s">
        <v>57</v>
      </c>
    </row>
    <row r="1675" spans="1:11" ht="42" customHeight="1">
      <c r="A1675" s="2" t="s">
        <v>4966</v>
      </c>
      <c r="B1675" s="2" t="s">
        <v>4966</v>
      </c>
      <c r="C1675" s="2" t="s">
        <v>25</v>
      </c>
      <c r="D1675" s="2" t="s">
        <v>18</v>
      </c>
      <c r="E1675" s="3" t="s">
        <v>1282</v>
      </c>
      <c r="F1675" s="3" t="s">
        <v>1743</v>
      </c>
      <c r="G1675" s="3" t="s">
        <v>1516</v>
      </c>
      <c r="H1675" s="2" t="s">
        <v>55</v>
      </c>
      <c r="I1675" s="2" t="s">
        <v>4967</v>
      </c>
      <c r="J1675" s="3" t="str">
        <f>HYPERLINK("https://www.boe.es/gazeta/dias/1809/06/26/pdfs/GMD-1809-177.pdf#page=3","Abrir facsímil")</f>
        <v>Abrir facsímil</v>
      </c>
      <c r="K1675" s="3" t="s">
        <v>57</v>
      </c>
    </row>
    <row r="1676" spans="1:11" ht="42" customHeight="1">
      <c r="A1676" s="2" t="s">
        <v>4968</v>
      </c>
      <c r="B1676" s="2" t="s">
        <v>4968</v>
      </c>
      <c r="C1676" s="2" t="s">
        <v>25</v>
      </c>
      <c r="D1676" s="2" t="s">
        <v>18</v>
      </c>
      <c r="E1676" s="3" t="s">
        <v>2888</v>
      </c>
      <c r="F1676" s="3" t="s">
        <v>2889</v>
      </c>
      <c r="G1676" s="3" t="s">
        <v>234</v>
      </c>
      <c r="H1676" s="2" t="s">
        <v>55</v>
      </c>
      <c r="I1676" s="2" t="s">
        <v>4969</v>
      </c>
      <c r="J1676" s="3" t="str">
        <f>HYPERLINK("https://www.boe.es/gazeta/dias/1809/06/25/pdfs/GMD-1809-176.pdf#page=3","Abrir facsímil")</f>
        <v>Abrir facsímil</v>
      </c>
      <c r="K1676" s="3" t="s">
        <v>57</v>
      </c>
    </row>
    <row r="1677" spans="1:11" ht="42" customHeight="1">
      <c r="A1677" s="2" t="s">
        <v>4970</v>
      </c>
      <c r="B1677" s="2" t="s">
        <v>4971</v>
      </c>
      <c r="C1677" s="2" t="s">
        <v>17</v>
      </c>
      <c r="D1677" s="2" t="s">
        <v>18</v>
      </c>
      <c r="E1677" s="3" t="s">
        <v>1586</v>
      </c>
      <c r="F1677" s="3" t="s">
        <v>1587</v>
      </c>
      <c r="G1677" s="3" t="s">
        <v>1909</v>
      </c>
      <c r="H1677" s="2" t="s">
        <v>55</v>
      </c>
      <c r="I1677" s="2" t="s">
        <v>4972</v>
      </c>
      <c r="J1677" s="3" t="str">
        <f>HYPERLINK("https://www.boe.es/gazeta/dias/1809/02/20/pdfs/GMD-1809-51.pdf#page=4","Abrir facsímil")</f>
        <v>Abrir facsímil</v>
      </c>
      <c r="K1677" s="3" t="s">
        <v>57</v>
      </c>
    </row>
    <row r="1678" spans="1:11" ht="42" customHeight="1">
      <c r="A1678" s="2" t="s">
        <v>4973</v>
      </c>
      <c r="B1678" s="2" t="s">
        <v>4974</v>
      </c>
      <c r="C1678" s="2" t="s">
        <v>17</v>
      </c>
      <c r="D1678" s="2" t="s">
        <v>18</v>
      </c>
      <c r="E1678" s="3" t="s">
        <v>33</v>
      </c>
      <c r="F1678" s="3" t="s">
        <v>34</v>
      </c>
      <c r="G1678" s="3" t="s">
        <v>595</v>
      </c>
      <c r="H1678" s="2" t="s">
        <v>55</v>
      </c>
      <c r="I1678" s="2" t="s">
        <v>4975</v>
      </c>
      <c r="J1678" s="3" t="str">
        <f>HYPERLINK("https://www.boe.es/gazeta/dias/1809/12/19/pdfs/GGB-1809-602.pdf#page=7","Abrir facsímil")</f>
        <v>Abrir facsímil</v>
      </c>
      <c r="K1678" s="3" t="s">
        <v>57</v>
      </c>
    </row>
    <row r="1679" spans="1:11" ht="42" customHeight="1">
      <c r="A1679" s="2" t="s">
        <v>4976</v>
      </c>
      <c r="B1679" s="2" t="s">
        <v>4977</v>
      </c>
      <c r="C1679" s="2" t="s">
        <v>17</v>
      </c>
      <c r="D1679" s="2" t="s">
        <v>18</v>
      </c>
      <c r="E1679" s="3" t="s">
        <v>243</v>
      </c>
      <c r="F1679" s="3" t="s">
        <v>735</v>
      </c>
      <c r="G1679" s="3" t="s">
        <v>736</v>
      </c>
      <c r="H1679" s="2" t="s">
        <v>55</v>
      </c>
      <c r="I1679" s="2" t="s">
        <v>4978</v>
      </c>
      <c r="J1679" s="3" t="str">
        <f>HYPERLINK("https://www.boe.es/gazeta/dias/1809/02/17/pdfs/GGB-1809-8.pdf#page=8","Abrir facsímil")</f>
        <v>Abrir facsímil</v>
      </c>
      <c r="K1679" s="3" t="s">
        <v>57</v>
      </c>
    </row>
    <row r="1680" spans="1:11" ht="42" customHeight="1">
      <c r="A1680" s="2" t="s">
        <v>4979</v>
      </c>
      <c r="B1680" s="2" t="s">
        <v>4980</v>
      </c>
      <c r="C1680" s="2" t="s">
        <v>17</v>
      </c>
      <c r="D1680" s="2" t="s">
        <v>18</v>
      </c>
      <c r="E1680" s="3" t="s">
        <v>33</v>
      </c>
      <c r="F1680" s="3" t="s">
        <v>34</v>
      </c>
      <c r="G1680" s="3" t="s">
        <v>595</v>
      </c>
      <c r="H1680" s="2" t="s">
        <v>55</v>
      </c>
      <c r="I1680" s="2" t="s">
        <v>4981</v>
      </c>
      <c r="J1680" s="3" t="str">
        <f>HYPERLINK("https://www.boe.es/gazeta/dias/1809/12/19/pdfs/GGB-1809-602.pdf#page=7","Abrir facsímil")</f>
        <v>Abrir facsímil</v>
      </c>
      <c r="K1680" s="3" t="s">
        <v>57</v>
      </c>
    </row>
    <row r="1681" spans="1:11" ht="42" customHeight="1">
      <c r="A1681" s="2" t="s">
        <v>4982</v>
      </c>
      <c r="B1681" s="2" t="s">
        <v>4983</v>
      </c>
      <c r="C1681" s="2" t="s">
        <v>17</v>
      </c>
      <c r="D1681" s="2" t="s">
        <v>18</v>
      </c>
      <c r="E1681" s="3" t="s">
        <v>305</v>
      </c>
      <c r="F1681" s="3" t="s">
        <v>306</v>
      </c>
      <c r="G1681" s="3" t="s">
        <v>29</v>
      </c>
      <c r="H1681" s="2" t="s">
        <v>55</v>
      </c>
      <c r="I1681" s="2" t="s">
        <v>4984</v>
      </c>
      <c r="J1681" s="3" t="str">
        <f>HYPERLINK("https://www.boe.es/gazeta/dias/1809/10/20/pdfs/GMD-1809-294.pdf#page=3","Abrir facsímil")</f>
        <v>Abrir facsímil</v>
      </c>
      <c r="K1681" s="3" t="s">
        <v>57</v>
      </c>
    </row>
    <row r="1682" spans="1:11" ht="42" customHeight="1">
      <c r="A1682" s="2" t="s">
        <v>4985</v>
      </c>
      <c r="B1682" s="2" t="s">
        <v>4986</v>
      </c>
      <c r="C1682" s="2" t="s">
        <v>17</v>
      </c>
      <c r="D1682" s="2" t="s">
        <v>18</v>
      </c>
      <c r="E1682" s="3" t="s">
        <v>33</v>
      </c>
      <c r="F1682" s="3" t="s">
        <v>34</v>
      </c>
      <c r="G1682" s="3" t="s">
        <v>595</v>
      </c>
      <c r="H1682" s="2" t="s">
        <v>55</v>
      </c>
      <c r="I1682" s="2" t="s">
        <v>4987</v>
      </c>
      <c r="J1682" s="3" t="str">
        <f>HYPERLINK("https://www.boe.es/gazeta/dias/1809/12/19/pdfs/GGB-1809-602.pdf#page=7","Abrir facsímil")</f>
        <v>Abrir facsímil</v>
      </c>
      <c r="K1682" s="3" t="s">
        <v>57</v>
      </c>
    </row>
    <row r="1683" spans="1:11" ht="42" customHeight="1">
      <c r="A1683" s="2" t="s">
        <v>4988</v>
      </c>
      <c r="B1683" s="2" t="s">
        <v>4988</v>
      </c>
      <c r="C1683" s="2" t="s">
        <v>25</v>
      </c>
      <c r="D1683" s="2" t="s">
        <v>26</v>
      </c>
      <c r="E1683" s="3" t="s">
        <v>1282</v>
      </c>
      <c r="F1683" s="3" t="s">
        <v>1743</v>
      </c>
      <c r="G1683" s="3" t="s">
        <v>1516</v>
      </c>
      <c r="H1683" s="2" t="s">
        <v>55</v>
      </c>
      <c r="I1683" s="2" t="s">
        <v>4989</v>
      </c>
      <c r="J1683" s="3" t="str">
        <f>HYPERLINK("https://www.boe.es/gazeta/dias/1809/06/26/pdfs/GMD-1809-177.pdf#page=3","Abrir facsímil")</f>
        <v>Abrir facsímil</v>
      </c>
      <c r="K1683" s="3" t="s">
        <v>57</v>
      </c>
    </row>
    <row r="1684" spans="1:11" ht="42" customHeight="1">
      <c r="A1684" s="2" t="s">
        <v>4990</v>
      </c>
      <c r="B1684" s="2" t="s">
        <v>4990</v>
      </c>
      <c r="C1684" s="2" t="s">
        <v>25</v>
      </c>
      <c r="D1684" s="2" t="s">
        <v>18</v>
      </c>
      <c r="E1684" s="3" t="s">
        <v>809</v>
      </c>
      <c r="F1684" s="3" t="s">
        <v>810</v>
      </c>
      <c r="G1684" s="3" t="s">
        <v>234</v>
      </c>
      <c r="H1684" s="2" t="s">
        <v>55</v>
      </c>
      <c r="I1684" s="2" t="s">
        <v>4991</v>
      </c>
      <c r="J1684" s="3" t="str">
        <f>HYPERLINK("https://www.boe.es/gazeta/dias/1809/08/19/pdfs/GMD-1809-232.pdf#page=3","Abrir facsímil")</f>
        <v>Abrir facsímil</v>
      </c>
      <c r="K1684" s="3" t="s">
        <v>57</v>
      </c>
    </row>
    <row r="1685" spans="1:11" ht="42" customHeight="1">
      <c r="A1685" s="2" t="s">
        <v>4992</v>
      </c>
      <c r="B1685" s="2" t="s">
        <v>4992</v>
      </c>
      <c r="C1685" s="2" t="s">
        <v>25</v>
      </c>
      <c r="D1685" s="2" t="s">
        <v>18</v>
      </c>
      <c r="E1685" s="3" t="s">
        <v>4993</v>
      </c>
      <c r="F1685" s="3" t="s">
        <v>4994</v>
      </c>
      <c r="G1685" s="3" t="s">
        <v>62</v>
      </c>
      <c r="H1685" s="2" t="s">
        <v>55</v>
      </c>
      <c r="I1685" s="2" t="s">
        <v>4995</v>
      </c>
      <c r="J1685" s="3" t="str">
        <f>HYPERLINK("https://www.boe.es/gazeta/dias/1809/01/15/pdfs/GMD-1809-15.pdf#page=1","Abrir facsímil")</f>
        <v>Abrir facsímil</v>
      </c>
      <c r="K1685" s="3" t="s">
        <v>57</v>
      </c>
    </row>
    <row r="1686" spans="1:11" ht="42" customHeight="1">
      <c r="A1686" s="2" t="s">
        <v>4992</v>
      </c>
      <c r="B1686" s="2" t="s">
        <v>4992</v>
      </c>
      <c r="C1686" s="2" t="s">
        <v>25</v>
      </c>
      <c r="D1686" s="2" t="s">
        <v>26</v>
      </c>
      <c r="E1686" s="3" t="s">
        <v>4624</v>
      </c>
      <c r="F1686" s="3" t="s">
        <v>4625</v>
      </c>
      <c r="G1686" s="3" t="s">
        <v>1152</v>
      </c>
      <c r="H1686" s="2" t="s">
        <v>55</v>
      </c>
      <c r="I1686" s="2" t="s">
        <v>4996</v>
      </c>
      <c r="J1686" s="3" t="str">
        <f>HYPERLINK("https://www.boe.es/gazeta/dias/1809/01/31/pdfs/GMD-1809-31.pdf#page=2","Abrir facsímil")</f>
        <v>Abrir facsímil</v>
      </c>
      <c r="K1686" s="3" t="s">
        <v>57</v>
      </c>
    </row>
    <row r="1687" spans="1:11" ht="42" customHeight="1">
      <c r="A1687" s="2" t="s">
        <v>4997</v>
      </c>
      <c r="B1687" s="2" t="s">
        <v>4997</v>
      </c>
      <c r="C1687" s="2" t="s">
        <v>25</v>
      </c>
      <c r="D1687" s="2" t="s">
        <v>18</v>
      </c>
      <c r="E1687" s="3" t="s">
        <v>263</v>
      </c>
      <c r="F1687" s="3" t="s">
        <v>1026</v>
      </c>
      <c r="G1687" s="3" t="s">
        <v>1027</v>
      </c>
      <c r="H1687" s="2" t="s">
        <v>55</v>
      </c>
      <c r="I1687" s="2" t="s">
        <v>4998</v>
      </c>
      <c r="J1687" s="3" t="str">
        <f>HYPERLINK("https://www.boe.es/gazeta/dias/1809/11/21/pdfs/GMD-1809-326.pdf#page=1","Abrir facsímil")</f>
        <v>Abrir facsímil</v>
      </c>
      <c r="K1687" s="3" t="s">
        <v>57</v>
      </c>
    </row>
    <row r="1688" spans="1:11" ht="42" customHeight="1">
      <c r="A1688" s="2" t="s">
        <v>4999</v>
      </c>
      <c r="B1688" s="2" t="s">
        <v>4999</v>
      </c>
      <c r="C1688" s="2" t="s">
        <v>25</v>
      </c>
      <c r="D1688" s="2" t="s">
        <v>18</v>
      </c>
      <c r="E1688" s="3" t="s">
        <v>1829</v>
      </c>
      <c r="F1688" s="3" t="s">
        <v>1830</v>
      </c>
      <c r="G1688" s="3" t="s">
        <v>21</v>
      </c>
      <c r="H1688" s="2" t="s">
        <v>55</v>
      </c>
      <c r="I1688" s="2" t="s">
        <v>5000</v>
      </c>
      <c r="J1688" s="3" t="str">
        <f>HYPERLINK("https://www.boe.es/gazeta/dias/1809/09/17/pdfs/GMD-1809-261.pdf#page=3","Abrir facsímil")</f>
        <v>Abrir facsímil</v>
      </c>
      <c r="K1688" s="3" t="s">
        <v>57</v>
      </c>
    </row>
    <row r="1689" spans="1:11" ht="42" customHeight="1">
      <c r="A1689" s="2" t="s">
        <v>5001</v>
      </c>
      <c r="B1689" s="2" t="s">
        <v>5001</v>
      </c>
      <c r="C1689" s="2" t="s">
        <v>25</v>
      </c>
      <c r="D1689" s="2" t="s">
        <v>18</v>
      </c>
      <c r="E1689" s="3" t="s">
        <v>1493</v>
      </c>
      <c r="F1689" s="3" t="s">
        <v>1494</v>
      </c>
      <c r="G1689" s="3" t="s">
        <v>1319</v>
      </c>
      <c r="H1689" s="2" t="s">
        <v>55</v>
      </c>
      <c r="I1689" s="2" t="s">
        <v>5002</v>
      </c>
      <c r="J1689" s="3" t="str">
        <f>HYPERLINK("https://www.boe.es/gazeta/dias/1809/08/25/pdfs/GMD-1809-238.pdf#page=1","Abrir facsímil")</f>
        <v>Abrir facsímil</v>
      </c>
      <c r="K1689" s="3" t="s">
        <v>57</v>
      </c>
    </row>
    <row r="1690" spans="1:11" ht="42" customHeight="1">
      <c r="A1690" s="2" t="s">
        <v>5003</v>
      </c>
      <c r="B1690" s="2" t="s">
        <v>5003</v>
      </c>
      <c r="C1690" s="2" t="s">
        <v>25</v>
      </c>
      <c r="D1690" s="2" t="s">
        <v>18</v>
      </c>
      <c r="E1690" s="3" t="s">
        <v>1053</v>
      </c>
      <c r="F1690" s="3" t="s">
        <v>1054</v>
      </c>
      <c r="G1690" s="3" t="s">
        <v>234</v>
      </c>
      <c r="H1690" s="2" t="s">
        <v>55</v>
      </c>
      <c r="I1690" s="2" t="s">
        <v>5004</v>
      </c>
      <c r="J1690" s="3" t="str">
        <f>HYPERLINK("https://www.boe.es/gazeta/dias/1809/05/13/pdfs/GMD-1809-133.pdf#page=2","Abrir facsímil")</f>
        <v>Abrir facsímil</v>
      </c>
      <c r="K1690" s="3" t="s">
        <v>57</v>
      </c>
    </row>
    <row r="1691" spans="1:11" ht="42" customHeight="1">
      <c r="A1691" s="2" t="s">
        <v>5003</v>
      </c>
      <c r="B1691" s="2" t="s">
        <v>5003</v>
      </c>
      <c r="C1691" s="2" t="s">
        <v>25</v>
      </c>
      <c r="D1691" s="2" t="s">
        <v>18</v>
      </c>
      <c r="E1691" s="3" t="s">
        <v>1053</v>
      </c>
      <c r="F1691" s="3" t="s">
        <v>1054</v>
      </c>
      <c r="G1691" s="3" t="s">
        <v>239</v>
      </c>
      <c r="H1691" s="2" t="s">
        <v>55</v>
      </c>
      <c r="I1691" s="2" t="s">
        <v>5005</v>
      </c>
      <c r="J1691" s="3" t="str">
        <f>HYPERLINK("https://www.boe.es/gazeta/dias/1809/05/13/pdfs/GMD-1809-133.pdf#page=3","Abrir facsímil")</f>
        <v>Abrir facsímil</v>
      </c>
      <c r="K1691" s="3" t="s">
        <v>57</v>
      </c>
    </row>
    <row r="1692" spans="1:11" ht="42" customHeight="1">
      <c r="A1692" s="2" t="s">
        <v>5003</v>
      </c>
      <c r="B1692" s="2" t="s">
        <v>5003</v>
      </c>
      <c r="C1692" s="2" t="s">
        <v>25</v>
      </c>
      <c r="D1692" s="2" t="s">
        <v>18</v>
      </c>
      <c r="E1692" s="3" t="s">
        <v>1053</v>
      </c>
      <c r="F1692" s="3" t="s">
        <v>1054</v>
      </c>
      <c r="G1692" s="3" t="s">
        <v>75</v>
      </c>
      <c r="H1692" s="2" t="s">
        <v>55</v>
      </c>
      <c r="I1692" s="2" t="s">
        <v>5006</v>
      </c>
      <c r="J1692" s="3" t="str">
        <f>HYPERLINK("https://www.boe.es/gazeta/dias/1809/05/13/pdfs/GMD-1809-133.pdf#page=4","Abrir facsímil")</f>
        <v>Abrir facsímil</v>
      </c>
      <c r="K1692" s="3" t="s">
        <v>57</v>
      </c>
    </row>
    <row r="1693" spans="1:11" ht="42" customHeight="1">
      <c r="A1693" s="2" t="s">
        <v>5003</v>
      </c>
      <c r="B1693" s="2" t="s">
        <v>5003</v>
      </c>
      <c r="C1693" s="2" t="s">
        <v>25</v>
      </c>
      <c r="D1693" s="2" t="s">
        <v>107</v>
      </c>
      <c r="E1693" s="3" t="s">
        <v>134</v>
      </c>
      <c r="F1693" s="3" t="s">
        <v>135</v>
      </c>
      <c r="G1693" s="3" t="s">
        <v>234</v>
      </c>
      <c r="H1693" s="2" t="s">
        <v>55</v>
      </c>
      <c r="I1693" s="2" t="s">
        <v>5007</v>
      </c>
      <c r="J1693" s="3" t="str">
        <f>HYPERLINK("https://www.boe.es/gazeta/dias/1809/06/07/pdfs/GMD-1809-158.pdf#page=2","Abrir facsímil")</f>
        <v>Abrir facsímil</v>
      </c>
      <c r="K1693" s="3" t="s">
        <v>57</v>
      </c>
    </row>
    <row r="1694" spans="1:11" ht="42" customHeight="1">
      <c r="A1694" s="2" t="s">
        <v>5003</v>
      </c>
      <c r="B1694" s="2" t="s">
        <v>5003</v>
      </c>
      <c r="C1694" s="2" t="s">
        <v>25</v>
      </c>
      <c r="D1694" s="2" t="s">
        <v>26</v>
      </c>
      <c r="E1694" s="3" t="s">
        <v>1126</v>
      </c>
      <c r="F1694" s="3" t="s">
        <v>1127</v>
      </c>
      <c r="G1694" s="3" t="s">
        <v>62</v>
      </c>
      <c r="H1694" s="2" t="s">
        <v>55</v>
      </c>
      <c r="I1694" s="2" t="s">
        <v>5008</v>
      </c>
      <c r="J1694" s="3" t="str">
        <f>HYPERLINK("https://www.boe.es/gazeta/dias/1809/06/30/pdfs/GMD-1809-181.pdf#page=2","Abrir facsímil")</f>
        <v>Abrir facsímil</v>
      </c>
      <c r="K1694" s="3" t="s">
        <v>57</v>
      </c>
    </row>
    <row r="1695" spans="1:11" ht="42" customHeight="1">
      <c r="A1695" s="2" t="s">
        <v>5003</v>
      </c>
      <c r="B1695" s="2" t="s">
        <v>5003</v>
      </c>
      <c r="C1695" s="2" t="s">
        <v>25</v>
      </c>
      <c r="D1695" s="2" t="s">
        <v>18</v>
      </c>
      <c r="E1695" s="3" t="s">
        <v>5009</v>
      </c>
      <c r="F1695" s="3" t="s">
        <v>5010</v>
      </c>
      <c r="G1695" s="3" t="s">
        <v>239</v>
      </c>
      <c r="H1695" s="2" t="s">
        <v>55</v>
      </c>
      <c r="I1695" s="2" t="s">
        <v>5011</v>
      </c>
      <c r="J1695" s="3" t="str">
        <f>HYPERLINK("https://www.boe.es/gazeta/dias/1809/07/02/pdfs/GMD-1809-183.pdf#page=2","Abrir facsímil")</f>
        <v>Abrir facsímil</v>
      </c>
      <c r="K1695" s="3" t="s">
        <v>57</v>
      </c>
    </row>
    <row r="1696" spans="1:11" ht="42" customHeight="1">
      <c r="A1696" s="2" t="s">
        <v>5003</v>
      </c>
      <c r="B1696" s="2" t="s">
        <v>5003</v>
      </c>
      <c r="C1696" s="2" t="s">
        <v>25</v>
      </c>
      <c r="D1696" s="2" t="s">
        <v>18</v>
      </c>
      <c r="E1696" s="3" t="s">
        <v>1343</v>
      </c>
      <c r="F1696" s="3" t="s">
        <v>1344</v>
      </c>
      <c r="G1696" s="3" t="s">
        <v>5012</v>
      </c>
      <c r="H1696" s="2" t="s">
        <v>55</v>
      </c>
      <c r="I1696" s="2" t="s">
        <v>5013</v>
      </c>
      <c r="J1696" s="3" t="str">
        <f>HYPERLINK("https://www.boe.es/gazeta/dias/1809/07/24/pdfs/GMD-1809-205.pdf#page=1","Abrir facsímil")</f>
        <v>Abrir facsímil</v>
      </c>
      <c r="K1696" s="3" t="s">
        <v>57</v>
      </c>
    </row>
    <row r="1697" spans="1:11" ht="42" customHeight="1">
      <c r="A1697" s="2" t="s">
        <v>5003</v>
      </c>
      <c r="B1697" s="2" t="s">
        <v>5003</v>
      </c>
      <c r="C1697" s="2" t="s">
        <v>25</v>
      </c>
      <c r="D1697" s="2" t="s">
        <v>26</v>
      </c>
      <c r="E1697" s="3" t="s">
        <v>1493</v>
      </c>
      <c r="F1697" s="3" t="s">
        <v>1494</v>
      </c>
      <c r="G1697" s="3" t="s">
        <v>1319</v>
      </c>
      <c r="H1697" s="2" t="s">
        <v>55</v>
      </c>
      <c r="I1697" s="2" t="s">
        <v>5014</v>
      </c>
      <c r="J1697" s="3" t="str">
        <f>HYPERLINK("https://www.boe.es/gazeta/dias/1809/08/25/pdfs/GMD-1809-238.pdf#page=1","Abrir facsímil")</f>
        <v>Abrir facsímil</v>
      </c>
      <c r="K1697" s="3" t="s">
        <v>57</v>
      </c>
    </row>
    <row r="1698" spans="1:11" ht="42" customHeight="1">
      <c r="A1698" s="2" t="s">
        <v>5003</v>
      </c>
      <c r="B1698" s="2" t="s">
        <v>5003</v>
      </c>
      <c r="C1698" s="2" t="s">
        <v>25</v>
      </c>
      <c r="D1698" s="2" t="s">
        <v>26</v>
      </c>
      <c r="E1698" s="3" t="s">
        <v>152</v>
      </c>
      <c r="F1698" s="3" t="s">
        <v>2067</v>
      </c>
      <c r="G1698" s="3" t="s">
        <v>1424</v>
      </c>
      <c r="H1698" s="2" t="s">
        <v>55</v>
      </c>
      <c r="I1698" s="2" t="s">
        <v>5015</v>
      </c>
      <c r="J1698" s="3" t="str">
        <f>HYPERLINK("https://www.boe.es/gazeta/dias/1809/08/26/pdfs/GMD-1809-239.pdf#page=1","Abrir facsímil")</f>
        <v>Abrir facsímil</v>
      </c>
      <c r="K1698" s="3" t="s">
        <v>57</v>
      </c>
    </row>
    <row r="1699" spans="1:11" ht="42" customHeight="1">
      <c r="A1699" s="2" t="s">
        <v>5003</v>
      </c>
      <c r="B1699" s="2" t="s">
        <v>5003</v>
      </c>
      <c r="C1699" s="2" t="s">
        <v>25</v>
      </c>
      <c r="D1699" s="2" t="s">
        <v>18</v>
      </c>
      <c r="E1699" s="3" t="s">
        <v>1898</v>
      </c>
      <c r="F1699" s="3" t="s">
        <v>1899</v>
      </c>
      <c r="G1699" s="3" t="s">
        <v>21</v>
      </c>
      <c r="H1699" s="2" t="s">
        <v>55</v>
      </c>
      <c r="I1699" s="2" t="s">
        <v>5016</v>
      </c>
      <c r="J1699" s="3" t="str">
        <f>HYPERLINK("https://www.boe.es/gazeta/dias/1809/12/02/pdfs/GGB-1809-532.pdf#page=1","Abrir facsímil")</f>
        <v>Abrir facsímil</v>
      </c>
      <c r="K1699" s="3" t="s">
        <v>57</v>
      </c>
    </row>
    <row r="1700" spans="1:11" ht="42" customHeight="1">
      <c r="A1700" s="2" t="s">
        <v>5003</v>
      </c>
      <c r="B1700" s="2" t="s">
        <v>5003</v>
      </c>
      <c r="C1700" s="2" t="s">
        <v>25</v>
      </c>
      <c r="D1700" s="2" t="s">
        <v>26</v>
      </c>
      <c r="E1700" s="3" t="s">
        <v>5017</v>
      </c>
      <c r="F1700" s="3" t="s">
        <v>5018</v>
      </c>
      <c r="G1700" s="3" t="s">
        <v>5019</v>
      </c>
      <c r="H1700" s="2" t="s">
        <v>55</v>
      </c>
      <c r="I1700" s="2" t="s">
        <v>5020</v>
      </c>
      <c r="J1700" s="3" t="str">
        <f>HYPERLINK("https://www.boe.es/gazeta/dias/1809/12/03/pdfs/GMD-1809-338.pdf#page=1","Abrir facsímil")</f>
        <v>Abrir facsímil</v>
      </c>
      <c r="K1700" s="3" t="s">
        <v>57</v>
      </c>
    </row>
    <row r="1701" spans="1:11" ht="42" customHeight="1">
      <c r="A1701" s="2" t="s">
        <v>5021</v>
      </c>
      <c r="B1701" s="2" t="s">
        <v>5021</v>
      </c>
      <c r="C1701" s="2" t="s">
        <v>131</v>
      </c>
      <c r="D1701" s="2" t="s">
        <v>26</v>
      </c>
      <c r="E1701" s="3" t="s">
        <v>656</v>
      </c>
      <c r="F1701" s="3" t="s">
        <v>657</v>
      </c>
      <c r="G1701" s="3" t="s">
        <v>658</v>
      </c>
      <c r="H1701" s="2" t="s">
        <v>55</v>
      </c>
      <c r="I1701" s="2" t="s">
        <v>5022</v>
      </c>
      <c r="J1701" s="3" t="str">
        <f>HYPERLINK("https://www.boe.es/gazeta/dias/1809/07/22/pdfs/GMD-1809-203.pdf#page=3","Abrir facsímil")</f>
        <v>Abrir facsímil</v>
      </c>
      <c r="K1701" s="3" t="s">
        <v>57</v>
      </c>
    </row>
    <row r="1702" spans="1:11" ht="42" customHeight="1">
      <c r="A1702" s="2" t="s">
        <v>5023</v>
      </c>
      <c r="B1702" s="2" t="s">
        <v>5023</v>
      </c>
      <c r="C1702" s="2" t="s">
        <v>25</v>
      </c>
      <c r="D1702" s="2" t="s">
        <v>26</v>
      </c>
      <c r="E1702" s="3" t="s">
        <v>1652</v>
      </c>
      <c r="F1702" s="3" t="s">
        <v>1653</v>
      </c>
      <c r="G1702" s="3" t="s">
        <v>5024</v>
      </c>
      <c r="H1702" s="2" t="s">
        <v>55</v>
      </c>
      <c r="I1702" s="2" t="s">
        <v>5025</v>
      </c>
      <c r="J1702" s="3" t="str">
        <f>HYPERLINK("https://www.boe.es/gazeta/dias/1809/07/25/pdfs/GGB-1809-48.pdf#page=2","Abrir facsímil")</f>
        <v>Abrir facsímil</v>
      </c>
      <c r="K1702" s="3" t="s">
        <v>57</v>
      </c>
    </row>
    <row r="1703" spans="1:11" ht="42" customHeight="1">
      <c r="A1703" s="2" t="s">
        <v>5026</v>
      </c>
      <c r="B1703" s="2" t="s">
        <v>5027</v>
      </c>
      <c r="C1703" s="2" t="s">
        <v>17</v>
      </c>
      <c r="D1703" s="2" t="s">
        <v>18</v>
      </c>
      <c r="E1703" s="3" t="s">
        <v>548</v>
      </c>
      <c r="F1703" s="3" t="s">
        <v>549</v>
      </c>
      <c r="G1703" s="3" t="s">
        <v>316</v>
      </c>
      <c r="H1703" s="2" t="s">
        <v>55</v>
      </c>
      <c r="I1703" s="2" t="s">
        <v>5028</v>
      </c>
      <c r="J1703" s="3" t="str">
        <f>HYPERLINK("https://www.boe.es/gazeta/dias/1809/03/12/pdfs/GMD-1809-71.pdf#page=4","Abrir facsímil")</f>
        <v>Abrir facsímil</v>
      </c>
      <c r="K1703" s="3" t="s">
        <v>57</v>
      </c>
    </row>
    <row r="1704" spans="1:11" ht="42" customHeight="1">
      <c r="A1704" s="2" t="s">
        <v>5029</v>
      </c>
      <c r="B1704" s="2" t="s">
        <v>5029</v>
      </c>
      <c r="C1704" s="2" t="s">
        <v>25</v>
      </c>
      <c r="D1704" s="2" t="s">
        <v>26</v>
      </c>
      <c r="E1704" s="3" t="s">
        <v>689</v>
      </c>
      <c r="F1704" s="3" t="s">
        <v>690</v>
      </c>
      <c r="G1704" s="3" t="s">
        <v>129</v>
      </c>
      <c r="H1704" s="2" t="s">
        <v>55</v>
      </c>
      <c r="I1704" s="2" t="s">
        <v>5030</v>
      </c>
      <c r="J1704" s="3" t="str">
        <f>HYPERLINK("https://www.boe.es/gazeta/dias/1809/04/04/pdfs/GMD-1809-94.pdf#page=2","Abrir facsímil")</f>
        <v>Abrir facsímil</v>
      </c>
      <c r="K1704" s="3" t="s">
        <v>57</v>
      </c>
    </row>
    <row r="1705" spans="1:11" ht="42" customHeight="1">
      <c r="A1705" s="2" t="s">
        <v>5031</v>
      </c>
      <c r="B1705" s="2" t="s">
        <v>5031</v>
      </c>
      <c r="C1705" s="2" t="s">
        <v>25</v>
      </c>
      <c r="D1705" s="2" t="s">
        <v>40</v>
      </c>
      <c r="E1705" s="3" t="s">
        <v>2709</v>
      </c>
      <c r="F1705" s="3" t="s">
        <v>2710</v>
      </c>
      <c r="G1705" s="3" t="s">
        <v>21</v>
      </c>
      <c r="H1705" s="2" t="s">
        <v>55</v>
      </c>
      <c r="I1705" s="2" t="s">
        <v>5032</v>
      </c>
      <c r="J1705" s="3" t="str">
        <f>HYPERLINK("https://www.boe.es/gazeta/dias/1809/11/17/pdfs/GMD-1809-322.pdf#page=3","Abrir facsímil")</f>
        <v>Abrir facsímil</v>
      </c>
      <c r="K1705" s="3" t="s">
        <v>57</v>
      </c>
    </row>
    <row r="1706" spans="1:11" ht="42" customHeight="1">
      <c r="A1706" s="2" t="s">
        <v>5033</v>
      </c>
      <c r="B1706" s="2" t="s">
        <v>5034</v>
      </c>
      <c r="C1706" s="2" t="s">
        <v>25</v>
      </c>
      <c r="D1706" s="2" t="s">
        <v>18</v>
      </c>
      <c r="E1706" s="3" t="s">
        <v>2166</v>
      </c>
      <c r="F1706" s="3" t="s">
        <v>5035</v>
      </c>
      <c r="G1706" s="3" t="s">
        <v>75</v>
      </c>
      <c r="H1706" s="2" t="s">
        <v>55</v>
      </c>
      <c r="I1706" s="2" t="s">
        <v>5036</v>
      </c>
      <c r="J1706" s="3" t="str">
        <f>HYPERLINK("https://www.boe.es/gazeta/dias/1809/01/20/pdfs/GMD-1809-20.pdf#page=4","Abrir facsímil")</f>
        <v>Abrir facsímil</v>
      </c>
      <c r="K1706" s="3" t="s">
        <v>57</v>
      </c>
    </row>
    <row r="1707" spans="1:11" ht="42" customHeight="1">
      <c r="A1707" s="2" t="s">
        <v>5037</v>
      </c>
      <c r="B1707" s="2" t="s">
        <v>5038</v>
      </c>
      <c r="C1707" s="2" t="s">
        <v>25</v>
      </c>
      <c r="D1707" s="2" t="s">
        <v>18</v>
      </c>
      <c r="E1707" s="3" t="s">
        <v>1123</v>
      </c>
      <c r="F1707" s="3" t="s">
        <v>1124</v>
      </c>
      <c r="G1707" s="3" t="s">
        <v>21</v>
      </c>
      <c r="H1707" s="2" t="s">
        <v>55</v>
      </c>
      <c r="I1707" s="2" t="s">
        <v>5039</v>
      </c>
      <c r="J1707" s="3" t="str">
        <f>HYPERLINK("https://www.boe.es/gazeta/dias/1809/01/08/pdfs/GMD-1809-8.pdf#page=5","Abrir facsímil")</f>
        <v>Abrir facsímil</v>
      </c>
      <c r="K1707" s="3" t="s">
        <v>57</v>
      </c>
    </row>
    <row r="1708" spans="1:11" ht="42" customHeight="1">
      <c r="A1708" s="2" t="s">
        <v>5037</v>
      </c>
      <c r="B1708" s="2" t="s">
        <v>5038</v>
      </c>
      <c r="C1708" s="2" t="s">
        <v>25</v>
      </c>
      <c r="D1708" s="2" t="s">
        <v>18</v>
      </c>
      <c r="E1708" s="3" t="s">
        <v>1123</v>
      </c>
      <c r="F1708" s="3" t="s">
        <v>1124</v>
      </c>
      <c r="G1708" s="3" t="s">
        <v>75</v>
      </c>
      <c r="H1708" s="2" t="s">
        <v>55</v>
      </c>
      <c r="I1708" s="2" t="s">
        <v>5040</v>
      </c>
      <c r="J1708" s="3" t="str">
        <f>HYPERLINK("https://www.boe.es/gazeta/dias/1809/01/08/pdfs/GMD-1809-8.pdf#page=7","Abrir facsímil")</f>
        <v>Abrir facsímil</v>
      </c>
      <c r="K1708" s="3" t="s">
        <v>57</v>
      </c>
    </row>
    <row r="1709" spans="1:11" ht="42" customHeight="1">
      <c r="A1709" s="2" t="s">
        <v>5041</v>
      </c>
      <c r="B1709" s="2" t="s">
        <v>5041</v>
      </c>
      <c r="C1709" s="2" t="s">
        <v>17</v>
      </c>
      <c r="D1709" s="2" t="s">
        <v>80</v>
      </c>
      <c r="E1709" s="3" t="s">
        <v>776</v>
      </c>
      <c r="F1709" s="3" t="s">
        <v>1485</v>
      </c>
      <c r="G1709" s="3" t="s">
        <v>110</v>
      </c>
      <c r="H1709" s="2" t="s">
        <v>55</v>
      </c>
      <c r="I1709" s="2" t="s">
        <v>5042</v>
      </c>
      <c r="J1709" s="3" t="str">
        <f>HYPERLINK("https://www.boe.es/gazeta/dias/1809/05/28/pdfs/GGB-1809-31E2.pdf#page=5","Abrir facsímil")</f>
        <v>Abrir facsímil</v>
      </c>
      <c r="K1709" s="3" t="s">
        <v>57</v>
      </c>
    </row>
    <row r="1710" spans="1:11" ht="42" customHeight="1">
      <c r="A1710" s="2" t="s">
        <v>5043</v>
      </c>
      <c r="B1710" s="2" t="s">
        <v>5044</v>
      </c>
      <c r="C1710" s="2" t="s">
        <v>25</v>
      </c>
      <c r="D1710" s="2" t="s">
        <v>18</v>
      </c>
      <c r="E1710" s="3" t="s">
        <v>724</v>
      </c>
      <c r="F1710" s="3" t="s">
        <v>725</v>
      </c>
      <c r="G1710" s="3" t="s">
        <v>5045</v>
      </c>
      <c r="H1710" s="2" t="s">
        <v>55</v>
      </c>
      <c r="I1710" s="2" t="s">
        <v>5046</v>
      </c>
      <c r="J1710" s="3" t="str">
        <f>HYPERLINK("https://www.boe.es/gazeta/dias/1809/11/19/pdfs/GMD-1809-324.pdf#page=4","Abrir facsímil")</f>
        <v>Abrir facsímil</v>
      </c>
      <c r="K1710" s="3" t="s">
        <v>57</v>
      </c>
    </row>
    <row r="1711" spans="1:11" ht="42" customHeight="1">
      <c r="A1711" s="2" t="s">
        <v>5047</v>
      </c>
      <c r="B1711" s="2" t="s">
        <v>5048</v>
      </c>
      <c r="C1711" s="2" t="s">
        <v>25</v>
      </c>
      <c r="D1711" s="2" t="s">
        <v>26</v>
      </c>
      <c r="E1711" s="3" t="s">
        <v>1343</v>
      </c>
      <c r="F1711" s="3" t="s">
        <v>1344</v>
      </c>
      <c r="G1711" s="3" t="s">
        <v>270</v>
      </c>
      <c r="H1711" s="2" t="s">
        <v>55</v>
      </c>
      <c r="I1711" s="2" t="s">
        <v>5049</v>
      </c>
      <c r="J1711" s="3" t="str">
        <f>HYPERLINK("https://www.boe.es/gazeta/dias/1809/07/24/pdfs/GMD-1809-205.pdf#page=7","Abrir facsímil")</f>
        <v>Abrir facsímil</v>
      </c>
      <c r="K1711" s="3" t="s">
        <v>57</v>
      </c>
    </row>
    <row r="1712" spans="1:11" ht="42" customHeight="1">
      <c r="A1712" s="2" t="s">
        <v>5050</v>
      </c>
      <c r="B1712" s="2" t="s">
        <v>5050</v>
      </c>
      <c r="C1712" s="2" t="s">
        <v>25</v>
      </c>
      <c r="D1712" s="2" t="s">
        <v>26</v>
      </c>
      <c r="E1712" s="3" t="s">
        <v>776</v>
      </c>
      <c r="F1712" s="3" t="s">
        <v>1485</v>
      </c>
      <c r="G1712" s="3" t="s">
        <v>239</v>
      </c>
      <c r="H1712" s="2" t="s">
        <v>55</v>
      </c>
      <c r="I1712" s="2" t="s">
        <v>5051</v>
      </c>
      <c r="J1712" s="3" t="str">
        <f>HYPERLINK("https://www.boe.es/gazeta/dias/1809/05/28/pdfs/GGB-1809-31E2.pdf#page=3","Abrir facsímil")</f>
        <v>Abrir facsímil</v>
      </c>
      <c r="K1712" s="3" t="s">
        <v>57</v>
      </c>
    </row>
    <row r="1713" spans="1:11" ht="42" customHeight="1">
      <c r="A1713" s="2" t="s">
        <v>5052</v>
      </c>
      <c r="B1713" s="2" t="s">
        <v>5052</v>
      </c>
      <c r="C1713" s="2" t="s">
        <v>25</v>
      </c>
      <c r="D1713" s="2" t="s">
        <v>18</v>
      </c>
      <c r="E1713" s="3" t="s">
        <v>1856</v>
      </c>
      <c r="F1713" s="3" t="s">
        <v>1857</v>
      </c>
      <c r="G1713" s="3" t="s">
        <v>1858</v>
      </c>
      <c r="H1713" s="2" t="s">
        <v>55</v>
      </c>
      <c r="I1713" s="2" t="s">
        <v>5053</v>
      </c>
      <c r="J1713" s="3" t="str">
        <f>HYPERLINK("https://www.boe.es/gazeta/dias/1809/07/12/pdfs/GMD-1809-193.pdf#page=3","Abrir facsímil")</f>
        <v>Abrir facsímil</v>
      </c>
      <c r="K1713" s="3" t="s">
        <v>57</v>
      </c>
    </row>
    <row r="1714" spans="1:11" ht="42" customHeight="1">
      <c r="A1714" s="2" t="s">
        <v>5054</v>
      </c>
      <c r="B1714" s="2" t="s">
        <v>5054</v>
      </c>
      <c r="C1714" s="2" t="s">
        <v>25</v>
      </c>
      <c r="D1714" s="2" t="s">
        <v>18</v>
      </c>
      <c r="E1714" s="3" t="s">
        <v>814</v>
      </c>
      <c r="F1714" s="3" t="s">
        <v>2095</v>
      </c>
      <c r="G1714" s="3" t="s">
        <v>62</v>
      </c>
      <c r="H1714" s="2" t="s">
        <v>55</v>
      </c>
      <c r="I1714" s="2" t="s">
        <v>5055</v>
      </c>
      <c r="J1714" s="3" t="str">
        <f>HYPERLINK("https://www.boe.es/gazeta/dias/1809/12/09/pdfs/GMD-1809-344.pdf#page=4","Abrir facsímil")</f>
        <v>Abrir facsímil</v>
      </c>
      <c r="K1714" s="3" t="s">
        <v>57</v>
      </c>
    </row>
    <row r="1715" spans="1:11" ht="42" customHeight="1">
      <c r="A1715" s="2" t="s">
        <v>5056</v>
      </c>
      <c r="B1715" s="2" t="s">
        <v>5056</v>
      </c>
      <c r="C1715" s="2" t="s">
        <v>25</v>
      </c>
      <c r="D1715" s="2" t="s">
        <v>26</v>
      </c>
      <c r="E1715" s="3" t="s">
        <v>387</v>
      </c>
      <c r="F1715" s="3" t="s">
        <v>388</v>
      </c>
      <c r="G1715" s="3" t="s">
        <v>29</v>
      </c>
      <c r="H1715" s="2" t="s">
        <v>55</v>
      </c>
      <c r="I1715" s="2" t="s">
        <v>5057</v>
      </c>
      <c r="J1715" s="3" t="str">
        <f>HYPERLINK("https://www.boe.es/gazeta/dias/1809/09/26/pdfs/GMD-1809-270.pdf#page=3","Abrir facsímil")</f>
        <v>Abrir facsímil</v>
      </c>
      <c r="K1715" s="3" t="s">
        <v>57</v>
      </c>
    </row>
    <row r="1716" spans="1:11" ht="42" customHeight="1">
      <c r="A1716" s="2" t="s">
        <v>5058</v>
      </c>
      <c r="B1716" s="2" t="s">
        <v>5058</v>
      </c>
      <c r="C1716" s="2" t="s">
        <v>25</v>
      </c>
      <c r="D1716" s="2" t="s">
        <v>26</v>
      </c>
      <c r="E1716" s="3" t="s">
        <v>4389</v>
      </c>
      <c r="F1716" s="3" t="s">
        <v>4390</v>
      </c>
      <c r="G1716" s="3" t="s">
        <v>239</v>
      </c>
      <c r="H1716" s="2" t="s">
        <v>55</v>
      </c>
      <c r="I1716" s="2" t="s">
        <v>5059</v>
      </c>
      <c r="J1716" s="3" t="str">
        <f>HYPERLINK("https://www.boe.es/gazeta/dias/1809/02/06/pdfs/GMD-1809-37.pdf#page=3","Abrir facsímil")</f>
        <v>Abrir facsímil</v>
      </c>
      <c r="K1716" s="3" t="s">
        <v>57</v>
      </c>
    </row>
    <row r="1717" spans="1:11" ht="42" customHeight="1">
      <c r="A1717" s="2" t="s">
        <v>5060</v>
      </c>
      <c r="B1717" s="2" t="s">
        <v>5060</v>
      </c>
      <c r="C1717" s="2" t="s">
        <v>25</v>
      </c>
      <c r="D1717" s="2" t="s">
        <v>18</v>
      </c>
      <c r="E1717" s="3" t="s">
        <v>2038</v>
      </c>
      <c r="F1717" s="3" t="s">
        <v>2039</v>
      </c>
      <c r="G1717" s="3" t="s">
        <v>239</v>
      </c>
      <c r="H1717" s="2" t="s">
        <v>55</v>
      </c>
      <c r="I1717" s="2" t="s">
        <v>5061</v>
      </c>
      <c r="J1717" s="3" t="str">
        <f>HYPERLINK("https://www.boe.es/gazeta/dias/1809/05/07/pdfs/GMD-1809-127.pdf#page=4","Abrir facsímil")</f>
        <v>Abrir facsímil</v>
      </c>
      <c r="K1717" s="3" t="s">
        <v>57</v>
      </c>
    </row>
    <row r="1718" spans="1:11" ht="42" customHeight="1">
      <c r="A1718" s="2" t="s">
        <v>5062</v>
      </c>
      <c r="B1718" s="2" t="s">
        <v>5063</v>
      </c>
      <c r="C1718" s="2" t="s">
        <v>17</v>
      </c>
      <c r="D1718" s="2" t="s">
        <v>72</v>
      </c>
      <c r="E1718" s="3" t="s">
        <v>243</v>
      </c>
      <c r="F1718" s="3" t="s">
        <v>244</v>
      </c>
      <c r="G1718" s="3" t="s">
        <v>29</v>
      </c>
      <c r="H1718" s="2" t="s">
        <v>55</v>
      </c>
      <c r="I1718" s="2" t="s">
        <v>5064</v>
      </c>
      <c r="J1718" s="3" t="str">
        <f>HYPERLINK("https://www.boe.es/gazeta/dias/1809/02/17/pdfs/GGB-G-1809-8.pdf#page=3","Abrir facsímil")</f>
        <v>Abrir facsímil</v>
      </c>
      <c r="K1718" s="3" t="s">
        <v>57</v>
      </c>
    </row>
    <row r="1719" spans="1:11" ht="42" customHeight="1">
      <c r="A1719" s="2" t="s">
        <v>5065</v>
      </c>
      <c r="B1719" s="2" t="s">
        <v>5066</v>
      </c>
      <c r="C1719" s="2" t="s">
        <v>17</v>
      </c>
      <c r="D1719" s="2" t="s">
        <v>72</v>
      </c>
      <c r="E1719" s="3" t="s">
        <v>243</v>
      </c>
      <c r="F1719" s="3" t="s">
        <v>244</v>
      </c>
      <c r="G1719" s="3" t="s">
        <v>541</v>
      </c>
      <c r="H1719" s="2" t="s">
        <v>55</v>
      </c>
      <c r="I1719" s="2" t="s">
        <v>5067</v>
      </c>
      <c r="J1719" s="3" t="str">
        <f>HYPERLINK("https://www.boe.es/gazeta/dias/1809/02/17/pdfs/GGB-G-1809-8.pdf#page=8","Abrir facsímil")</f>
        <v>Abrir facsímil</v>
      </c>
      <c r="K1719" s="3" t="s">
        <v>57</v>
      </c>
    </row>
    <row r="1720" spans="1:11" ht="42" customHeight="1">
      <c r="A1720" s="2" t="s">
        <v>5068</v>
      </c>
      <c r="B1720" s="2" t="s">
        <v>5069</v>
      </c>
      <c r="C1720" s="2" t="s">
        <v>79</v>
      </c>
      <c r="D1720" s="2" t="s">
        <v>18</v>
      </c>
      <c r="E1720" s="3" t="s">
        <v>327</v>
      </c>
      <c r="F1720" s="3" t="s">
        <v>328</v>
      </c>
      <c r="G1720" s="3" t="s">
        <v>329</v>
      </c>
      <c r="H1720" s="2" t="s">
        <v>55</v>
      </c>
      <c r="I1720" s="2" t="s">
        <v>5070</v>
      </c>
      <c r="J1720" s="3" t="str">
        <f>HYPERLINK("https://www.boe.es/gazeta/dias/1809/09/14/pdfs/GGB-1809-192.pdf#page=8","Abrir facsímil")</f>
        <v>Abrir facsímil</v>
      </c>
      <c r="K1720" s="3" t="s">
        <v>57</v>
      </c>
    </row>
    <row r="1721" spans="1:11" ht="42" customHeight="1">
      <c r="A1721" s="2" t="s">
        <v>5071</v>
      </c>
      <c r="B1721" s="2" t="s">
        <v>5072</v>
      </c>
      <c r="C1721" s="2" t="s">
        <v>131</v>
      </c>
      <c r="D1721" s="2" t="s">
        <v>18</v>
      </c>
      <c r="E1721" s="3" t="s">
        <v>515</v>
      </c>
      <c r="F1721" s="3" t="s">
        <v>516</v>
      </c>
      <c r="G1721" s="3" t="s">
        <v>1380</v>
      </c>
      <c r="H1721" s="2" t="s">
        <v>55</v>
      </c>
      <c r="I1721" s="2" t="s">
        <v>5073</v>
      </c>
      <c r="J1721" s="3" t="str">
        <f>HYPERLINK("https://www.boe.es/gazeta/dias/1809/09/02/pdfs/GMD-1809-246.pdf#page=3","Abrir facsímil")</f>
        <v>Abrir facsímil</v>
      </c>
      <c r="K1721" s="3" t="s">
        <v>57</v>
      </c>
    </row>
    <row r="1722" spans="1:11" ht="42" customHeight="1">
      <c r="A1722" s="2" t="s">
        <v>5074</v>
      </c>
      <c r="B1722" s="2" t="s">
        <v>5075</v>
      </c>
      <c r="C1722" s="2" t="s">
        <v>17</v>
      </c>
      <c r="D1722" s="2" t="s">
        <v>72</v>
      </c>
      <c r="E1722" s="3" t="s">
        <v>243</v>
      </c>
      <c r="F1722" s="3" t="s">
        <v>244</v>
      </c>
      <c r="G1722" s="3" t="s">
        <v>110</v>
      </c>
      <c r="H1722" s="2" t="s">
        <v>55</v>
      </c>
      <c r="I1722" s="2" t="s">
        <v>5076</v>
      </c>
      <c r="J1722" s="3" t="str">
        <f>HYPERLINK("https://www.boe.es/gazeta/dias/1809/02/17/pdfs/GGB-G-1809-8.pdf#page=6","Abrir facsímil")</f>
        <v>Abrir facsímil</v>
      </c>
      <c r="K1722" s="3" t="s">
        <v>57</v>
      </c>
    </row>
    <row r="1723" spans="1:11" ht="42" customHeight="1">
      <c r="A1723" s="2" t="s">
        <v>5077</v>
      </c>
      <c r="B1723" s="2" t="s">
        <v>5078</v>
      </c>
      <c r="C1723" s="2" t="s">
        <v>25</v>
      </c>
      <c r="D1723" s="2" t="s">
        <v>18</v>
      </c>
      <c r="E1723" s="3" t="s">
        <v>621</v>
      </c>
      <c r="F1723" s="3" t="s">
        <v>622</v>
      </c>
      <c r="G1723" s="3" t="s">
        <v>595</v>
      </c>
      <c r="H1723" s="2" t="s">
        <v>55</v>
      </c>
      <c r="I1723" s="2" t="s">
        <v>5079</v>
      </c>
      <c r="J1723" s="3" t="str">
        <f>HYPERLINK("https://www.boe.es/gazeta/dias/1809/07/04/pdfs/GGB-1809-42.pdf#page=7","Abrir facsímil")</f>
        <v>Abrir facsímil</v>
      </c>
      <c r="K1723" s="3" t="s">
        <v>57</v>
      </c>
    </row>
    <row r="1724" spans="1:11" ht="42" customHeight="1">
      <c r="A1724" s="2" t="s">
        <v>5080</v>
      </c>
      <c r="B1724" s="2" t="s">
        <v>5080</v>
      </c>
      <c r="C1724" s="2" t="s">
        <v>369</v>
      </c>
      <c r="D1724" s="2" t="s">
        <v>72</v>
      </c>
      <c r="E1724" s="3" t="s">
        <v>904</v>
      </c>
      <c r="F1724" s="3" t="s">
        <v>2324</v>
      </c>
      <c r="G1724" s="3" t="s">
        <v>120</v>
      </c>
      <c r="H1724" s="2" t="s">
        <v>55</v>
      </c>
      <c r="I1724" s="2" t="s">
        <v>5081</v>
      </c>
      <c r="J1724" s="3" t="str">
        <f>HYPERLINK("https://www.boe.es/gazeta/dias/1809/07/07/pdfs/GGB-G-1809-43.pdf#page=4","Abrir facsímil")</f>
        <v>Abrir facsímil</v>
      </c>
      <c r="K1724" s="3" t="s">
        <v>57</v>
      </c>
    </row>
    <row r="1725" spans="1:11" ht="42" customHeight="1">
      <c r="A1725" s="2" t="s">
        <v>5082</v>
      </c>
      <c r="B1725" s="2" t="s">
        <v>5082</v>
      </c>
      <c r="C1725" s="2" t="s">
        <v>25</v>
      </c>
      <c r="D1725" s="2" t="s">
        <v>18</v>
      </c>
      <c r="E1725" s="3" t="s">
        <v>27</v>
      </c>
      <c r="F1725" s="3" t="s">
        <v>254</v>
      </c>
      <c r="G1725" s="3" t="s">
        <v>255</v>
      </c>
      <c r="H1725" s="2" t="s">
        <v>55</v>
      </c>
      <c r="I1725" s="2" t="s">
        <v>5083</v>
      </c>
      <c r="J1725" s="3" t="str">
        <f>HYPERLINK("https://www.boe.es/gazeta/dias/1809/05/12/pdfs/GGB-1809-26.pdf#page=12","Abrir facsímil")</f>
        <v>Abrir facsímil</v>
      </c>
      <c r="K1725" s="3" t="s">
        <v>57</v>
      </c>
    </row>
    <row r="1726" spans="1:11" ht="42" customHeight="1">
      <c r="A1726" s="2" t="s">
        <v>5082</v>
      </c>
      <c r="B1726" s="2" t="s">
        <v>5082</v>
      </c>
      <c r="C1726" s="2" t="s">
        <v>17</v>
      </c>
      <c r="D1726" s="2" t="s">
        <v>18</v>
      </c>
      <c r="E1726" s="3" t="s">
        <v>211</v>
      </c>
      <c r="F1726" s="3" t="s">
        <v>212</v>
      </c>
      <c r="G1726" s="3" t="s">
        <v>467</v>
      </c>
      <c r="H1726" s="2" t="s">
        <v>55</v>
      </c>
      <c r="I1726" s="2" t="s">
        <v>5084</v>
      </c>
      <c r="J1726" s="3" t="str">
        <f>HYPERLINK("https://www.boe.es/gazeta/dias/1809/10/27/pdfs/GMD-1809-301.pdf#page=2","Abrir facsímil")</f>
        <v>Abrir facsímil</v>
      </c>
      <c r="K1726" s="3" t="s">
        <v>57</v>
      </c>
    </row>
    <row r="1727" spans="1:11" ht="42" customHeight="1">
      <c r="A1727" s="2" t="s">
        <v>5082</v>
      </c>
      <c r="B1727" s="2" t="s">
        <v>5082</v>
      </c>
      <c r="C1727" s="2" t="s">
        <v>25</v>
      </c>
      <c r="D1727" s="2" t="s">
        <v>18</v>
      </c>
      <c r="E1727" s="3" t="s">
        <v>211</v>
      </c>
      <c r="F1727" s="3" t="s">
        <v>212</v>
      </c>
      <c r="G1727" s="3" t="s">
        <v>29</v>
      </c>
      <c r="H1727" s="2" t="s">
        <v>55</v>
      </c>
      <c r="I1727" s="2" t="s">
        <v>5085</v>
      </c>
      <c r="J1727" s="3" t="str">
        <f>HYPERLINK("https://www.boe.es/gazeta/dias/1809/10/27/pdfs/GMD-1809-301.pdf#page=3","Abrir facsímil")</f>
        <v>Abrir facsímil</v>
      </c>
      <c r="K1727" s="3" t="s">
        <v>57</v>
      </c>
    </row>
    <row r="1728" spans="1:11" ht="42" customHeight="1">
      <c r="A1728" s="2" t="s">
        <v>5082</v>
      </c>
      <c r="B1728" s="2" t="s">
        <v>5082</v>
      </c>
      <c r="C1728" s="2" t="s">
        <v>25</v>
      </c>
      <c r="D1728" s="2" t="s">
        <v>26</v>
      </c>
      <c r="E1728" s="3" t="s">
        <v>216</v>
      </c>
      <c r="F1728" s="3" t="s">
        <v>217</v>
      </c>
      <c r="G1728" s="3" t="s">
        <v>270</v>
      </c>
      <c r="H1728" s="2" t="s">
        <v>55</v>
      </c>
      <c r="I1728" s="2" t="s">
        <v>5086</v>
      </c>
      <c r="J1728" s="3" t="str">
        <f>HYPERLINK("https://www.boe.es/gazeta/dias/1809/12/05/pdfs/GGB-H-1809-542.pdf#page=3","Abrir facsímil")</f>
        <v>Abrir facsímil</v>
      </c>
      <c r="K1728" s="3" t="s">
        <v>57</v>
      </c>
    </row>
    <row r="1729" spans="1:11" ht="42" customHeight="1">
      <c r="A1729" s="2" t="s">
        <v>5087</v>
      </c>
      <c r="B1729" s="2" t="s">
        <v>5088</v>
      </c>
      <c r="C1729" s="2" t="s">
        <v>25</v>
      </c>
      <c r="D1729" s="2" t="s">
        <v>26</v>
      </c>
      <c r="E1729" s="3" t="s">
        <v>294</v>
      </c>
      <c r="F1729" s="3" t="s">
        <v>1360</v>
      </c>
      <c r="G1729" s="3" t="s">
        <v>605</v>
      </c>
      <c r="H1729" s="2" t="s">
        <v>55</v>
      </c>
      <c r="I1729" s="2" t="s">
        <v>5089</v>
      </c>
      <c r="J1729" s="3" t="str">
        <f>HYPERLINK("https://www.boe.es/gazeta/dias/1809/09/30/pdfs/GGB-1809-262.pdf#page=8","Abrir facsímil")</f>
        <v>Abrir facsímil</v>
      </c>
      <c r="K1729" s="3" t="s">
        <v>57</v>
      </c>
    </row>
    <row r="1730" spans="1:11" ht="42" customHeight="1">
      <c r="A1730" s="2" t="s">
        <v>5090</v>
      </c>
      <c r="B1730" s="2" t="s">
        <v>5090</v>
      </c>
      <c r="C1730" s="2" t="s">
        <v>17</v>
      </c>
      <c r="D1730" s="2" t="s">
        <v>40</v>
      </c>
      <c r="E1730" s="3" t="s">
        <v>1581</v>
      </c>
      <c r="F1730" s="3" t="s">
        <v>1582</v>
      </c>
      <c r="G1730" s="3" t="s">
        <v>75</v>
      </c>
      <c r="H1730" s="2" t="s">
        <v>55</v>
      </c>
      <c r="I1730" s="2" t="s">
        <v>5091</v>
      </c>
      <c r="J1730" s="3" t="str">
        <f>HYPERLINK("https://www.boe.es/gazeta/dias/1809/05/30/pdfs/GMD-1809-150.pdf#page=4","Abrir facsímil")</f>
        <v>Abrir facsímil</v>
      </c>
      <c r="K1730" s="3" t="s">
        <v>57</v>
      </c>
    </row>
    <row r="1731" spans="1:11" ht="42" customHeight="1">
      <c r="A1731" s="2" t="s">
        <v>5092</v>
      </c>
      <c r="B1731" s="2" t="s">
        <v>5093</v>
      </c>
      <c r="C1731" s="2" t="s">
        <v>39</v>
      </c>
      <c r="D1731" s="2" t="s">
        <v>18</v>
      </c>
      <c r="E1731" s="3" t="s">
        <v>712</v>
      </c>
      <c r="F1731" s="3" t="s">
        <v>713</v>
      </c>
      <c r="G1731" s="3" t="s">
        <v>120</v>
      </c>
      <c r="H1731" s="2" t="s">
        <v>55</v>
      </c>
      <c r="I1731" s="2" t="s">
        <v>5094</v>
      </c>
      <c r="J1731" s="3" t="str">
        <f>HYPERLINK("https://www.boe.es/gazeta/dias/1809/09/10/pdfs/GMD-1809-254.pdf#page=2","Abrir facsímil")</f>
        <v>Abrir facsímil</v>
      </c>
      <c r="K1731" s="3" t="s">
        <v>57</v>
      </c>
    </row>
    <row r="1732" spans="1:11" ht="42" customHeight="1">
      <c r="A1732" s="2" t="s">
        <v>5095</v>
      </c>
      <c r="B1732" s="2" t="s">
        <v>5095</v>
      </c>
      <c r="C1732" s="2" t="s">
        <v>25</v>
      </c>
      <c r="D1732" s="2" t="s">
        <v>26</v>
      </c>
      <c r="E1732" s="3" t="s">
        <v>1786</v>
      </c>
      <c r="F1732" s="3" t="s">
        <v>2296</v>
      </c>
      <c r="G1732" s="3" t="s">
        <v>89</v>
      </c>
      <c r="H1732" s="2" t="s">
        <v>55</v>
      </c>
      <c r="I1732" s="2" t="s">
        <v>5096</v>
      </c>
      <c r="J1732" s="3" t="str">
        <f>HYPERLINK("https://www.boe.es/gazeta/dias/1809/08/24/pdfs/GGB-1809-102.pdf#page=1","Abrir facsímil")</f>
        <v>Abrir facsímil</v>
      </c>
      <c r="K1732" s="3" t="s">
        <v>57</v>
      </c>
    </row>
    <row r="1733" spans="1:11" ht="42" customHeight="1">
      <c r="A1733" s="2" t="s">
        <v>5097</v>
      </c>
      <c r="B1733" s="2" t="s">
        <v>5098</v>
      </c>
      <c r="C1733" s="2" t="s">
        <v>131</v>
      </c>
      <c r="D1733" s="2" t="s">
        <v>18</v>
      </c>
      <c r="E1733" s="3" t="s">
        <v>87</v>
      </c>
      <c r="F1733" s="3" t="s">
        <v>88</v>
      </c>
      <c r="G1733" s="3" t="s">
        <v>89</v>
      </c>
      <c r="H1733" s="2" t="s">
        <v>55</v>
      </c>
      <c r="I1733" s="2" t="s">
        <v>5099</v>
      </c>
      <c r="J1733" s="3" t="str">
        <f>HYPERLINK("https://www.boe.es/gazeta/dias/1809/02/15/pdfs/GMD-1809-46.pdf#page=1","Abrir facsímil")</f>
        <v>Abrir facsímil</v>
      </c>
      <c r="K1733" s="3" t="s">
        <v>57</v>
      </c>
    </row>
    <row r="1734" spans="1:11" ht="42" customHeight="1">
      <c r="A1734" s="2" t="s">
        <v>5100</v>
      </c>
      <c r="B1734" s="2" t="s">
        <v>5101</v>
      </c>
      <c r="C1734" s="2" t="s">
        <v>17</v>
      </c>
      <c r="D1734" s="2" t="s">
        <v>18</v>
      </c>
      <c r="E1734" s="3" t="s">
        <v>33</v>
      </c>
      <c r="F1734" s="3" t="s">
        <v>34</v>
      </c>
      <c r="G1734" s="3" t="s">
        <v>493</v>
      </c>
      <c r="H1734" s="2" t="s">
        <v>55</v>
      </c>
      <c r="I1734" s="2" t="s">
        <v>5102</v>
      </c>
      <c r="J1734" s="3" t="str">
        <f>HYPERLINK("https://www.boe.es/gazeta/dias/1809/12/19/pdfs/GGB-1809-602.pdf#page=6","Abrir facsímil")</f>
        <v>Abrir facsímil</v>
      </c>
      <c r="K1734" s="3" t="s">
        <v>57</v>
      </c>
    </row>
    <row r="1735" spans="1:11" ht="42" customHeight="1">
      <c r="A1735" s="2" t="s">
        <v>5103</v>
      </c>
      <c r="B1735" s="2" t="s">
        <v>5104</v>
      </c>
      <c r="C1735" s="2" t="s">
        <v>39</v>
      </c>
      <c r="D1735" s="2" t="s">
        <v>72</v>
      </c>
      <c r="E1735" s="3" t="s">
        <v>2599</v>
      </c>
      <c r="F1735" s="3" t="s">
        <v>3377</v>
      </c>
      <c r="G1735" s="3" t="s">
        <v>2422</v>
      </c>
      <c r="H1735" s="2" t="s">
        <v>55</v>
      </c>
      <c r="I1735" s="2" t="s">
        <v>5105</v>
      </c>
      <c r="J1735" s="3" t="str">
        <f>HYPERLINK("https://www.boe.es/gazeta/dias/1809/05/11/pdfs/GMD-E-1809-131.pdf#page=1","Abrir facsímil")</f>
        <v>Abrir facsímil</v>
      </c>
      <c r="K1735" s="3" t="s">
        <v>57</v>
      </c>
    </row>
    <row r="1736" spans="1:11" ht="42" customHeight="1">
      <c r="A1736" s="2" t="s">
        <v>5106</v>
      </c>
      <c r="B1736" s="2" t="s">
        <v>5106</v>
      </c>
      <c r="C1736" s="2" t="s">
        <v>17</v>
      </c>
      <c r="D1736" s="2" t="s">
        <v>18</v>
      </c>
      <c r="E1736" s="3" t="s">
        <v>2643</v>
      </c>
      <c r="F1736" s="3" t="s">
        <v>2644</v>
      </c>
      <c r="G1736" s="3" t="s">
        <v>2232</v>
      </c>
      <c r="H1736" s="2" t="s">
        <v>55</v>
      </c>
      <c r="I1736" s="2" t="s">
        <v>5107</v>
      </c>
      <c r="J1736" s="3" t="str">
        <f>HYPERLINK("https://www.boe.es/gazeta/dias/1809/09/29/pdfs/GMD-1809-273.pdf#page=2","Abrir facsímil")</f>
        <v>Abrir facsímil</v>
      </c>
      <c r="K1736" s="3" t="s">
        <v>57</v>
      </c>
    </row>
    <row r="1737" spans="1:11" ht="42" customHeight="1">
      <c r="A1737" s="2" t="s">
        <v>5108</v>
      </c>
      <c r="B1737" s="2" t="s">
        <v>5109</v>
      </c>
      <c r="C1737" s="2" t="s">
        <v>47</v>
      </c>
      <c r="D1737" s="2" t="s">
        <v>72</v>
      </c>
      <c r="E1737" s="3" t="s">
        <v>207</v>
      </c>
      <c r="F1737" s="3" t="s">
        <v>3953</v>
      </c>
      <c r="G1737" s="3" t="s">
        <v>5110</v>
      </c>
      <c r="H1737" s="2" t="s">
        <v>55</v>
      </c>
      <c r="I1737" s="2" t="s">
        <v>5111</v>
      </c>
      <c r="J1737" s="3" t="str">
        <f>HYPERLINK("https://www.boe.es/gazeta/dias/1809/09/16/pdfs/GGB-H-1809-202.pdf#page=1","Abrir facsímil")</f>
        <v>Abrir facsímil</v>
      </c>
      <c r="K1737" s="3" t="s">
        <v>57</v>
      </c>
    </row>
    <row r="1738" spans="1:11" ht="42" customHeight="1">
      <c r="A1738" s="2" t="s">
        <v>5108</v>
      </c>
      <c r="B1738" s="2" t="s">
        <v>5109</v>
      </c>
      <c r="C1738" s="2" t="s">
        <v>39</v>
      </c>
      <c r="D1738" s="2" t="s">
        <v>18</v>
      </c>
      <c r="E1738" s="3" t="s">
        <v>48</v>
      </c>
      <c r="F1738" s="3" t="s">
        <v>1718</v>
      </c>
      <c r="G1738" s="3" t="s">
        <v>4005</v>
      </c>
      <c r="H1738" s="2" t="s">
        <v>55</v>
      </c>
      <c r="I1738" s="2" t="s">
        <v>5112</v>
      </c>
      <c r="J1738" s="3" t="str">
        <f>HYPERLINK("https://www.boe.es/gazeta/dias/1809/10/03/pdfs/GGB-1809-272.pdf#page=7","Abrir facsímil")</f>
        <v>Abrir facsímil</v>
      </c>
      <c r="K1738" s="3" t="s">
        <v>57</v>
      </c>
    </row>
    <row r="1739" spans="1:11" ht="42" customHeight="1">
      <c r="A1739" s="2" t="s">
        <v>5108</v>
      </c>
      <c r="B1739" s="2" t="s">
        <v>5109</v>
      </c>
      <c r="C1739" s="2" t="s">
        <v>39</v>
      </c>
      <c r="D1739" s="2" t="s">
        <v>40</v>
      </c>
      <c r="E1739" s="3" t="s">
        <v>1132</v>
      </c>
      <c r="F1739" s="3" t="s">
        <v>1133</v>
      </c>
      <c r="G1739" s="3" t="s">
        <v>1367</v>
      </c>
      <c r="H1739" s="2" t="s">
        <v>55</v>
      </c>
      <c r="I1739" s="2" t="s">
        <v>5113</v>
      </c>
      <c r="J1739" s="3" t="str">
        <f>HYPERLINK("https://www.boe.es/gazeta/dias/1809/11/11/pdfs/GGB-1809-442.pdf#page=8","Abrir facsímil")</f>
        <v>Abrir facsímil</v>
      </c>
      <c r="K1739" s="3" t="s">
        <v>57</v>
      </c>
    </row>
    <row r="1740" spans="1:11" ht="42" customHeight="1">
      <c r="A1740" s="2" t="s">
        <v>5114</v>
      </c>
      <c r="B1740" s="2" t="s">
        <v>5115</v>
      </c>
      <c r="C1740" s="2" t="s">
        <v>47</v>
      </c>
      <c r="D1740" s="2" t="s">
        <v>18</v>
      </c>
      <c r="E1740" s="3" t="s">
        <v>3258</v>
      </c>
      <c r="F1740" s="3" t="s">
        <v>3529</v>
      </c>
      <c r="G1740" s="3" t="s">
        <v>75</v>
      </c>
      <c r="H1740" s="2" t="s">
        <v>55</v>
      </c>
      <c r="I1740" s="2" t="s">
        <v>5116</v>
      </c>
      <c r="J1740" s="3" t="str">
        <f>HYPERLINK("https://www.boe.es/gazeta/dias/1809/04/03/pdfs/GGB-1809-14B.pdf#page=8","Abrir facsímil")</f>
        <v>Abrir facsímil</v>
      </c>
      <c r="K1740" s="3" t="s">
        <v>57</v>
      </c>
    </row>
    <row r="1741" spans="1:11" ht="42" customHeight="1">
      <c r="A1741" s="2" t="s">
        <v>5117</v>
      </c>
      <c r="B1741" s="2" t="s">
        <v>5118</v>
      </c>
      <c r="C1741" s="2" t="s">
        <v>131</v>
      </c>
      <c r="D1741" s="2" t="s">
        <v>18</v>
      </c>
      <c r="E1741" s="3" t="s">
        <v>294</v>
      </c>
      <c r="F1741" s="3" t="s">
        <v>1360</v>
      </c>
      <c r="G1741" s="3" t="s">
        <v>623</v>
      </c>
      <c r="H1741" s="2" t="s">
        <v>55</v>
      </c>
      <c r="I1741" s="2" t="s">
        <v>5119</v>
      </c>
      <c r="J1741" s="3" t="str">
        <f>HYPERLINK("https://www.boe.es/gazeta/dias/1809/09/30/pdfs/GGB-1809-262.pdf#page=6","Abrir facsímil")</f>
        <v>Abrir facsímil</v>
      </c>
      <c r="K1741" s="3" t="s">
        <v>57</v>
      </c>
    </row>
    <row r="1742" spans="1:11" ht="42" customHeight="1">
      <c r="A1742" s="2" t="s">
        <v>5120</v>
      </c>
      <c r="B1742" s="2" t="s">
        <v>5120</v>
      </c>
      <c r="C1742" s="2" t="s">
        <v>25</v>
      </c>
      <c r="D1742" s="2" t="s">
        <v>26</v>
      </c>
      <c r="E1742" s="3" t="s">
        <v>857</v>
      </c>
      <c r="F1742" s="3" t="s">
        <v>4692</v>
      </c>
      <c r="G1742" s="3" t="s">
        <v>1452</v>
      </c>
      <c r="H1742" s="2" t="s">
        <v>55</v>
      </c>
      <c r="I1742" s="2" t="s">
        <v>5121</v>
      </c>
      <c r="J1742" s="3" t="str">
        <f>HYPERLINK("https://www.boe.es/gazeta/dias/1809/05/01/pdfs/GMD-1809-121.pdf#page=1","Abrir facsímil")</f>
        <v>Abrir facsímil</v>
      </c>
      <c r="K1742" s="3" t="s">
        <v>57</v>
      </c>
    </row>
    <row r="1743" spans="1:11" ht="42" customHeight="1">
      <c r="A1743" s="2" t="s">
        <v>5120</v>
      </c>
      <c r="B1743" s="2" t="s">
        <v>5120</v>
      </c>
      <c r="C1743" s="2" t="s">
        <v>25</v>
      </c>
      <c r="D1743" s="2" t="s">
        <v>26</v>
      </c>
      <c r="E1743" s="3" t="s">
        <v>1352</v>
      </c>
      <c r="F1743" s="3" t="s">
        <v>1353</v>
      </c>
      <c r="G1743" s="3" t="s">
        <v>3808</v>
      </c>
      <c r="H1743" s="2" t="s">
        <v>55</v>
      </c>
      <c r="I1743" s="2" t="s">
        <v>5122</v>
      </c>
      <c r="J1743" s="3" t="str">
        <f>HYPERLINK("https://www.boe.es/gazeta/dias/1809/05/27/pdfs/GMD-1809-147.pdf#page=1","Abrir facsímil")</f>
        <v>Abrir facsímil</v>
      </c>
      <c r="K1743" s="3" t="s">
        <v>57</v>
      </c>
    </row>
    <row r="1744" spans="1:11" ht="42" customHeight="1">
      <c r="A1744" s="2" t="s">
        <v>5120</v>
      </c>
      <c r="B1744" s="2" t="s">
        <v>5120</v>
      </c>
      <c r="C1744" s="2" t="s">
        <v>131</v>
      </c>
      <c r="D1744" s="2" t="s">
        <v>26</v>
      </c>
      <c r="E1744" s="3" t="s">
        <v>1343</v>
      </c>
      <c r="F1744" s="3" t="s">
        <v>1344</v>
      </c>
      <c r="G1744" s="3" t="s">
        <v>5012</v>
      </c>
      <c r="H1744" s="2" t="s">
        <v>55</v>
      </c>
      <c r="I1744" s="2" t="s">
        <v>5123</v>
      </c>
      <c r="J1744" s="3" t="str">
        <f>HYPERLINK("https://www.boe.es/gazeta/dias/1809/07/24/pdfs/GMD-1809-205.pdf#page=1","Abrir facsímil")</f>
        <v>Abrir facsímil</v>
      </c>
      <c r="K1744" s="3" t="s">
        <v>57</v>
      </c>
    </row>
    <row r="1745" spans="1:11" ht="42" customHeight="1">
      <c r="A1745" s="2" t="s">
        <v>5120</v>
      </c>
      <c r="B1745" s="2" t="s">
        <v>5120</v>
      </c>
      <c r="C1745" s="2" t="s">
        <v>25</v>
      </c>
      <c r="D1745" s="2" t="s">
        <v>26</v>
      </c>
      <c r="E1745" s="3" t="s">
        <v>2705</v>
      </c>
      <c r="F1745" s="3" t="s">
        <v>3622</v>
      </c>
      <c r="G1745" s="3" t="s">
        <v>120</v>
      </c>
      <c r="H1745" s="2" t="s">
        <v>55</v>
      </c>
      <c r="I1745" s="2" t="s">
        <v>5124</v>
      </c>
      <c r="J1745" s="3" t="str">
        <f>HYPERLINK("https://www.boe.es/gazeta/dias/1809/08/05/pdfs/GGB-1809-22.pdf#page=1","Abrir facsímil")</f>
        <v>Abrir facsímil</v>
      </c>
      <c r="K1745" s="3" t="s">
        <v>57</v>
      </c>
    </row>
    <row r="1746" spans="1:11" ht="42" customHeight="1">
      <c r="A1746" s="2" t="s">
        <v>5125</v>
      </c>
      <c r="B1746" s="2" t="s">
        <v>5125</v>
      </c>
      <c r="C1746" s="2" t="s">
        <v>25</v>
      </c>
      <c r="D1746" s="2" t="s">
        <v>18</v>
      </c>
      <c r="E1746" s="3" t="s">
        <v>730</v>
      </c>
      <c r="F1746" s="3" t="s">
        <v>3423</v>
      </c>
      <c r="G1746" s="3" t="s">
        <v>110</v>
      </c>
      <c r="H1746" s="2" t="s">
        <v>55</v>
      </c>
      <c r="I1746" s="2" t="s">
        <v>5126</v>
      </c>
      <c r="J1746" s="3" t="str">
        <f>HYPERLINK("https://www.boe.es/gazeta/dias/1809/06/23/pdfs/GGB-1809-39.pdf#page=1","Abrir facsímil")</f>
        <v>Abrir facsímil</v>
      </c>
      <c r="K1746" s="3" t="s">
        <v>57</v>
      </c>
    </row>
    <row r="1747" spans="1:11" ht="42" customHeight="1">
      <c r="A1747" s="2" t="s">
        <v>5127</v>
      </c>
      <c r="B1747" s="2" t="s">
        <v>5127</v>
      </c>
      <c r="C1747" s="2" t="s">
        <v>25</v>
      </c>
      <c r="D1747" s="2" t="s">
        <v>26</v>
      </c>
      <c r="E1747" s="3" t="s">
        <v>4993</v>
      </c>
      <c r="F1747" s="3" t="s">
        <v>4994</v>
      </c>
      <c r="G1747" s="3" t="s">
        <v>62</v>
      </c>
      <c r="H1747" s="2" t="s">
        <v>55</v>
      </c>
      <c r="I1747" s="2" t="s">
        <v>5128</v>
      </c>
      <c r="J1747" s="3" t="str">
        <f>HYPERLINK("https://www.boe.es/gazeta/dias/1809/01/15/pdfs/GMD-1809-15.pdf#page=1","Abrir facsímil")</f>
        <v>Abrir facsímil</v>
      </c>
      <c r="K1747" s="3" t="s">
        <v>57</v>
      </c>
    </row>
    <row r="1748" spans="1:11" ht="42" customHeight="1">
      <c r="A1748" s="2" t="s">
        <v>5127</v>
      </c>
      <c r="B1748" s="2" t="s">
        <v>5127</v>
      </c>
      <c r="C1748" s="2" t="s">
        <v>25</v>
      </c>
      <c r="D1748" s="2" t="s">
        <v>26</v>
      </c>
      <c r="E1748" s="3" t="s">
        <v>347</v>
      </c>
      <c r="F1748" s="3" t="s">
        <v>348</v>
      </c>
      <c r="G1748" s="3" t="s">
        <v>129</v>
      </c>
      <c r="H1748" s="2" t="s">
        <v>55</v>
      </c>
      <c r="I1748" s="2" t="s">
        <v>5129</v>
      </c>
      <c r="J1748" s="3" t="str">
        <f>HYPERLINK("https://www.boe.es/gazeta/dias/1809/03/07/pdfs/GMD-1809-66.pdf#page=2","Abrir facsímil")</f>
        <v>Abrir facsímil</v>
      </c>
      <c r="K1748" s="3" t="s">
        <v>57</v>
      </c>
    </row>
    <row r="1749" spans="1:11" ht="42" customHeight="1">
      <c r="A1749" s="2" t="s">
        <v>5130</v>
      </c>
      <c r="B1749" s="2" t="s">
        <v>5130</v>
      </c>
      <c r="C1749" s="2" t="s">
        <v>17</v>
      </c>
      <c r="D1749" s="2" t="s">
        <v>18</v>
      </c>
      <c r="E1749" s="3" t="s">
        <v>1276</v>
      </c>
      <c r="F1749" s="3" t="s">
        <v>1277</v>
      </c>
      <c r="G1749" s="3" t="s">
        <v>154</v>
      </c>
      <c r="H1749" s="2" t="s">
        <v>55</v>
      </c>
      <c r="I1749" s="2" t="s">
        <v>5131</v>
      </c>
      <c r="J1749" s="3" t="str">
        <f>HYPERLINK("https://www.boe.es/gazeta/dias/1809/01/03/pdfs/GMS-1809-63.pdf#page=1","Abrir facsímil")</f>
        <v>Abrir facsímil</v>
      </c>
      <c r="K1749" s="3" t="s">
        <v>57</v>
      </c>
    </row>
    <row r="1750" spans="1:11" ht="42" customHeight="1">
      <c r="A1750" s="2" t="s">
        <v>5132</v>
      </c>
      <c r="B1750" s="2" t="s">
        <v>5132</v>
      </c>
      <c r="C1750" s="2" t="s">
        <v>25</v>
      </c>
      <c r="D1750" s="2" t="s">
        <v>18</v>
      </c>
      <c r="E1750" s="3" t="s">
        <v>381</v>
      </c>
      <c r="F1750" s="3" t="s">
        <v>382</v>
      </c>
      <c r="G1750" s="3" t="s">
        <v>62</v>
      </c>
      <c r="H1750" s="2" t="s">
        <v>55</v>
      </c>
      <c r="I1750" s="2" t="s">
        <v>5133</v>
      </c>
      <c r="J1750" s="3" t="str">
        <f>HYPERLINK("https://www.boe.es/gazeta/dias/1809/06/27/pdfs/GMD-1809-178.pdf#page=4","Abrir facsímil")</f>
        <v>Abrir facsímil</v>
      </c>
      <c r="K1750" s="3" t="s">
        <v>57</v>
      </c>
    </row>
    <row r="1751" spans="1:11" ht="42" customHeight="1">
      <c r="A1751" s="2" t="s">
        <v>5134</v>
      </c>
      <c r="B1751" s="2" t="s">
        <v>5134</v>
      </c>
      <c r="C1751" s="2" t="s">
        <v>47</v>
      </c>
      <c r="D1751" s="2" t="s">
        <v>18</v>
      </c>
      <c r="E1751" s="3" t="s">
        <v>1237</v>
      </c>
      <c r="F1751" s="3" t="s">
        <v>5135</v>
      </c>
      <c r="G1751" s="3" t="s">
        <v>75</v>
      </c>
      <c r="H1751" s="2" t="s">
        <v>55</v>
      </c>
      <c r="I1751" s="2" t="s">
        <v>5136</v>
      </c>
      <c r="J1751" s="3" t="str">
        <f>HYPERLINK("https://www.boe.es/gazeta/dias/1809/12/26/pdfs/GMD-1809-361.pdf#page=1","Abrir facsímil")</f>
        <v>Abrir facsímil</v>
      </c>
      <c r="K1751" s="3" t="s">
        <v>57</v>
      </c>
    </row>
    <row r="1752" spans="1:11" ht="42" customHeight="1">
      <c r="A1752" s="2" t="s">
        <v>5137</v>
      </c>
      <c r="B1752" s="2" t="s">
        <v>5137</v>
      </c>
      <c r="C1752" s="2" t="s">
        <v>25</v>
      </c>
      <c r="D1752" s="2" t="s">
        <v>107</v>
      </c>
      <c r="E1752" s="3" t="s">
        <v>152</v>
      </c>
      <c r="F1752" s="3" t="s">
        <v>153</v>
      </c>
      <c r="G1752" s="3" t="s">
        <v>234</v>
      </c>
      <c r="H1752" s="2" t="s">
        <v>55</v>
      </c>
      <c r="I1752" s="2" t="s">
        <v>5138</v>
      </c>
      <c r="J1752" s="3" t="str">
        <f>HYPERLINK("https://www.boe.es/gazeta/dias/1809/08/26/pdfs/GGB-1809-112.pdf#page=2","Abrir facsímil")</f>
        <v>Abrir facsímil</v>
      </c>
      <c r="K1752" s="3" t="s">
        <v>57</v>
      </c>
    </row>
    <row r="1753" spans="1:11" ht="42" customHeight="1">
      <c r="A1753" s="2" t="s">
        <v>5139</v>
      </c>
      <c r="B1753" s="2" t="s">
        <v>5139</v>
      </c>
      <c r="C1753" s="2" t="s">
        <v>25</v>
      </c>
      <c r="D1753" s="2" t="s">
        <v>26</v>
      </c>
      <c r="E1753" s="3" t="s">
        <v>5140</v>
      </c>
      <c r="F1753" s="3" t="s">
        <v>5141</v>
      </c>
      <c r="G1753" s="3" t="s">
        <v>5142</v>
      </c>
      <c r="H1753" s="2" t="s">
        <v>55</v>
      </c>
      <c r="I1753" s="2" t="s">
        <v>5143</v>
      </c>
      <c r="J1753" s="3" t="str">
        <f>HYPERLINK("https://www.boe.es/gazeta/dias/1809/07/16/pdfs/GMD-1809-197.pdf#page=2","Abrir facsímil")</f>
        <v>Abrir facsímil</v>
      </c>
      <c r="K1753" s="3" t="s">
        <v>57</v>
      </c>
    </row>
    <row r="1754" spans="1:11" ht="42" customHeight="1">
      <c r="A1754" s="2" t="s">
        <v>5144</v>
      </c>
      <c r="B1754" s="2" t="s">
        <v>5144</v>
      </c>
      <c r="C1754" s="2" t="s">
        <v>25</v>
      </c>
      <c r="D1754" s="2" t="s">
        <v>107</v>
      </c>
      <c r="E1754" s="3" t="s">
        <v>5145</v>
      </c>
      <c r="F1754" s="3" t="s">
        <v>5146</v>
      </c>
      <c r="G1754" s="3" t="s">
        <v>239</v>
      </c>
      <c r="H1754" s="2" t="s">
        <v>55</v>
      </c>
      <c r="I1754" s="2" t="s">
        <v>5147</v>
      </c>
      <c r="J1754" s="3" t="str">
        <f>HYPERLINK("https://www.boe.es/gazeta/dias/1809/06/22/pdfs/GMD-1809-173.pdf#page=2","Abrir facsímil")</f>
        <v>Abrir facsímil</v>
      </c>
      <c r="K1754" s="3" t="s">
        <v>57</v>
      </c>
    </row>
    <row r="1755" spans="1:11" ht="42" customHeight="1">
      <c r="A1755" s="2" t="s">
        <v>5144</v>
      </c>
      <c r="B1755" s="2" t="s">
        <v>5144</v>
      </c>
      <c r="C1755" s="2" t="s">
        <v>25</v>
      </c>
      <c r="D1755" s="2" t="s">
        <v>18</v>
      </c>
      <c r="E1755" s="3" t="s">
        <v>2742</v>
      </c>
      <c r="F1755" s="3" t="s">
        <v>2743</v>
      </c>
      <c r="G1755" s="3" t="s">
        <v>4184</v>
      </c>
      <c r="H1755" s="2" t="s">
        <v>55</v>
      </c>
      <c r="I1755" s="2" t="s">
        <v>5148</v>
      </c>
      <c r="J1755" s="3" t="str">
        <f>HYPERLINK("https://www.boe.es/gazeta/dias/1809/06/24/pdfs/GMD-1809-175.pdf#page=3","Abrir facsímil")</f>
        <v>Abrir facsímil</v>
      </c>
      <c r="K1755" s="3" t="s">
        <v>57</v>
      </c>
    </row>
    <row r="1756" spans="1:11" ht="42" customHeight="1">
      <c r="A1756" s="2" t="s">
        <v>5144</v>
      </c>
      <c r="B1756" s="2" t="s">
        <v>5144</v>
      </c>
      <c r="C1756" s="2" t="s">
        <v>25</v>
      </c>
      <c r="D1756" s="2" t="s">
        <v>18</v>
      </c>
      <c r="E1756" s="3" t="s">
        <v>381</v>
      </c>
      <c r="F1756" s="3" t="s">
        <v>382</v>
      </c>
      <c r="G1756" s="3" t="s">
        <v>62</v>
      </c>
      <c r="H1756" s="2" t="s">
        <v>55</v>
      </c>
      <c r="I1756" s="2" t="s">
        <v>5149</v>
      </c>
      <c r="J1756" s="3" t="str">
        <f>HYPERLINK("https://www.boe.es/gazeta/dias/1809/06/27/pdfs/GMD-1809-178.pdf#page=4","Abrir facsímil")</f>
        <v>Abrir facsímil</v>
      </c>
      <c r="K1756" s="3" t="s">
        <v>57</v>
      </c>
    </row>
    <row r="1757" spans="1:11" ht="42" customHeight="1">
      <c r="A1757" s="2" t="s">
        <v>5144</v>
      </c>
      <c r="B1757" s="2" t="s">
        <v>5144</v>
      </c>
      <c r="C1757" s="2" t="s">
        <v>25</v>
      </c>
      <c r="D1757" s="2" t="s">
        <v>26</v>
      </c>
      <c r="E1757" s="3" t="s">
        <v>248</v>
      </c>
      <c r="F1757" s="3" t="s">
        <v>2399</v>
      </c>
      <c r="G1757" s="3" t="s">
        <v>141</v>
      </c>
      <c r="H1757" s="2" t="s">
        <v>55</v>
      </c>
      <c r="I1757" s="2" t="s">
        <v>5150</v>
      </c>
      <c r="J1757" s="3" t="str">
        <f>HYPERLINK("https://www.boe.es/gazeta/dias/1809/07/26/pdfs/GMD-1809-207.pdf#page=2","Abrir facsímil")</f>
        <v>Abrir facsímil</v>
      </c>
      <c r="K1757" s="3" t="s">
        <v>57</v>
      </c>
    </row>
    <row r="1758" spans="1:11" ht="42" customHeight="1">
      <c r="A1758" s="2" t="s">
        <v>5144</v>
      </c>
      <c r="B1758" s="2" t="s">
        <v>5144</v>
      </c>
      <c r="C1758" s="2" t="s">
        <v>131</v>
      </c>
      <c r="D1758" s="2" t="s">
        <v>40</v>
      </c>
      <c r="E1758" s="3" t="s">
        <v>237</v>
      </c>
      <c r="F1758" s="3" t="s">
        <v>238</v>
      </c>
      <c r="G1758" s="3" t="s">
        <v>239</v>
      </c>
      <c r="H1758" s="2" t="s">
        <v>55</v>
      </c>
      <c r="I1758" s="2" t="s">
        <v>5151</v>
      </c>
      <c r="J1758" s="3" t="str">
        <f>HYPERLINK("https://www.boe.es/gazeta/dias/1809/07/30/pdfs/GMD-1809-212.pdf#page=1","Abrir facsímil")</f>
        <v>Abrir facsímil</v>
      </c>
      <c r="K1758" s="3" t="s">
        <v>57</v>
      </c>
    </row>
    <row r="1759" spans="1:11" ht="42" customHeight="1">
      <c r="A1759" s="2" t="s">
        <v>5152</v>
      </c>
      <c r="B1759" s="2" t="s">
        <v>5153</v>
      </c>
      <c r="C1759" s="2" t="s">
        <v>25</v>
      </c>
      <c r="D1759" s="2" t="s">
        <v>80</v>
      </c>
      <c r="E1759" s="3" t="s">
        <v>1700</v>
      </c>
      <c r="F1759" s="3" t="s">
        <v>1701</v>
      </c>
      <c r="G1759" s="3" t="s">
        <v>1702</v>
      </c>
      <c r="H1759" s="2" t="s">
        <v>55</v>
      </c>
      <c r="I1759" s="2" t="s">
        <v>5154</v>
      </c>
      <c r="J1759" s="3" t="str">
        <f>HYPERLINK("https://www.boe.es/gazeta/dias/1809/01/16/pdfs/GGB-1809-3E.pdf#page=6","Abrir facsímil")</f>
        <v>Abrir facsímil</v>
      </c>
      <c r="K1759" s="3" t="s">
        <v>57</v>
      </c>
    </row>
    <row r="1760" spans="1:11" ht="42" customHeight="1">
      <c r="A1760" s="2" t="s">
        <v>5155</v>
      </c>
      <c r="B1760" s="2" t="s">
        <v>5155</v>
      </c>
      <c r="C1760" s="2" t="s">
        <v>25</v>
      </c>
      <c r="D1760" s="2" t="s">
        <v>26</v>
      </c>
      <c r="E1760" s="3" t="s">
        <v>211</v>
      </c>
      <c r="F1760" s="3" t="s">
        <v>212</v>
      </c>
      <c r="G1760" s="3" t="s">
        <v>467</v>
      </c>
      <c r="H1760" s="2" t="s">
        <v>55</v>
      </c>
      <c r="I1760" s="2" t="s">
        <v>5156</v>
      </c>
      <c r="J1760" s="3" t="str">
        <f>HYPERLINK("https://www.boe.es/gazeta/dias/1809/10/27/pdfs/GMD-1809-301.pdf#page=2","Abrir facsímil")</f>
        <v>Abrir facsímil</v>
      </c>
      <c r="K1760" s="3" t="s">
        <v>57</v>
      </c>
    </row>
    <row r="1761" spans="1:11" ht="42" customHeight="1">
      <c r="A1761" s="2" t="s">
        <v>5157</v>
      </c>
      <c r="B1761" s="2" t="s">
        <v>5157</v>
      </c>
      <c r="C1761" s="2" t="s">
        <v>25</v>
      </c>
      <c r="D1761" s="2" t="s">
        <v>26</v>
      </c>
      <c r="E1761" s="3" t="s">
        <v>211</v>
      </c>
      <c r="F1761" s="3" t="s">
        <v>212</v>
      </c>
      <c r="G1761" s="3" t="s">
        <v>467</v>
      </c>
      <c r="H1761" s="2" t="s">
        <v>55</v>
      </c>
      <c r="I1761" s="2" t="s">
        <v>5158</v>
      </c>
      <c r="J1761" s="3" t="str">
        <f>HYPERLINK("https://www.boe.es/gazeta/dias/1809/10/27/pdfs/GMD-1809-301.pdf#page=2","Abrir facsímil")</f>
        <v>Abrir facsímil</v>
      </c>
      <c r="K1761" s="3" t="s">
        <v>57</v>
      </c>
    </row>
    <row r="1762" spans="1:11" ht="42" customHeight="1">
      <c r="A1762" s="2" t="s">
        <v>5157</v>
      </c>
      <c r="B1762" s="2" t="s">
        <v>5157</v>
      </c>
      <c r="C1762" s="2" t="s">
        <v>25</v>
      </c>
      <c r="D1762" s="2" t="s">
        <v>18</v>
      </c>
      <c r="E1762" s="3" t="s">
        <v>211</v>
      </c>
      <c r="F1762" s="3" t="s">
        <v>212</v>
      </c>
      <c r="G1762" s="3" t="s">
        <v>213</v>
      </c>
      <c r="H1762" s="2" t="s">
        <v>55</v>
      </c>
      <c r="I1762" s="2" t="s">
        <v>5159</v>
      </c>
      <c r="J1762" s="3" t="str">
        <f>HYPERLINK("https://www.boe.es/gazeta/dias/1809/10/27/pdfs/GMD-1809-301.pdf#page=4","Abrir facsímil")</f>
        <v>Abrir facsímil</v>
      </c>
      <c r="K1762" s="3" t="s">
        <v>57</v>
      </c>
    </row>
    <row r="1763" spans="1:11" ht="42" customHeight="1">
      <c r="A1763" s="2" t="s">
        <v>5157</v>
      </c>
      <c r="B1763" s="2" t="s">
        <v>5157</v>
      </c>
      <c r="C1763" s="2" t="s">
        <v>25</v>
      </c>
      <c r="D1763" s="2" t="s">
        <v>26</v>
      </c>
      <c r="E1763" s="3" t="s">
        <v>216</v>
      </c>
      <c r="F1763" s="3" t="s">
        <v>217</v>
      </c>
      <c r="G1763" s="3" t="s">
        <v>75</v>
      </c>
      <c r="H1763" s="2" t="s">
        <v>55</v>
      </c>
      <c r="I1763" s="2" t="s">
        <v>5160</v>
      </c>
      <c r="J1763" s="3" t="str">
        <f>HYPERLINK("https://www.boe.es/gazeta/dias/1809/12/05/pdfs/GGB-H-1809-542.pdf#page=2","Abrir facsímil")</f>
        <v>Abrir facsímil</v>
      </c>
      <c r="K1763" s="3" t="s">
        <v>57</v>
      </c>
    </row>
    <row r="1764" spans="1:11" ht="42" customHeight="1">
      <c r="A1764" s="2" t="s">
        <v>5157</v>
      </c>
      <c r="B1764" s="2" t="s">
        <v>5157</v>
      </c>
      <c r="C1764" s="2" t="s">
        <v>25</v>
      </c>
      <c r="D1764" s="2" t="s">
        <v>26</v>
      </c>
      <c r="E1764" s="3" t="s">
        <v>216</v>
      </c>
      <c r="F1764" s="3" t="s">
        <v>217</v>
      </c>
      <c r="G1764" s="3" t="s">
        <v>94</v>
      </c>
      <c r="H1764" s="2" t="s">
        <v>55</v>
      </c>
      <c r="I1764" s="2" t="s">
        <v>5161</v>
      </c>
      <c r="J1764" s="3" t="str">
        <f>HYPERLINK("https://www.boe.es/gazeta/dias/1809/12/05/pdfs/GGB-H-1809-542.pdf#page=5","Abrir facsímil")</f>
        <v>Abrir facsímil</v>
      </c>
      <c r="K1764" s="3" t="s">
        <v>57</v>
      </c>
    </row>
    <row r="1765" spans="1:11" ht="42" customHeight="1">
      <c r="A1765" s="2" t="s">
        <v>5157</v>
      </c>
      <c r="B1765" s="2" t="s">
        <v>5157</v>
      </c>
      <c r="C1765" s="2" t="s">
        <v>25</v>
      </c>
      <c r="D1765" s="2" t="s">
        <v>26</v>
      </c>
      <c r="E1765" s="3" t="s">
        <v>216</v>
      </c>
      <c r="F1765" s="3" t="s">
        <v>217</v>
      </c>
      <c r="G1765" s="3" t="s">
        <v>218</v>
      </c>
      <c r="H1765" s="2" t="s">
        <v>55</v>
      </c>
      <c r="I1765" s="2" t="s">
        <v>5162</v>
      </c>
      <c r="J1765" s="3" t="str">
        <f>HYPERLINK("https://www.boe.es/gazeta/dias/1809/12/05/pdfs/GGB-H-1809-542.pdf#page=6","Abrir facsímil")</f>
        <v>Abrir facsímil</v>
      </c>
      <c r="K1765" s="3" t="s">
        <v>57</v>
      </c>
    </row>
    <row r="1766" spans="1:11" ht="42" customHeight="1">
      <c r="A1766" s="2" t="s">
        <v>5157</v>
      </c>
      <c r="B1766" s="2" t="s">
        <v>5157</v>
      </c>
      <c r="C1766" s="2" t="s">
        <v>25</v>
      </c>
      <c r="D1766" s="2" t="s">
        <v>18</v>
      </c>
      <c r="E1766" s="3" t="s">
        <v>223</v>
      </c>
      <c r="F1766" s="3" t="s">
        <v>224</v>
      </c>
      <c r="G1766" s="3" t="s">
        <v>225</v>
      </c>
      <c r="H1766" s="2" t="s">
        <v>55</v>
      </c>
      <c r="I1766" s="2" t="s">
        <v>5163</v>
      </c>
      <c r="J1766" s="3" t="str">
        <f>HYPERLINK("https://www.boe.es/gazeta/dias/1809/12/17/pdfs/GMD-1809-352.pdf#page=4","Abrir facsímil")</f>
        <v>Abrir facsímil</v>
      </c>
      <c r="K1766" s="3" t="s">
        <v>57</v>
      </c>
    </row>
    <row r="1767" spans="1:11" ht="42" customHeight="1">
      <c r="A1767" s="2" t="s">
        <v>5164</v>
      </c>
      <c r="B1767" s="2" t="s">
        <v>5164</v>
      </c>
      <c r="C1767" s="2" t="s">
        <v>17</v>
      </c>
      <c r="D1767" s="2" t="s">
        <v>18</v>
      </c>
      <c r="E1767" s="3" t="s">
        <v>1282</v>
      </c>
      <c r="F1767" s="3" t="s">
        <v>1743</v>
      </c>
      <c r="G1767" s="3" t="s">
        <v>1801</v>
      </c>
      <c r="H1767" s="2" t="s">
        <v>55</v>
      </c>
      <c r="I1767" s="2" t="s">
        <v>5165</v>
      </c>
      <c r="J1767" s="3" t="str">
        <f>HYPERLINK("https://www.boe.es/gazeta/dias/1809/06/26/pdfs/GMD-1809-177.pdf#page=4","Abrir facsímil")</f>
        <v>Abrir facsímil</v>
      </c>
      <c r="K1767" s="3" t="s">
        <v>57</v>
      </c>
    </row>
    <row r="1768" spans="1:11" ht="42" customHeight="1">
      <c r="A1768" s="2" t="s">
        <v>5166</v>
      </c>
      <c r="B1768" s="2" t="s">
        <v>5167</v>
      </c>
      <c r="C1768" s="2" t="s">
        <v>17</v>
      </c>
      <c r="D1768" s="2" t="s">
        <v>18</v>
      </c>
      <c r="E1768" s="3" t="s">
        <v>523</v>
      </c>
      <c r="F1768" s="3" t="s">
        <v>524</v>
      </c>
      <c r="G1768" s="3" t="s">
        <v>5168</v>
      </c>
      <c r="H1768" s="2" t="s">
        <v>55</v>
      </c>
      <c r="I1768" s="2" t="s">
        <v>5169</v>
      </c>
      <c r="J1768" s="3" t="str">
        <f>HYPERLINK("https://www.boe.es/gazeta/dias/1809/02/14/pdfs/GMD-1809-45.pdf#page=3","Abrir facsímil")</f>
        <v>Abrir facsímil</v>
      </c>
      <c r="K1768" s="3" t="s">
        <v>57</v>
      </c>
    </row>
    <row r="1769" spans="1:11" ht="42" customHeight="1">
      <c r="A1769" s="2" t="s">
        <v>5170</v>
      </c>
      <c r="B1769" s="2" t="s">
        <v>5171</v>
      </c>
      <c r="C1769" s="2" t="s">
        <v>17</v>
      </c>
      <c r="D1769" s="2" t="s">
        <v>18</v>
      </c>
      <c r="E1769" s="3" t="s">
        <v>5172</v>
      </c>
      <c r="F1769" s="3" t="s">
        <v>5173</v>
      </c>
      <c r="G1769" s="3" t="s">
        <v>5174</v>
      </c>
      <c r="H1769" s="2" t="s">
        <v>55</v>
      </c>
      <c r="I1769" s="2" t="s">
        <v>5175</v>
      </c>
      <c r="J1769" s="3" t="str">
        <f>HYPERLINK("https://www.boe.es/gazeta/dias/1809/03/06/pdfs/GMD-1809-65.pdf#page=4","Abrir facsímil")</f>
        <v>Abrir facsímil</v>
      </c>
      <c r="K1769" s="3" t="s">
        <v>57</v>
      </c>
    </row>
    <row r="1770" spans="1:11" ht="42" customHeight="1">
      <c r="A1770" s="2" t="s">
        <v>5176</v>
      </c>
      <c r="B1770" s="2" t="s">
        <v>5177</v>
      </c>
      <c r="C1770" s="2" t="s">
        <v>17</v>
      </c>
      <c r="D1770" s="2" t="s">
        <v>72</v>
      </c>
      <c r="E1770" s="3" t="s">
        <v>243</v>
      </c>
      <c r="F1770" s="3" t="s">
        <v>244</v>
      </c>
      <c r="G1770" s="3" t="s">
        <v>525</v>
      </c>
      <c r="H1770" s="2" t="s">
        <v>55</v>
      </c>
      <c r="I1770" s="2" t="s">
        <v>5178</v>
      </c>
      <c r="J1770" s="3" t="str">
        <f>HYPERLINK("https://www.boe.es/gazeta/dias/1809/02/17/pdfs/GGB-G-1809-8.pdf#page=4","Abrir facsímil")</f>
        <v>Abrir facsímil</v>
      </c>
      <c r="K1770" s="3" t="s">
        <v>57</v>
      </c>
    </row>
    <row r="1771" spans="1:11" ht="42" customHeight="1">
      <c r="A1771" s="2" t="s">
        <v>5176</v>
      </c>
      <c r="B1771" s="2" t="s">
        <v>5177</v>
      </c>
      <c r="C1771" s="2" t="s">
        <v>369</v>
      </c>
      <c r="D1771" s="2" t="s">
        <v>18</v>
      </c>
      <c r="E1771" s="3" t="s">
        <v>2976</v>
      </c>
      <c r="F1771" s="3" t="s">
        <v>2977</v>
      </c>
      <c r="G1771" s="3" t="s">
        <v>62</v>
      </c>
      <c r="H1771" s="2" t="s">
        <v>55</v>
      </c>
      <c r="I1771" s="2" t="s">
        <v>5179</v>
      </c>
      <c r="J1771" s="3" t="str">
        <f>HYPERLINK("https://www.boe.es/gazeta/dias/1809/05/05/pdfs/GGB-1809-24.pdf#page=7","Abrir facsímil")</f>
        <v>Abrir facsímil</v>
      </c>
      <c r="K1771" s="3" t="s">
        <v>57</v>
      </c>
    </row>
    <row r="1772" spans="1:11" ht="42" customHeight="1">
      <c r="A1772" s="2" t="s">
        <v>5180</v>
      </c>
      <c r="B1772" s="2" t="s">
        <v>5181</v>
      </c>
      <c r="C1772" s="2" t="s">
        <v>17</v>
      </c>
      <c r="D1772" s="2" t="s">
        <v>72</v>
      </c>
      <c r="E1772" s="3" t="s">
        <v>243</v>
      </c>
      <c r="F1772" s="3" t="s">
        <v>244</v>
      </c>
      <c r="G1772" s="3" t="s">
        <v>525</v>
      </c>
      <c r="H1772" s="2" t="s">
        <v>55</v>
      </c>
      <c r="I1772" s="2" t="s">
        <v>5182</v>
      </c>
      <c r="J1772" s="3" t="str">
        <f>HYPERLINK("https://www.boe.es/gazeta/dias/1809/02/17/pdfs/GGB-G-1809-8.pdf#page=4","Abrir facsímil")</f>
        <v>Abrir facsímil</v>
      </c>
      <c r="K1772" s="3" t="s">
        <v>57</v>
      </c>
    </row>
    <row r="1773" spans="1:11" ht="42" customHeight="1">
      <c r="A1773" s="2" t="s">
        <v>5183</v>
      </c>
      <c r="B1773" s="2" t="s">
        <v>5184</v>
      </c>
      <c r="C1773" s="2" t="s">
        <v>17</v>
      </c>
      <c r="D1773" s="2" t="s">
        <v>72</v>
      </c>
      <c r="E1773" s="3" t="s">
        <v>243</v>
      </c>
      <c r="F1773" s="3" t="s">
        <v>244</v>
      </c>
      <c r="G1773" s="3" t="s">
        <v>110</v>
      </c>
      <c r="H1773" s="2" t="s">
        <v>55</v>
      </c>
      <c r="I1773" s="2" t="s">
        <v>5185</v>
      </c>
      <c r="J1773" s="3" t="str">
        <f>HYPERLINK("https://www.boe.es/gazeta/dias/1809/02/17/pdfs/GGB-G-1809-8.pdf#page=5","Abrir facsímil")</f>
        <v>Abrir facsímil</v>
      </c>
      <c r="K1773" s="3" t="s">
        <v>57</v>
      </c>
    </row>
    <row r="1774" spans="1:11" ht="42" customHeight="1">
      <c r="A1774" s="2" t="s">
        <v>5186</v>
      </c>
      <c r="B1774" s="2" t="s">
        <v>5187</v>
      </c>
      <c r="C1774" s="2" t="s">
        <v>131</v>
      </c>
      <c r="D1774" s="2" t="s">
        <v>26</v>
      </c>
      <c r="E1774" s="3" t="s">
        <v>377</v>
      </c>
      <c r="F1774" s="3" t="s">
        <v>378</v>
      </c>
      <c r="G1774" s="3" t="s">
        <v>110</v>
      </c>
      <c r="H1774" s="2" t="s">
        <v>55</v>
      </c>
      <c r="I1774" s="2" t="s">
        <v>5188</v>
      </c>
      <c r="J1774" s="3" t="str">
        <f>HYPERLINK("https://www.boe.es/gazeta/dias/1809/03/19/pdfs/GMD-1809-78.pdf#page=4","Abrir facsímil")</f>
        <v>Abrir facsímil</v>
      </c>
      <c r="K1774" s="3" t="s">
        <v>57</v>
      </c>
    </row>
    <row r="1775" spans="1:11" ht="42" customHeight="1">
      <c r="A1775" s="2" t="s">
        <v>5189</v>
      </c>
      <c r="B1775" s="2" t="s">
        <v>5190</v>
      </c>
      <c r="C1775" s="2" t="s">
        <v>17</v>
      </c>
      <c r="D1775" s="2" t="s">
        <v>18</v>
      </c>
      <c r="E1775" s="3" t="s">
        <v>449</v>
      </c>
      <c r="F1775" s="3" t="s">
        <v>450</v>
      </c>
      <c r="G1775" s="3" t="s">
        <v>154</v>
      </c>
      <c r="H1775" s="2" t="s">
        <v>55</v>
      </c>
      <c r="I1775" s="2" t="s">
        <v>5191</v>
      </c>
      <c r="J1775" s="3" t="str">
        <f>HYPERLINK("https://www.boe.es/gazeta/dias/1809/10/10/pdfs/GGB-1809-302.pdf#page=6","Abrir facsímil")</f>
        <v>Abrir facsímil</v>
      </c>
      <c r="K1775" s="3" t="s">
        <v>57</v>
      </c>
    </row>
    <row r="1776" spans="1:11" ht="42" customHeight="1">
      <c r="A1776" s="2" t="s">
        <v>5192</v>
      </c>
      <c r="B1776" s="2" t="s">
        <v>5192</v>
      </c>
      <c r="C1776" s="2" t="s">
        <v>25</v>
      </c>
      <c r="D1776" s="2" t="s">
        <v>80</v>
      </c>
      <c r="E1776" s="3" t="s">
        <v>755</v>
      </c>
      <c r="F1776" s="3" t="s">
        <v>2335</v>
      </c>
      <c r="G1776" s="3" t="s">
        <v>234</v>
      </c>
      <c r="H1776" s="2" t="s">
        <v>55</v>
      </c>
      <c r="I1776" s="2" t="s">
        <v>5193</v>
      </c>
      <c r="J1776" s="3" t="str">
        <f>HYPERLINK("https://www.boe.es/gazeta/dias/1809/05/20/pdfs/GGB-1809-29E2.pdf#page=1","Abrir facsímil")</f>
        <v>Abrir facsímil</v>
      </c>
      <c r="K1776" s="3" t="s">
        <v>57</v>
      </c>
    </row>
    <row r="1777" spans="1:11" ht="42" customHeight="1">
      <c r="A1777" s="2" t="s">
        <v>5192</v>
      </c>
      <c r="B1777" s="2" t="s">
        <v>5192</v>
      </c>
      <c r="C1777" s="2" t="s">
        <v>25</v>
      </c>
      <c r="D1777" s="2" t="s">
        <v>26</v>
      </c>
      <c r="E1777" s="3" t="s">
        <v>381</v>
      </c>
      <c r="F1777" s="3" t="s">
        <v>382</v>
      </c>
      <c r="G1777" s="3" t="s">
        <v>5194</v>
      </c>
      <c r="H1777" s="2" t="s">
        <v>55</v>
      </c>
      <c r="I1777" s="2" t="s">
        <v>5195</v>
      </c>
      <c r="J1777" s="3" t="str">
        <f>HYPERLINK("https://www.boe.es/gazeta/dias/1809/06/27/pdfs/GMD-1809-178.pdf#page=3","Abrir facsímil")</f>
        <v>Abrir facsímil</v>
      </c>
      <c r="K1777" s="3" t="s">
        <v>57</v>
      </c>
    </row>
    <row r="1778" spans="1:11" ht="42" customHeight="1">
      <c r="A1778" s="2" t="s">
        <v>5192</v>
      </c>
      <c r="B1778" s="2" t="s">
        <v>5192</v>
      </c>
      <c r="C1778" s="2" t="s">
        <v>25</v>
      </c>
      <c r="D1778" s="2" t="s">
        <v>107</v>
      </c>
      <c r="E1778" s="3" t="s">
        <v>3714</v>
      </c>
      <c r="F1778" s="3" t="s">
        <v>3715</v>
      </c>
      <c r="G1778" s="3" t="s">
        <v>5196</v>
      </c>
      <c r="H1778" s="2" t="s">
        <v>55</v>
      </c>
      <c r="I1778" s="2" t="s">
        <v>5197</v>
      </c>
      <c r="J1778" s="3" t="str">
        <f>HYPERLINK("https://www.boe.es/gazeta/dias/1809/12/07/pdfs/GMD-1809-342.pdf#page=3","Abrir facsímil")</f>
        <v>Abrir facsímil</v>
      </c>
      <c r="K1778" s="3" t="s">
        <v>57</v>
      </c>
    </row>
    <row r="1779" spans="1:11" ht="42" customHeight="1">
      <c r="A1779" s="2" t="s">
        <v>5192</v>
      </c>
      <c r="B1779" s="2" t="s">
        <v>5192</v>
      </c>
      <c r="C1779" s="2" t="s">
        <v>25</v>
      </c>
      <c r="D1779" s="2" t="s">
        <v>18</v>
      </c>
      <c r="E1779" s="3" t="s">
        <v>66</v>
      </c>
      <c r="F1779" s="3" t="s">
        <v>793</v>
      </c>
      <c r="G1779" s="3" t="s">
        <v>1436</v>
      </c>
      <c r="H1779" s="2" t="s">
        <v>55</v>
      </c>
      <c r="I1779" s="2" t="s">
        <v>5198</v>
      </c>
      <c r="J1779" s="3" t="str">
        <f>HYPERLINK("https://www.boe.es/gazeta/dias/1809/12/30/pdfs/GMD-1809-365.pdf#page=2","Abrir facsímil")</f>
        <v>Abrir facsímil</v>
      </c>
      <c r="K1779" s="3" t="s">
        <v>57</v>
      </c>
    </row>
    <row r="1780" spans="1:11" ht="42" customHeight="1">
      <c r="A1780" s="2" t="s">
        <v>5199</v>
      </c>
      <c r="B1780" s="2" t="s">
        <v>5200</v>
      </c>
      <c r="C1780" s="2" t="s">
        <v>17</v>
      </c>
      <c r="D1780" s="2" t="s">
        <v>40</v>
      </c>
      <c r="E1780" s="3" t="s">
        <v>1343</v>
      </c>
      <c r="F1780" s="3" t="s">
        <v>1344</v>
      </c>
      <c r="G1780" s="3" t="s">
        <v>270</v>
      </c>
      <c r="H1780" s="2" t="s">
        <v>55</v>
      </c>
      <c r="I1780" s="2" t="s">
        <v>5201</v>
      </c>
      <c r="J1780" s="3" t="str">
        <f>HYPERLINK("https://www.boe.es/gazeta/dias/1809/07/24/pdfs/GMD-1809-205.pdf#page=7","Abrir facsímil")</f>
        <v>Abrir facsímil</v>
      </c>
      <c r="K1780" s="3" t="s">
        <v>57</v>
      </c>
    </row>
    <row r="1781" spans="1:11" ht="42" customHeight="1">
      <c r="A1781" s="2" t="s">
        <v>5202</v>
      </c>
      <c r="B1781" s="2" t="s">
        <v>5202</v>
      </c>
      <c r="C1781" s="2" t="s">
        <v>25</v>
      </c>
      <c r="D1781" s="2" t="s">
        <v>107</v>
      </c>
      <c r="E1781" s="3" t="s">
        <v>1555</v>
      </c>
      <c r="F1781" s="3" t="s">
        <v>1556</v>
      </c>
      <c r="G1781" s="3" t="s">
        <v>29</v>
      </c>
      <c r="H1781" s="2" t="s">
        <v>55</v>
      </c>
      <c r="I1781" s="2" t="s">
        <v>5203</v>
      </c>
      <c r="J1781" s="3" t="str">
        <f>HYPERLINK("https://www.boe.es/gazeta/dias/1809/06/29/pdfs/GMD-1809-180.pdf#page=3","Abrir facsímil")</f>
        <v>Abrir facsímil</v>
      </c>
      <c r="K1781" s="3" t="s">
        <v>57</v>
      </c>
    </row>
    <row r="1782" spans="1:11" ht="42" customHeight="1">
      <c r="A1782" s="2" t="s">
        <v>5204</v>
      </c>
      <c r="B1782" s="2" t="s">
        <v>5204</v>
      </c>
      <c r="C1782" s="2" t="s">
        <v>25</v>
      </c>
      <c r="D1782" s="2" t="s">
        <v>26</v>
      </c>
      <c r="E1782" s="3" t="s">
        <v>118</v>
      </c>
      <c r="F1782" s="3" t="s">
        <v>819</v>
      </c>
      <c r="G1782" s="3" t="s">
        <v>826</v>
      </c>
      <c r="H1782" s="2" t="s">
        <v>55</v>
      </c>
      <c r="I1782" s="2" t="s">
        <v>5205</v>
      </c>
      <c r="J1782" s="3" t="str">
        <f>HYPERLINK("https://www.boe.es/gazeta/dias/1809/09/07/pdfs/GGB-H-1809-162.pdf#page=4","Abrir facsímil")</f>
        <v>Abrir facsímil</v>
      </c>
      <c r="K1782" s="3" t="s">
        <v>57</v>
      </c>
    </row>
    <row r="1783" spans="1:11" ht="42" customHeight="1">
      <c r="A1783" s="2" t="s">
        <v>5206</v>
      </c>
      <c r="B1783" s="2" t="s">
        <v>5207</v>
      </c>
      <c r="C1783" s="2" t="s">
        <v>25</v>
      </c>
      <c r="D1783" s="2" t="s">
        <v>26</v>
      </c>
      <c r="E1783" s="3" t="s">
        <v>73</v>
      </c>
      <c r="F1783" s="3" t="s">
        <v>822</v>
      </c>
      <c r="G1783" s="3" t="s">
        <v>823</v>
      </c>
      <c r="H1783" s="2" t="s">
        <v>22</v>
      </c>
      <c r="I1783" s="2" t="s">
        <v>5208</v>
      </c>
      <c r="J1783" s="3" t="str">
        <f>HYPERLINK("https://www.boe.es/gazeta/dias/1809/09/21/pdfs/GGB-1809-222.pdf#page=4","Abrir facsímil")</f>
        <v>Abrir facsímil</v>
      </c>
      <c r="K1783" s="3" t="s">
        <v>24</v>
      </c>
    </row>
    <row r="1784" spans="1:11" ht="42" customHeight="1">
      <c r="A1784" s="2" t="s">
        <v>5209</v>
      </c>
      <c r="B1784" s="2" t="s">
        <v>5209</v>
      </c>
      <c r="C1784" s="2" t="s">
        <v>25</v>
      </c>
      <c r="D1784" s="2" t="s">
        <v>18</v>
      </c>
      <c r="E1784" s="3" t="s">
        <v>27</v>
      </c>
      <c r="F1784" s="3" t="s">
        <v>254</v>
      </c>
      <c r="G1784" s="3" t="s">
        <v>595</v>
      </c>
      <c r="H1784" s="2" t="s">
        <v>55</v>
      </c>
      <c r="I1784" s="2" t="s">
        <v>5210</v>
      </c>
      <c r="J1784" s="3" t="str">
        <f>HYPERLINK("https://www.boe.es/gazeta/dias/1809/05/12/pdfs/GGB-1809-26.pdf#page=7","Abrir facsímil")</f>
        <v>Abrir facsímil</v>
      </c>
      <c r="K1784" s="3" t="s">
        <v>57</v>
      </c>
    </row>
    <row r="1785" spans="1:11" ht="42" customHeight="1">
      <c r="A1785" s="2" t="s">
        <v>5211</v>
      </c>
      <c r="B1785" s="2" t="s">
        <v>5212</v>
      </c>
      <c r="C1785" s="2" t="s">
        <v>25</v>
      </c>
      <c r="D1785" s="2" t="s">
        <v>26</v>
      </c>
      <c r="E1785" s="3" t="s">
        <v>258</v>
      </c>
      <c r="F1785" s="3" t="s">
        <v>910</v>
      </c>
      <c r="G1785" s="3" t="s">
        <v>75</v>
      </c>
      <c r="H1785" s="2" t="s">
        <v>55</v>
      </c>
      <c r="I1785" s="2" t="s">
        <v>5213</v>
      </c>
      <c r="J1785" s="3" t="str">
        <f>HYPERLINK("https://www.boe.es/gazeta/dias/1809/03/17/pdfs/GGB-1809-12.pdf#page=6","Abrir facsímil")</f>
        <v>Abrir facsímil</v>
      </c>
      <c r="K1785" s="3" t="s">
        <v>57</v>
      </c>
    </row>
    <row r="1786" spans="1:11" ht="42" customHeight="1">
      <c r="A1786" s="2" t="s">
        <v>5214</v>
      </c>
      <c r="B1786" s="2" t="s">
        <v>5214</v>
      </c>
      <c r="C1786" s="2" t="s">
        <v>25</v>
      </c>
      <c r="D1786" s="2" t="s">
        <v>26</v>
      </c>
      <c r="E1786" s="3" t="s">
        <v>1608</v>
      </c>
      <c r="F1786" s="3" t="s">
        <v>2350</v>
      </c>
      <c r="G1786" s="3" t="s">
        <v>21</v>
      </c>
      <c r="H1786" s="2" t="s">
        <v>55</v>
      </c>
      <c r="I1786" s="2" t="s">
        <v>5215</v>
      </c>
      <c r="J1786" s="3" t="str">
        <f>HYPERLINK("https://www.boe.es/gazeta/dias/1809/04/15/pdfs/GMD-1809-105.pdf#page=2","Abrir facsímil")</f>
        <v>Abrir facsímil</v>
      </c>
      <c r="K1786" s="3" t="s">
        <v>57</v>
      </c>
    </row>
    <row r="1787" spans="1:11" ht="42" customHeight="1">
      <c r="A1787" s="2" t="s">
        <v>5216</v>
      </c>
      <c r="B1787" s="2" t="s">
        <v>5216</v>
      </c>
      <c r="C1787" s="2" t="s">
        <v>25</v>
      </c>
      <c r="D1787" s="2" t="s">
        <v>18</v>
      </c>
      <c r="E1787" s="3" t="s">
        <v>429</v>
      </c>
      <c r="F1787" s="3" t="s">
        <v>1544</v>
      </c>
      <c r="G1787" s="3" t="s">
        <v>1516</v>
      </c>
      <c r="H1787" s="2" t="s">
        <v>55</v>
      </c>
      <c r="I1787" s="2" t="s">
        <v>5217</v>
      </c>
      <c r="J1787" s="3" t="str">
        <f>HYPERLINK("https://www.boe.es/gazeta/dias/1809/06/09/pdfs/GMD-1809-160.pdf#page=3","Abrir facsímil")</f>
        <v>Abrir facsímil</v>
      </c>
      <c r="K1787" s="3" t="s">
        <v>57</v>
      </c>
    </row>
    <row r="1788" spans="1:11" ht="42" customHeight="1">
      <c r="A1788" s="2" t="s">
        <v>5218</v>
      </c>
      <c r="B1788" s="2" t="s">
        <v>5219</v>
      </c>
      <c r="C1788" s="2" t="s">
        <v>17</v>
      </c>
      <c r="D1788" s="2" t="s">
        <v>72</v>
      </c>
      <c r="E1788" s="3" t="s">
        <v>53</v>
      </c>
      <c r="F1788" s="3" t="s">
        <v>1456</v>
      </c>
      <c r="G1788" s="3" t="s">
        <v>120</v>
      </c>
      <c r="H1788" s="2" t="s">
        <v>55</v>
      </c>
      <c r="I1788" s="2" t="s">
        <v>5220</v>
      </c>
      <c r="J1788" s="3" t="str">
        <f>HYPERLINK("https://www.boe.es/gazeta/dias/1809/03/03/pdfs/GGB-G-1809-10.pdf#page=5","Abrir facsímil")</f>
        <v>Abrir facsímil</v>
      </c>
      <c r="K1788" s="3" t="s">
        <v>57</v>
      </c>
    </row>
    <row r="1789" spans="1:11" ht="42" customHeight="1">
      <c r="A1789" s="2" t="s">
        <v>5221</v>
      </c>
      <c r="B1789" s="2" t="s">
        <v>5222</v>
      </c>
      <c r="C1789" s="2" t="s">
        <v>25</v>
      </c>
      <c r="D1789" s="2" t="s">
        <v>72</v>
      </c>
      <c r="E1789" s="3" t="s">
        <v>473</v>
      </c>
      <c r="F1789" s="3" t="s">
        <v>1199</v>
      </c>
      <c r="G1789" s="3" t="s">
        <v>75</v>
      </c>
      <c r="H1789" s="2" t="s">
        <v>55</v>
      </c>
      <c r="I1789" s="2" t="s">
        <v>5223</v>
      </c>
      <c r="J1789" s="3" t="str">
        <f>HYPERLINK("https://www.boe.es/gazeta/dias/1809/12/28/pdfs/GGB-H-1809-642.pdf#page=4","Abrir facsímil")</f>
        <v>Abrir facsímil</v>
      </c>
      <c r="K1789" s="3" t="s">
        <v>57</v>
      </c>
    </row>
    <row r="1790" spans="1:11" ht="42" customHeight="1">
      <c r="A1790" s="2" t="s">
        <v>5224</v>
      </c>
      <c r="B1790" s="2" t="s">
        <v>5224</v>
      </c>
      <c r="C1790" s="2" t="s">
        <v>25</v>
      </c>
      <c r="D1790" s="2" t="s">
        <v>18</v>
      </c>
      <c r="E1790" s="3" t="s">
        <v>289</v>
      </c>
      <c r="F1790" s="3" t="s">
        <v>3937</v>
      </c>
      <c r="G1790" s="3" t="s">
        <v>62</v>
      </c>
      <c r="H1790" s="2" t="s">
        <v>55</v>
      </c>
      <c r="I1790" s="2" t="s">
        <v>5225</v>
      </c>
      <c r="J1790" s="3" t="str">
        <f>HYPERLINK("https://www.boe.es/gazeta/dias/1809/05/15/pdfs/GGB-1809-27.pdf#page=8","Abrir facsímil")</f>
        <v>Abrir facsímil</v>
      </c>
      <c r="K1790" s="3" t="s">
        <v>57</v>
      </c>
    </row>
    <row r="1791" spans="1:11" ht="42" customHeight="1">
      <c r="A1791" s="2" t="s">
        <v>5224</v>
      </c>
      <c r="B1791" s="2" t="s">
        <v>5224</v>
      </c>
      <c r="C1791" s="2" t="s">
        <v>25</v>
      </c>
      <c r="D1791" s="2" t="s">
        <v>18</v>
      </c>
      <c r="E1791" s="3" t="s">
        <v>635</v>
      </c>
      <c r="F1791" s="3" t="s">
        <v>5226</v>
      </c>
      <c r="G1791" s="3" t="s">
        <v>816</v>
      </c>
      <c r="H1791" s="2" t="s">
        <v>55</v>
      </c>
      <c r="I1791" s="2" t="s">
        <v>5227</v>
      </c>
      <c r="J1791" s="3" t="str">
        <f>HYPERLINK("https://www.boe.es/gazeta/dias/1809/12/16/pdfs/GMD-1809-351.pdf#page=1","Abrir facsímil")</f>
        <v>Abrir facsímil</v>
      </c>
      <c r="K1791" s="3" t="s">
        <v>57</v>
      </c>
    </row>
    <row r="1792" spans="1:11" ht="42" customHeight="1">
      <c r="A1792" s="2" t="s">
        <v>5224</v>
      </c>
      <c r="B1792" s="2" t="s">
        <v>5224</v>
      </c>
      <c r="C1792" s="2" t="s">
        <v>25</v>
      </c>
      <c r="D1792" s="2" t="s">
        <v>26</v>
      </c>
      <c r="E1792" s="3" t="s">
        <v>223</v>
      </c>
      <c r="F1792" s="3" t="s">
        <v>224</v>
      </c>
      <c r="G1792" s="3" t="s">
        <v>426</v>
      </c>
      <c r="H1792" s="2" t="s">
        <v>55</v>
      </c>
      <c r="I1792" s="2" t="s">
        <v>5228</v>
      </c>
      <c r="J1792" s="3" t="str">
        <f>HYPERLINK("https://www.boe.es/gazeta/dias/1809/12/17/pdfs/GMD-1809-352.pdf#page=1","Abrir facsímil")</f>
        <v>Abrir facsímil</v>
      </c>
      <c r="K1792" s="3" t="s">
        <v>57</v>
      </c>
    </row>
    <row r="1793" spans="1:11" ht="42" customHeight="1">
      <c r="A1793" s="2" t="s">
        <v>5229</v>
      </c>
      <c r="B1793" s="2" t="s">
        <v>5229</v>
      </c>
      <c r="C1793" s="2" t="s">
        <v>25</v>
      </c>
      <c r="D1793" s="2" t="s">
        <v>18</v>
      </c>
      <c r="E1793" s="3" t="s">
        <v>1288</v>
      </c>
      <c r="F1793" s="3" t="s">
        <v>1289</v>
      </c>
      <c r="G1793" s="3" t="s">
        <v>5230</v>
      </c>
      <c r="H1793" s="2" t="s">
        <v>55</v>
      </c>
      <c r="I1793" s="2" t="s">
        <v>5231</v>
      </c>
      <c r="J1793" s="3" t="str">
        <f>HYPERLINK("https://www.boe.es/gazeta/dias/1809/07/28/pdfs/GGB-1809-49.pdf#page=5","Abrir facsímil")</f>
        <v>Abrir facsímil</v>
      </c>
      <c r="K1793" s="3" t="s">
        <v>57</v>
      </c>
    </row>
    <row r="1794" spans="1:11" ht="42" customHeight="1">
      <c r="A1794" s="2" t="s">
        <v>5232</v>
      </c>
      <c r="B1794" s="2" t="s">
        <v>5232</v>
      </c>
      <c r="C1794" s="2" t="s">
        <v>25</v>
      </c>
      <c r="D1794" s="2" t="s">
        <v>18</v>
      </c>
      <c r="E1794" s="3" t="s">
        <v>3521</v>
      </c>
      <c r="F1794" s="3" t="s">
        <v>3522</v>
      </c>
      <c r="G1794" s="3" t="s">
        <v>75</v>
      </c>
      <c r="H1794" s="2" t="s">
        <v>55</v>
      </c>
      <c r="I1794" s="2" t="s">
        <v>5233</v>
      </c>
      <c r="J1794" s="3" t="str">
        <f>HYPERLINK("https://www.boe.es/gazeta/dias/1809/02/24/pdfs/GGB-1809-9.pdf#page=8","Abrir facsímil")</f>
        <v>Abrir facsímil</v>
      </c>
      <c r="K1794" s="3" t="s">
        <v>57</v>
      </c>
    </row>
    <row r="1795" spans="1:11" ht="42" customHeight="1">
      <c r="A1795" s="2" t="s">
        <v>5234</v>
      </c>
      <c r="B1795" s="2" t="s">
        <v>5234</v>
      </c>
      <c r="C1795" s="2" t="s">
        <v>25</v>
      </c>
      <c r="D1795" s="2" t="s">
        <v>26</v>
      </c>
      <c r="E1795" s="3" t="s">
        <v>2331</v>
      </c>
      <c r="F1795" s="3" t="s">
        <v>2332</v>
      </c>
      <c r="G1795" s="3" t="s">
        <v>340</v>
      </c>
      <c r="H1795" s="2" t="s">
        <v>55</v>
      </c>
      <c r="I1795" s="2" t="s">
        <v>5235</v>
      </c>
      <c r="J1795" s="3" t="str">
        <f>HYPERLINK("https://www.boe.es/gazeta/dias/1809/03/22/pdfs/GMD-1809-81.pdf#page=2","Abrir facsímil")</f>
        <v>Abrir facsímil</v>
      </c>
      <c r="K1795" s="3" t="s">
        <v>57</v>
      </c>
    </row>
    <row r="1796" spans="1:11" ht="42" customHeight="1">
      <c r="A1796" s="2" t="s">
        <v>5236</v>
      </c>
      <c r="B1796" s="2" t="s">
        <v>5237</v>
      </c>
      <c r="C1796" s="2" t="s">
        <v>17</v>
      </c>
      <c r="D1796" s="2" t="s">
        <v>40</v>
      </c>
      <c r="E1796" s="3" t="s">
        <v>102</v>
      </c>
      <c r="F1796" s="3" t="s">
        <v>1095</v>
      </c>
      <c r="G1796" s="3" t="s">
        <v>75</v>
      </c>
      <c r="H1796" s="2" t="s">
        <v>55</v>
      </c>
      <c r="I1796" s="2" t="s">
        <v>5238</v>
      </c>
      <c r="J1796" s="3" t="str">
        <f>HYPERLINK("https://www.boe.es/gazeta/dias/1809/09/28/pdfs/GMD-1809-272.pdf#page=2","Abrir facsímil")</f>
        <v>Abrir facsímil</v>
      </c>
      <c r="K1796" s="3" t="s">
        <v>57</v>
      </c>
    </row>
    <row r="1797" spans="1:11" ht="42" customHeight="1">
      <c r="A1797" s="2" t="s">
        <v>5239</v>
      </c>
      <c r="B1797" s="2" t="s">
        <v>5239</v>
      </c>
      <c r="C1797" s="2" t="s">
        <v>25</v>
      </c>
      <c r="D1797" s="2" t="s">
        <v>26</v>
      </c>
      <c r="E1797" s="3" t="s">
        <v>118</v>
      </c>
      <c r="F1797" s="3" t="s">
        <v>119</v>
      </c>
      <c r="G1797" s="3" t="s">
        <v>129</v>
      </c>
      <c r="H1797" s="2" t="s">
        <v>55</v>
      </c>
      <c r="I1797" s="2" t="s">
        <v>5240</v>
      </c>
      <c r="J1797" s="3" t="str">
        <f>HYPERLINK("https://www.boe.es/gazeta/dias/1809/09/07/pdfs/GMD-1809-251.pdf#page=2","Abrir facsímil")</f>
        <v>Abrir facsímil</v>
      </c>
      <c r="K1797" s="3" t="s">
        <v>57</v>
      </c>
    </row>
    <row r="1798" spans="1:11" ht="42" customHeight="1">
      <c r="A1798" s="2" t="s">
        <v>5241</v>
      </c>
      <c r="B1798" s="2" t="s">
        <v>5241</v>
      </c>
      <c r="C1798" s="2" t="s">
        <v>25</v>
      </c>
      <c r="D1798" s="2" t="s">
        <v>26</v>
      </c>
      <c r="E1798" s="3" t="s">
        <v>776</v>
      </c>
      <c r="F1798" s="3" t="s">
        <v>1485</v>
      </c>
      <c r="G1798" s="3" t="s">
        <v>623</v>
      </c>
      <c r="H1798" s="2" t="s">
        <v>55</v>
      </c>
      <c r="I1798" s="2" t="s">
        <v>5242</v>
      </c>
      <c r="J1798" s="3" t="str">
        <f>HYPERLINK("https://www.boe.es/gazeta/dias/1809/05/28/pdfs/GGB-1809-31E2.pdf#page=6","Abrir facsímil")</f>
        <v>Abrir facsímil</v>
      </c>
      <c r="K1798" s="3" t="s">
        <v>57</v>
      </c>
    </row>
    <row r="1799" spans="1:11" ht="42" customHeight="1">
      <c r="A1799" s="2" t="s">
        <v>5243</v>
      </c>
      <c r="B1799" s="2" t="s">
        <v>5243</v>
      </c>
      <c r="C1799" s="2" t="s">
        <v>25</v>
      </c>
      <c r="D1799" s="2" t="s">
        <v>26</v>
      </c>
      <c r="E1799" s="3" t="s">
        <v>1123</v>
      </c>
      <c r="F1799" s="3" t="s">
        <v>1124</v>
      </c>
      <c r="G1799" s="3" t="s">
        <v>154</v>
      </c>
      <c r="H1799" s="2" t="s">
        <v>55</v>
      </c>
      <c r="I1799" s="2" t="s">
        <v>5244</v>
      </c>
      <c r="J1799" s="3" t="str">
        <f>HYPERLINK("https://www.boe.es/gazeta/dias/1809/01/08/pdfs/GMD-1809-8.pdf#page=8","Abrir facsímil")</f>
        <v>Abrir facsímil</v>
      </c>
      <c r="K1799" s="3" t="s">
        <v>57</v>
      </c>
    </row>
    <row r="1800" spans="1:11" ht="42" customHeight="1">
      <c r="A1800" s="2" t="s">
        <v>5243</v>
      </c>
      <c r="B1800" s="2" t="s">
        <v>5243</v>
      </c>
      <c r="C1800" s="2" t="s">
        <v>25</v>
      </c>
      <c r="D1800" s="2" t="s">
        <v>18</v>
      </c>
      <c r="E1800" s="3" t="s">
        <v>1616</v>
      </c>
      <c r="F1800" s="3" t="s">
        <v>2656</v>
      </c>
      <c r="G1800" s="3" t="s">
        <v>21</v>
      </c>
      <c r="H1800" s="2" t="s">
        <v>55</v>
      </c>
      <c r="I1800" s="2" t="s">
        <v>5245</v>
      </c>
      <c r="J1800" s="3" t="str">
        <f>HYPERLINK("https://www.boe.es/gazeta/dias/1809/01/14/pdfs/GMD-1809-14.pdf#page=3","Abrir facsímil")</f>
        <v>Abrir facsímil</v>
      </c>
      <c r="K1800" s="3" t="s">
        <v>57</v>
      </c>
    </row>
    <row r="1801" spans="1:11" ht="42" customHeight="1">
      <c r="A1801" s="2" t="s">
        <v>5246</v>
      </c>
      <c r="B1801" s="2" t="s">
        <v>5246</v>
      </c>
      <c r="C1801" s="2" t="s">
        <v>25</v>
      </c>
      <c r="D1801" s="2" t="s">
        <v>18</v>
      </c>
      <c r="E1801" s="3" t="s">
        <v>5247</v>
      </c>
      <c r="F1801" s="3" t="s">
        <v>5248</v>
      </c>
      <c r="G1801" s="3" t="s">
        <v>654</v>
      </c>
      <c r="H1801" s="2" t="s">
        <v>55</v>
      </c>
      <c r="I1801" s="2" t="s">
        <v>5249</v>
      </c>
      <c r="J1801" s="3" t="str">
        <f>HYPERLINK("https://www.boe.es/gazeta/dias/1809/01/25/pdfs/GMD-1809-25.pdf#page=2","Abrir facsímil")</f>
        <v>Abrir facsímil</v>
      </c>
      <c r="K1801" s="3" t="s">
        <v>57</v>
      </c>
    </row>
    <row r="1802" spans="1:11" ht="42" customHeight="1">
      <c r="A1802" s="2" t="s">
        <v>5243</v>
      </c>
      <c r="B1802" s="2" t="s">
        <v>5243</v>
      </c>
      <c r="C1802" s="2" t="s">
        <v>25</v>
      </c>
      <c r="D1802" s="2" t="s">
        <v>26</v>
      </c>
      <c r="E1802" s="3" t="s">
        <v>2818</v>
      </c>
      <c r="F1802" s="3" t="s">
        <v>2819</v>
      </c>
      <c r="G1802" s="3" t="s">
        <v>110</v>
      </c>
      <c r="H1802" s="2" t="s">
        <v>55</v>
      </c>
      <c r="I1802" s="2" t="s">
        <v>5250</v>
      </c>
      <c r="J1802" s="3" t="str">
        <f>HYPERLINK("https://www.boe.es/gazeta/dias/1809/02/03/pdfs/GMD-1809-34.pdf#page=3","Abrir facsímil")</f>
        <v>Abrir facsímil</v>
      </c>
      <c r="K1802" s="3" t="s">
        <v>57</v>
      </c>
    </row>
    <row r="1803" spans="1:11" ht="42" customHeight="1">
      <c r="A1803" s="2" t="s">
        <v>5243</v>
      </c>
      <c r="B1803" s="2" t="s">
        <v>5243</v>
      </c>
      <c r="C1803" s="2" t="s">
        <v>25</v>
      </c>
      <c r="D1803" s="2" t="s">
        <v>26</v>
      </c>
      <c r="E1803" s="3" t="s">
        <v>4389</v>
      </c>
      <c r="F1803" s="3" t="s">
        <v>4390</v>
      </c>
      <c r="G1803" s="3" t="s">
        <v>3536</v>
      </c>
      <c r="H1803" s="2" t="s">
        <v>55</v>
      </c>
      <c r="I1803" s="2" t="s">
        <v>5251</v>
      </c>
      <c r="J1803" s="3" t="str">
        <f>HYPERLINK("https://www.boe.es/gazeta/dias/1809/02/06/pdfs/GMD-1809-37.pdf#page=2","Abrir facsímil")</f>
        <v>Abrir facsímil</v>
      </c>
      <c r="K1803" s="3" t="s">
        <v>57</v>
      </c>
    </row>
    <row r="1804" spans="1:11" ht="42" customHeight="1">
      <c r="A1804" s="2" t="s">
        <v>5243</v>
      </c>
      <c r="B1804" s="2" t="s">
        <v>5243</v>
      </c>
      <c r="C1804" s="2" t="s">
        <v>25</v>
      </c>
      <c r="D1804" s="2" t="s">
        <v>26</v>
      </c>
      <c r="E1804" s="3" t="s">
        <v>4389</v>
      </c>
      <c r="F1804" s="3" t="s">
        <v>4390</v>
      </c>
      <c r="G1804" s="3" t="s">
        <v>239</v>
      </c>
      <c r="H1804" s="2" t="s">
        <v>55</v>
      </c>
      <c r="I1804" s="2" t="s">
        <v>5252</v>
      </c>
      <c r="J1804" s="3" t="str">
        <f>HYPERLINK("https://www.boe.es/gazeta/dias/1809/02/06/pdfs/GMD-1809-37.pdf#page=3","Abrir facsímil")</f>
        <v>Abrir facsímil</v>
      </c>
      <c r="K1804" s="3" t="s">
        <v>57</v>
      </c>
    </row>
    <row r="1805" spans="1:11" ht="42" customHeight="1">
      <c r="A1805" s="2" t="s">
        <v>5243</v>
      </c>
      <c r="B1805" s="2" t="s">
        <v>5243</v>
      </c>
      <c r="C1805" s="2" t="s">
        <v>25</v>
      </c>
      <c r="D1805" s="2" t="s">
        <v>72</v>
      </c>
      <c r="E1805" s="3" t="s">
        <v>113</v>
      </c>
      <c r="F1805" s="3" t="s">
        <v>3549</v>
      </c>
      <c r="G1805" s="3" t="s">
        <v>1878</v>
      </c>
      <c r="H1805" s="2" t="s">
        <v>55</v>
      </c>
      <c r="I1805" s="2" t="s">
        <v>5253</v>
      </c>
      <c r="J1805" s="3" t="str">
        <f>HYPERLINK("https://www.boe.es/gazeta/dias/1809/04/24/pdfs/GGB-G-1809-21.pdf#page=3","Abrir facsímil")</f>
        <v>Abrir facsímil</v>
      </c>
      <c r="K1805" s="3" t="s">
        <v>57</v>
      </c>
    </row>
    <row r="1806" spans="1:11" ht="42" customHeight="1">
      <c r="A1806" s="2" t="s">
        <v>5243</v>
      </c>
      <c r="B1806" s="2" t="s">
        <v>5243</v>
      </c>
      <c r="C1806" s="2" t="s">
        <v>25</v>
      </c>
      <c r="D1806" s="2" t="s">
        <v>26</v>
      </c>
      <c r="E1806" s="3" t="s">
        <v>1332</v>
      </c>
      <c r="F1806" s="3" t="s">
        <v>1333</v>
      </c>
      <c r="G1806" s="3" t="s">
        <v>374</v>
      </c>
      <c r="H1806" s="2" t="s">
        <v>55</v>
      </c>
      <c r="I1806" s="2" t="s">
        <v>5254</v>
      </c>
      <c r="J1806" s="3" t="str">
        <f>HYPERLINK("https://www.boe.es/gazeta/dias/1809/05/09/pdfs/GMD-1809-129.pdf#page=2","Abrir facsímil")</f>
        <v>Abrir facsímil</v>
      </c>
      <c r="K1806" s="3" t="s">
        <v>57</v>
      </c>
    </row>
    <row r="1807" spans="1:11" ht="42" customHeight="1">
      <c r="A1807" s="2" t="s">
        <v>5243</v>
      </c>
      <c r="B1807" s="2" t="s">
        <v>5243</v>
      </c>
      <c r="C1807" s="2" t="s">
        <v>25</v>
      </c>
      <c r="D1807" s="2" t="s">
        <v>107</v>
      </c>
      <c r="E1807" s="3" t="s">
        <v>92</v>
      </c>
      <c r="F1807" s="3" t="s">
        <v>93</v>
      </c>
      <c r="G1807" s="3" t="s">
        <v>239</v>
      </c>
      <c r="H1807" s="2" t="s">
        <v>55</v>
      </c>
      <c r="I1807" s="2" t="s">
        <v>5255</v>
      </c>
      <c r="J1807" s="3" t="str">
        <f>HYPERLINK("https://www.boe.es/gazeta/dias/1809/05/22/pdfs/GGB-G-1809-30.pdf#page=2","Abrir facsímil")</f>
        <v>Abrir facsímil</v>
      </c>
      <c r="K1807" s="3" t="s">
        <v>57</v>
      </c>
    </row>
    <row r="1808" spans="1:11" ht="42" customHeight="1">
      <c r="A1808" s="2" t="s">
        <v>5243</v>
      </c>
      <c r="B1808" s="2" t="s">
        <v>5243</v>
      </c>
      <c r="C1808" s="2" t="s">
        <v>25</v>
      </c>
      <c r="D1808" s="2" t="s">
        <v>72</v>
      </c>
      <c r="E1808" s="3" t="s">
        <v>173</v>
      </c>
      <c r="F1808" s="3" t="s">
        <v>1885</v>
      </c>
      <c r="G1808" s="3" t="s">
        <v>5256</v>
      </c>
      <c r="H1808" s="2" t="s">
        <v>55</v>
      </c>
      <c r="I1808" s="2" t="s">
        <v>5257</v>
      </c>
      <c r="J1808" s="3" t="str">
        <f>HYPERLINK("https://www.boe.es/gazeta/dias/1809/09/12/pdfs/GGB-H-1809-182.pdf#page=3","Abrir facsímil")</f>
        <v>Abrir facsímil</v>
      </c>
      <c r="K1808" s="3" t="s">
        <v>57</v>
      </c>
    </row>
    <row r="1809" spans="1:11" ht="42" customHeight="1">
      <c r="A1809" s="2" t="s">
        <v>5258</v>
      </c>
      <c r="B1809" s="2" t="s">
        <v>5258</v>
      </c>
      <c r="C1809" s="2" t="s">
        <v>25</v>
      </c>
      <c r="D1809" s="2" t="s">
        <v>18</v>
      </c>
      <c r="E1809" s="3" t="s">
        <v>599</v>
      </c>
      <c r="F1809" s="3" t="s">
        <v>600</v>
      </c>
      <c r="G1809" s="3" t="s">
        <v>239</v>
      </c>
      <c r="H1809" s="2" t="s">
        <v>55</v>
      </c>
      <c r="I1809" s="2" t="s">
        <v>5259</v>
      </c>
      <c r="J1809" s="3" t="str">
        <f>HYPERLINK("https://www.boe.es/gazeta/dias/1809/01/19/pdfs/GMD-1809-19.pdf#page=3","Abrir facsímil")</f>
        <v>Abrir facsímil</v>
      </c>
      <c r="K1809" s="3" t="s">
        <v>57</v>
      </c>
    </row>
    <row r="1810" spans="1:11" ht="42" customHeight="1">
      <c r="A1810" s="2" t="s">
        <v>5260</v>
      </c>
      <c r="B1810" s="2" t="s">
        <v>5260</v>
      </c>
      <c r="C1810" s="2" t="s">
        <v>25</v>
      </c>
      <c r="D1810" s="2" t="s">
        <v>107</v>
      </c>
      <c r="E1810" s="3" t="s">
        <v>347</v>
      </c>
      <c r="F1810" s="3" t="s">
        <v>348</v>
      </c>
      <c r="G1810" s="3" t="s">
        <v>349</v>
      </c>
      <c r="H1810" s="2" t="s">
        <v>55</v>
      </c>
      <c r="I1810" s="2" t="s">
        <v>5261</v>
      </c>
      <c r="J1810" s="3" t="str">
        <f>HYPERLINK("https://www.boe.es/gazeta/dias/1809/03/07/pdfs/GMD-1809-66.pdf#page=3","Abrir facsímil")</f>
        <v>Abrir facsímil</v>
      </c>
      <c r="K1810" s="3" t="s">
        <v>57</v>
      </c>
    </row>
    <row r="1811" spans="1:11" ht="42" customHeight="1">
      <c r="A1811" s="2" t="s">
        <v>5262</v>
      </c>
      <c r="B1811" s="2" t="s">
        <v>5262</v>
      </c>
      <c r="C1811" s="2" t="s">
        <v>25</v>
      </c>
      <c r="D1811" s="2" t="s">
        <v>26</v>
      </c>
      <c r="E1811" s="3" t="s">
        <v>1652</v>
      </c>
      <c r="F1811" s="3" t="s">
        <v>1653</v>
      </c>
      <c r="G1811" s="3" t="s">
        <v>5263</v>
      </c>
      <c r="H1811" s="2" t="s">
        <v>55</v>
      </c>
      <c r="I1811" s="2" t="s">
        <v>5264</v>
      </c>
      <c r="J1811" s="3" t="str">
        <f>HYPERLINK("https://www.boe.es/gazeta/dias/1809/07/25/pdfs/GGB-1809-48.pdf#page=10","Abrir facsímil")</f>
        <v>Abrir facsímil</v>
      </c>
      <c r="K1811" s="3" t="s">
        <v>57</v>
      </c>
    </row>
    <row r="1812" spans="1:11" ht="42" customHeight="1">
      <c r="A1812" s="2" t="s">
        <v>5265</v>
      </c>
      <c r="B1812" s="2" t="s">
        <v>5265</v>
      </c>
      <c r="C1812" s="2" t="s">
        <v>25</v>
      </c>
      <c r="D1812" s="2" t="s">
        <v>18</v>
      </c>
      <c r="E1812" s="3" t="s">
        <v>387</v>
      </c>
      <c r="F1812" s="3" t="s">
        <v>388</v>
      </c>
      <c r="G1812" s="3" t="s">
        <v>5266</v>
      </c>
      <c r="H1812" s="2" t="s">
        <v>55</v>
      </c>
      <c r="I1812" s="2" t="s">
        <v>5267</v>
      </c>
      <c r="J1812" s="3" t="str">
        <f>HYPERLINK("https://www.boe.es/gazeta/dias/1809/09/26/pdfs/GMD-1809-270.pdf#page=1","Abrir facsímil")</f>
        <v>Abrir facsímil</v>
      </c>
      <c r="K1812" s="3" t="s">
        <v>57</v>
      </c>
    </row>
    <row r="1813" spans="1:11" ht="42" customHeight="1">
      <c r="A1813" s="2" t="s">
        <v>5268</v>
      </c>
      <c r="B1813" s="2" t="s">
        <v>5269</v>
      </c>
      <c r="C1813" s="2" t="s">
        <v>25</v>
      </c>
      <c r="D1813" s="2" t="s">
        <v>26</v>
      </c>
      <c r="E1813" s="3" t="s">
        <v>743</v>
      </c>
      <c r="F1813" s="3" t="s">
        <v>744</v>
      </c>
      <c r="G1813" s="3" t="s">
        <v>270</v>
      </c>
      <c r="H1813" s="2" t="s">
        <v>55</v>
      </c>
      <c r="I1813" s="2" t="s">
        <v>5270</v>
      </c>
      <c r="J1813" s="3" t="str">
        <f>HYPERLINK("https://www.boe.es/gazeta/dias/1809/12/25/pdfs/GMD-1809-360.pdf#page=2","Abrir facsímil")</f>
        <v>Abrir facsímil</v>
      </c>
      <c r="K1813" s="3" t="s">
        <v>57</v>
      </c>
    </row>
    <row r="1814" spans="1:11" ht="42" customHeight="1">
      <c r="A1814" s="2" t="s">
        <v>5271</v>
      </c>
      <c r="B1814" s="2" t="s">
        <v>5271</v>
      </c>
      <c r="C1814" s="2" t="s">
        <v>17</v>
      </c>
      <c r="D1814" s="2" t="s">
        <v>40</v>
      </c>
      <c r="E1814" s="3" t="s">
        <v>1822</v>
      </c>
      <c r="F1814" s="3" t="s">
        <v>1823</v>
      </c>
      <c r="G1814" s="3" t="s">
        <v>29</v>
      </c>
      <c r="H1814" s="2" t="s">
        <v>55</v>
      </c>
      <c r="I1814" s="2" t="s">
        <v>5272</v>
      </c>
      <c r="J1814" s="3" t="str">
        <f>HYPERLINK("https://www.boe.es/gazeta/dias/1809/10/11/pdfs/GMD-1809-285.pdf#page=3","Abrir facsímil")</f>
        <v>Abrir facsímil</v>
      </c>
      <c r="K1814" s="3" t="s">
        <v>57</v>
      </c>
    </row>
    <row r="1815" spans="1:11" ht="42" customHeight="1">
      <c r="A1815" s="2" t="s">
        <v>5273</v>
      </c>
      <c r="B1815" s="2" t="s">
        <v>5273</v>
      </c>
      <c r="C1815" s="2" t="s">
        <v>25</v>
      </c>
      <c r="D1815" s="2" t="s">
        <v>26</v>
      </c>
      <c r="E1815" s="3" t="s">
        <v>2002</v>
      </c>
      <c r="F1815" s="3" t="s">
        <v>2003</v>
      </c>
      <c r="G1815" s="3" t="s">
        <v>789</v>
      </c>
      <c r="H1815" s="2" t="s">
        <v>55</v>
      </c>
      <c r="I1815" s="2" t="s">
        <v>5274</v>
      </c>
      <c r="J1815" s="3" t="str">
        <f>HYPERLINK("https://www.boe.es/gazeta/dias/1809/08/07/pdfs/GMD-1809-220.pdf#page=2","Abrir facsímil")</f>
        <v>Abrir facsímil</v>
      </c>
      <c r="K1815" s="3" t="s">
        <v>57</v>
      </c>
    </row>
    <row r="1816" spans="1:11" ht="42" customHeight="1">
      <c r="A1816" s="2" t="s">
        <v>5275</v>
      </c>
      <c r="B1816" s="2" t="s">
        <v>5275</v>
      </c>
      <c r="C1816" s="2" t="s">
        <v>25</v>
      </c>
      <c r="D1816" s="2" t="s">
        <v>26</v>
      </c>
      <c r="E1816" s="3" t="s">
        <v>2643</v>
      </c>
      <c r="F1816" s="3" t="s">
        <v>2644</v>
      </c>
      <c r="G1816" s="3" t="s">
        <v>2232</v>
      </c>
      <c r="H1816" s="2" t="s">
        <v>55</v>
      </c>
      <c r="I1816" s="2" t="s">
        <v>5276</v>
      </c>
      <c r="J1816" s="3" t="str">
        <f>HYPERLINK("https://www.boe.es/gazeta/dias/1809/09/29/pdfs/GMD-1809-273.pdf#page=2","Abrir facsímil")</f>
        <v>Abrir facsímil</v>
      </c>
      <c r="K1816" s="3" t="s">
        <v>57</v>
      </c>
    </row>
    <row r="1817" spans="1:11" ht="42" customHeight="1">
      <c r="A1817" s="2" t="s">
        <v>5275</v>
      </c>
      <c r="B1817" s="2" t="s">
        <v>5275</v>
      </c>
      <c r="C1817" s="2" t="s">
        <v>25</v>
      </c>
      <c r="D1817" s="2" t="s">
        <v>26</v>
      </c>
      <c r="E1817" s="3" t="s">
        <v>1822</v>
      </c>
      <c r="F1817" s="3" t="s">
        <v>1823</v>
      </c>
      <c r="G1817" s="3" t="s">
        <v>154</v>
      </c>
      <c r="H1817" s="2" t="s">
        <v>55</v>
      </c>
      <c r="I1817" s="2" t="s">
        <v>5277</v>
      </c>
      <c r="J1817" s="3" t="str">
        <f>HYPERLINK("https://www.boe.es/gazeta/dias/1809/10/11/pdfs/GMD-1809-285.pdf#page=2","Abrir facsímil")</f>
        <v>Abrir facsímil</v>
      </c>
      <c r="K1817" s="3" t="s">
        <v>57</v>
      </c>
    </row>
    <row r="1818" spans="1:11" ht="42" customHeight="1">
      <c r="A1818" s="2" t="s">
        <v>5275</v>
      </c>
      <c r="B1818" s="2" t="s">
        <v>5275</v>
      </c>
      <c r="C1818" s="2" t="s">
        <v>25</v>
      </c>
      <c r="D1818" s="2" t="s">
        <v>26</v>
      </c>
      <c r="E1818" s="3" t="s">
        <v>616</v>
      </c>
      <c r="F1818" s="3" t="s">
        <v>617</v>
      </c>
      <c r="G1818" s="3" t="s">
        <v>918</v>
      </c>
      <c r="H1818" s="2" t="s">
        <v>55</v>
      </c>
      <c r="I1818" s="2" t="s">
        <v>5278</v>
      </c>
      <c r="J1818" s="3" t="str">
        <f>HYPERLINK("https://www.boe.es/gazeta/dias/1809/10/15/pdfs/GMD-1809-289.pdf#page=4","Abrir facsímil")</f>
        <v>Abrir facsímil</v>
      </c>
      <c r="K1818" s="3" t="s">
        <v>57</v>
      </c>
    </row>
    <row r="1819" spans="1:11" ht="42" customHeight="1">
      <c r="A1819" s="2" t="s">
        <v>5275</v>
      </c>
      <c r="B1819" s="2" t="s">
        <v>5275</v>
      </c>
      <c r="C1819" s="2" t="s">
        <v>17</v>
      </c>
      <c r="D1819" s="2" t="s">
        <v>18</v>
      </c>
      <c r="E1819" s="3" t="s">
        <v>5279</v>
      </c>
      <c r="F1819" s="3" t="s">
        <v>5280</v>
      </c>
      <c r="G1819" s="3" t="s">
        <v>234</v>
      </c>
      <c r="H1819" s="2" t="s">
        <v>55</v>
      </c>
      <c r="I1819" s="2" t="s">
        <v>5281</v>
      </c>
      <c r="J1819" s="3" t="str">
        <f>HYPERLINK("https://www.boe.es/gazeta/dias/1809/11/10/pdfs/GMD-1809-315.pdf#page=2","Abrir facsímil")</f>
        <v>Abrir facsímil</v>
      </c>
      <c r="K1819" s="3" t="s">
        <v>57</v>
      </c>
    </row>
    <row r="1820" spans="1:11" ht="42" customHeight="1">
      <c r="A1820" s="2" t="s">
        <v>5275</v>
      </c>
      <c r="B1820" s="2" t="s">
        <v>5275</v>
      </c>
      <c r="C1820" s="2" t="s">
        <v>25</v>
      </c>
      <c r="D1820" s="2" t="s">
        <v>26</v>
      </c>
      <c r="E1820" s="3" t="s">
        <v>814</v>
      </c>
      <c r="F1820" s="3" t="s">
        <v>2095</v>
      </c>
      <c r="G1820" s="3" t="s">
        <v>239</v>
      </c>
      <c r="H1820" s="2" t="s">
        <v>55</v>
      </c>
      <c r="I1820" s="2" t="s">
        <v>5282</v>
      </c>
      <c r="J1820" s="3" t="str">
        <f>HYPERLINK("https://www.boe.es/gazeta/dias/1809/12/09/pdfs/GMD-1809-344.pdf#page=1","Abrir facsímil")</f>
        <v>Abrir facsímil</v>
      </c>
      <c r="K1820" s="3" t="s">
        <v>57</v>
      </c>
    </row>
    <row r="1821" spans="1:11" ht="42" customHeight="1">
      <c r="A1821" s="2" t="s">
        <v>5283</v>
      </c>
      <c r="B1821" s="2" t="s">
        <v>5283</v>
      </c>
      <c r="C1821" s="2" t="s">
        <v>25</v>
      </c>
      <c r="D1821" s="2" t="s">
        <v>26</v>
      </c>
      <c r="E1821" s="3" t="s">
        <v>118</v>
      </c>
      <c r="F1821" s="3" t="s">
        <v>119</v>
      </c>
      <c r="G1821" s="3" t="s">
        <v>129</v>
      </c>
      <c r="H1821" s="2" t="s">
        <v>55</v>
      </c>
      <c r="I1821" s="2" t="s">
        <v>5284</v>
      </c>
      <c r="J1821" s="3" t="str">
        <f>HYPERLINK("https://www.boe.es/gazeta/dias/1809/09/07/pdfs/GMD-1809-251.pdf#page=2","Abrir facsímil")</f>
        <v>Abrir facsímil</v>
      </c>
      <c r="K1821" s="3" t="s">
        <v>57</v>
      </c>
    </row>
    <row r="1822" spans="1:11" ht="42" customHeight="1">
      <c r="A1822" s="2" t="s">
        <v>5285</v>
      </c>
      <c r="B1822" s="2" t="s">
        <v>5285</v>
      </c>
      <c r="C1822" s="2" t="s">
        <v>25</v>
      </c>
      <c r="D1822" s="2" t="s">
        <v>26</v>
      </c>
      <c r="E1822" s="3" t="s">
        <v>211</v>
      </c>
      <c r="F1822" s="3" t="s">
        <v>212</v>
      </c>
      <c r="G1822" s="3" t="s">
        <v>467</v>
      </c>
      <c r="H1822" s="2" t="s">
        <v>55</v>
      </c>
      <c r="I1822" s="2" t="s">
        <v>5286</v>
      </c>
      <c r="J1822" s="3" t="str">
        <f>HYPERLINK("https://www.boe.es/gazeta/dias/1809/10/27/pdfs/GMD-1809-301.pdf#page=2","Abrir facsímil")</f>
        <v>Abrir facsímil</v>
      </c>
      <c r="K1822" s="3" t="s">
        <v>57</v>
      </c>
    </row>
    <row r="1823" spans="1:11" ht="42" customHeight="1">
      <c r="A1823" s="2" t="s">
        <v>5287</v>
      </c>
      <c r="B1823" s="2" t="s">
        <v>5287</v>
      </c>
      <c r="C1823" s="2" t="s">
        <v>25</v>
      </c>
      <c r="D1823" s="2" t="s">
        <v>18</v>
      </c>
      <c r="E1823" s="3" t="s">
        <v>2038</v>
      </c>
      <c r="F1823" s="3" t="s">
        <v>2039</v>
      </c>
      <c r="G1823" s="3" t="s">
        <v>270</v>
      </c>
      <c r="H1823" s="2" t="s">
        <v>55</v>
      </c>
      <c r="I1823" s="2" t="s">
        <v>5288</v>
      </c>
      <c r="J1823" s="3" t="str">
        <f>HYPERLINK("https://www.boe.es/gazeta/dias/1809/05/07/pdfs/GMD-1809-127.pdf#page=1","Abrir facsímil")</f>
        <v>Abrir facsímil</v>
      </c>
      <c r="K1823" s="3" t="s">
        <v>57</v>
      </c>
    </row>
    <row r="1824" spans="1:11" ht="42" customHeight="1">
      <c r="A1824" s="2" t="s">
        <v>5289</v>
      </c>
      <c r="B1824" s="2" t="s">
        <v>5289</v>
      </c>
      <c r="C1824" s="2" t="s">
        <v>25</v>
      </c>
      <c r="D1824" s="2" t="s">
        <v>107</v>
      </c>
      <c r="E1824" s="3" t="s">
        <v>134</v>
      </c>
      <c r="F1824" s="3" t="s">
        <v>135</v>
      </c>
      <c r="G1824" s="3" t="s">
        <v>29</v>
      </c>
      <c r="H1824" s="2" t="s">
        <v>55</v>
      </c>
      <c r="I1824" s="2" t="s">
        <v>5290</v>
      </c>
      <c r="J1824" s="3" t="str">
        <f>HYPERLINK("https://www.boe.es/gazeta/dias/1809/06/07/pdfs/GMD-1809-158.pdf#page=3","Abrir facsímil")</f>
        <v>Abrir facsímil</v>
      </c>
      <c r="K1824" s="3" t="s">
        <v>57</v>
      </c>
    </row>
    <row r="1825" spans="1:11" ht="42" customHeight="1">
      <c r="A1825" s="2" t="s">
        <v>5291</v>
      </c>
      <c r="B1825" s="2" t="s">
        <v>5291</v>
      </c>
      <c r="C1825" s="2" t="s">
        <v>25</v>
      </c>
      <c r="D1825" s="2" t="s">
        <v>72</v>
      </c>
      <c r="E1825" s="3" t="s">
        <v>720</v>
      </c>
      <c r="F1825" s="3" t="s">
        <v>721</v>
      </c>
      <c r="G1825" s="3" t="s">
        <v>2251</v>
      </c>
      <c r="H1825" s="2" t="s">
        <v>55</v>
      </c>
      <c r="I1825" s="2" t="s">
        <v>5292</v>
      </c>
      <c r="J1825" s="3" t="str">
        <f>HYPERLINK("https://www.boe.es/gazeta/dias/1809/01/27/pdfs/GGB-G-1809-5.pdf#page=2","Abrir facsímil")</f>
        <v>Abrir facsímil</v>
      </c>
      <c r="K1825" s="3" t="s">
        <v>57</v>
      </c>
    </row>
    <row r="1826" spans="1:11" ht="42" customHeight="1">
      <c r="A1826" s="2" t="s">
        <v>5291</v>
      </c>
      <c r="B1826" s="2" t="s">
        <v>5291</v>
      </c>
      <c r="C1826" s="2" t="s">
        <v>25</v>
      </c>
      <c r="D1826" s="2" t="s">
        <v>26</v>
      </c>
      <c r="E1826" s="3" t="s">
        <v>4361</v>
      </c>
      <c r="F1826" s="3" t="s">
        <v>4362</v>
      </c>
      <c r="G1826" s="3" t="s">
        <v>75</v>
      </c>
      <c r="H1826" s="2" t="s">
        <v>55</v>
      </c>
      <c r="I1826" s="2" t="s">
        <v>5293</v>
      </c>
      <c r="J1826" s="3" t="str">
        <f>HYPERLINK("https://www.boe.es/gazeta/dias/1809/01/28/pdfs/GMD-1809-28.pdf#page=1","Abrir facsímil")</f>
        <v>Abrir facsímil</v>
      </c>
      <c r="K1826" s="3" t="s">
        <v>57</v>
      </c>
    </row>
    <row r="1827" spans="1:11" ht="42" customHeight="1">
      <c r="A1827" s="2" t="s">
        <v>5294</v>
      </c>
      <c r="B1827" s="2" t="s">
        <v>5294</v>
      </c>
      <c r="C1827" s="2" t="s">
        <v>25</v>
      </c>
      <c r="D1827" s="2" t="s">
        <v>18</v>
      </c>
      <c r="E1827" s="3" t="s">
        <v>1865</v>
      </c>
      <c r="F1827" s="3" t="s">
        <v>1866</v>
      </c>
      <c r="G1827" s="3" t="s">
        <v>587</v>
      </c>
      <c r="H1827" s="2" t="s">
        <v>55</v>
      </c>
      <c r="I1827" s="2" t="s">
        <v>5295</v>
      </c>
      <c r="J1827" s="3" t="str">
        <f>HYPERLINK("https://www.boe.es/gazeta/dias/1809/08/08/pdfs/GGB-1809-32.pdf#page=2","Abrir facsímil")</f>
        <v>Abrir facsímil</v>
      </c>
      <c r="K1827" s="3" t="s">
        <v>57</v>
      </c>
    </row>
    <row r="1828" spans="1:11" ht="42" customHeight="1">
      <c r="A1828" s="2" t="s">
        <v>5296</v>
      </c>
      <c r="B1828" s="2" t="s">
        <v>5296</v>
      </c>
      <c r="C1828" s="2" t="s">
        <v>25</v>
      </c>
      <c r="D1828" s="2" t="s">
        <v>26</v>
      </c>
      <c r="E1828" s="3" t="s">
        <v>4946</v>
      </c>
      <c r="F1828" s="3" t="s">
        <v>4947</v>
      </c>
      <c r="G1828" s="3" t="s">
        <v>141</v>
      </c>
      <c r="H1828" s="2" t="s">
        <v>55</v>
      </c>
      <c r="I1828" s="2" t="s">
        <v>5297</v>
      </c>
      <c r="J1828" s="3" t="str">
        <f>HYPERLINK("https://www.boe.es/gazeta/dias/1809/06/13/pdfs/GMD-1809-164.pdf#page=2","Abrir facsímil")</f>
        <v>Abrir facsímil</v>
      </c>
      <c r="K1828" s="3" t="s">
        <v>57</v>
      </c>
    </row>
    <row r="1829" spans="1:11" ht="42" customHeight="1">
      <c r="A1829" s="2" t="s">
        <v>5298</v>
      </c>
      <c r="B1829" s="2" t="s">
        <v>5299</v>
      </c>
      <c r="C1829" s="2" t="s">
        <v>25</v>
      </c>
      <c r="D1829" s="2" t="s">
        <v>26</v>
      </c>
      <c r="E1829" s="3" t="s">
        <v>2818</v>
      </c>
      <c r="F1829" s="3" t="s">
        <v>4265</v>
      </c>
      <c r="G1829" s="3" t="s">
        <v>693</v>
      </c>
      <c r="H1829" s="2" t="s">
        <v>22</v>
      </c>
      <c r="I1829" s="2" t="s">
        <v>5300</v>
      </c>
      <c r="J1829" s="3" t="str">
        <f>HYPERLINK("https://www.boe.es/gazeta/dias/1809/02/03/pdfs/GGB-G-1809-6.pdf#page=9","Abrir facsímil")</f>
        <v>Abrir facsímil</v>
      </c>
      <c r="K1829" s="3" t="s">
        <v>24</v>
      </c>
    </row>
    <row r="1830" spans="1:11" ht="42" customHeight="1">
      <c r="A1830" s="2" t="s">
        <v>5301</v>
      </c>
      <c r="B1830" s="2" t="s">
        <v>5302</v>
      </c>
      <c r="C1830" s="2" t="s">
        <v>17</v>
      </c>
      <c r="D1830" s="2" t="s">
        <v>18</v>
      </c>
      <c r="E1830" s="3" t="s">
        <v>551</v>
      </c>
      <c r="F1830" s="3" t="s">
        <v>552</v>
      </c>
      <c r="G1830" s="3" t="s">
        <v>553</v>
      </c>
      <c r="H1830" s="2" t="s">
        <v>55</v>
      </c>
      <c r="I1830" s="2" t="s">
        <v>5303</v>
      </c>
      <c r="J1830" s="3" t="str">
        <f>HYPERLINK("https://www.boe.es/gazeta/dias/1809/05/04/pdfs/GMD-1809-124.pdf#page=1","Abrir facsímil")</f>
        <v>Abrir facsímil</v>
      </c>
      <c r="K1830" s="3" t="s">
        <v>57</v>
      </c>
    </row>
    <row r="1831" spans="1:11" ht="42" customHeight="1">
      <c r="A1831" s="2" t="s">
        <v>5301</v>
      </c>
      <c r="B1831" s="2" t="s">
        <v>5302</v>
      </c>
      <c r="C1831" s="2" t="s">
        <v>47</v>
      </c>
      <c r="D1831" s="2" t="s">
        <v>18</v>
      </c>
      <c r="E1831" s="3" t="s">
        <v>299</v>
      </c>
      <c r="F1831" s="3" t="s">
        <v>300</v>
      </c>
      <c r="G1831" s="3" t="s">
        <v>693</v>
      </c>
      <c r="H1831" s="2" t="s">
        <v>55</v>
      </c>
      <c r="I1831" s="2" t="s">
        <v>5304</v>
      </c>
      <c r="J1831" s="3" t="str">
        <f>HYPERLINK("https://www.boe.es/gazeta/dias/1809/05/26/pdfs/GGB-1809-31.pdf#page=9","Abrir facsímil")</f>
        <v>Abrir facsímil</v>
      </c>
      <c r="K1831" s="3" t="s">
        <v>57</v>
      </c>
    </row>
    <row r="1832" spans="1:11" ht="42" customHeight="1">
      <c r="A1832" s="2" t="s">
        <v>5305</v>
      </c>
      <c r="B1832" s="2" t="s">
        <v>5306</v>
      </c>
      <c r="C1832" s="2" t="s">
        <v>369</v>
      </c>
      <c r="D1832" s="2" t="s">
        <v>18</v>
      </c>
      <c r="E1832" s="3" t="s">
        <v>5307</v>
      </c>
      <c r="F1832" s="3" t="s">
        <v>5308</v>
      </c>
      <c r="G1832" s="3" t="s">
        <v>29</v>
      </c>
      <c r="H1832" s="2" t="s">
        <v>55</v>
      </c>
      <c r="I1832" s="2" t="s">
        <v>5309</v>
      </c>
      <c r="J1832" s="3" t="str">
        <f>HYPERLINK("https://www.boe.es/gazeta/dias/1809/03/30/pdfs/GMD-1809-89.pdf#page=3","Abrir facsímil")</f>
        <v>Abrir facsímil</v>
      </c>
      <c r="K1832" s="3" t="s">
        <v>57</v>
      </c>
    </row>
    <row r="1833" spans="1:11" ht="42" customHeight="1">
      <c r="A1833" s="2" t="s">
        <v>5310</v>
      </c>
      <c r="B1833" s="2" t="s">
        <v>5311</v>
      </c>
      <c r="C1833" s="2" t="s">
        <v>25</v>
      </c>
      <c r="D1833" s="2" t="s">
        <v>26</v>
      </c>
      <c r="E1833" s="3" t="s">
        <v>143</v>
      </c>
      <c r="F1833" s="3" t="s">
        <v>705</v>
      </c>
      <c r="G1833" s="3" t="s">
        <v>225</v>
      </c>
      <c r="H1833" s="2" t="s">
        <v>55</v>
      </c>
      <c r="I1833" s="2" t="s">
        <v>5312</v>
      </c>
      <c r="J1833" s="3" t="str">
        <f>HYPERLINK("https://www.boe.es/gazeta/dias/1809/11/16/pdfs/GGB-H-1809-462.pdf#page=4","Abrir facsímil")</f>
        <v>Abrir facsímil</v>
      </c>
      <c r="K1833" s="3" t="s">
        <v>57</v>
      </c>
    </row>
    <row r="1834" spans="1:11" ht="42" customHeight="1">
      <c r="A1834" s="2" t="s">
        <v>5313</v>
      </c>
      <c r="B1834" s="2" t="s">
        <v>5314</v>
      </c>
      <c r="C1834" s="2" t="s">
        <v>47</v>
      </c>
      <c r="D1834" s="2" t="s">
        <v>18</v>
      </c>
      <c r="E1834" s="3" t="s">
        <v>523</v>
      </c>
      <c r="F1834" s="3" t="s">
        <v>524</v>
      </c>
      <c r="G1834" s="3" t="s">
        <v>525</v>
      </c>
      <c r="H1834" s="2" t="s">
        <v>55</v>
      </c>
      <c r="I1834" s="2" t="s">
        <v>5315</v>
      </c>
      <c r="J1834" s="3" t="str">
        <f>HYPERLINK("https://www.boe.es/gazeta/dias/1809/02/14/pdfs/GMD-1809-45.pdf#page=1","Abrir facsímil")</f>
        <v>Abrir facsímil</v>
      </c>
      <c r="K1834" s="3" t="s">
        <v>57</v>
      </c>
    </row>
    <row r="1835" spans="1:11" ht="42" customHeight="1">
      <c r="A1835" s="2" t="s">
        <v>5316</v>
      </c>
      <c r="B1835" s="2" t="s">
        <v>5316</v>
      </c>
      <c r="C1835" s="2" t="s">
        <v>47</v>
      </c>
      <c r="D1835" s="2" t="s">
        <v>18</v>
      </c>
      <c r="E1835" s="3" t="s">
        <v>248</v>
      </c>
      <c r="F1835" s="3" t="s">
        <v>2399</v>
      </c>
      <c r="G1835" s="3" t="s">
        <v>234</v>
      </c>
      <c r="H1835" s="2" t="s">
        <v>55</v>
      </c>
      <c r="I1835" s="2" t="s">
        <v>5317</v>
      </c>
      <c r="J1835" s="3" t="str">
        <f>HYPERLINK("https://www.boe.es/gazeta/dias/1809/07/26/pdfs/GMD-1809-207.pdf#page=3","Abrir facsímil")</f>
        <v>Abrir facsímil</v>
      </c>
      <c r="K1835" s="3" t="s">
        <v>57</v>
      </c>
    </row>
    <row r="1836" spans="1:11" ht="42" customHeight="1">
      <c r="A1836" s="2" t="s">
        <v>5318</v>
      </c>
      <c r="B1836" s="2" t="s">
        <v>5318</v>
      </c>
      <c r="C1836" s="2" t="s">
        <v>25</v>
      </c>
      <c r="D1836" s="2" t="s">
        <v>18</v>
      </c>
      <c r="E1836" s="3" t="s">
        <v>1123</v>
      </c>
      <c r="F1836" s="3" t="s">
        <v>1124</v>
      </c>
      <c r="G1836" s="3" t="s">
        <v>21</v>
      </c>
      <c r="H1836" s="2" t="s">
        <v>55</v>
      </c>
      <c r="I1836" s="2" t="s">
        <v>5319</v>
      </c>
      <c r="J1836" s="3" t="str">
        <f>HYPERLINK("https://www.boe.es/gazeta/dias/1809/01/08/pdfs/GMD-1809-8.pdf#page=5","Abrir facsímil")</f>
        <v>Abrir facsímil</v>
      </c>
      <c r="K1836" s="3" t="s">
        <v>57</v>
      </c>
    </row>
    <row r="1837" spans="1:11" ht="42" customHeight="1">
      <c r="A1837" s="2" t="s">
        <v>5320</v>
      </c>
      <c r="B1837" s="2" t="s">
        <v>5321</v>
      </c>
      <c r="C1837" s="2" t="s">
        <v>25</v>
      </c>
      <c r="D1837" s="2" t="s">
        <v>26</v>
      </c>
      <c r="E1837" s="3" t="s">
        <v>5322</v>
      </c>
      <c r="F1837" s="3" t="s">
        <v>5323</v>
      </c>
      <c r="G1837" s="3" t="s">
        <v>3092</v>
      </c>
      <c r="H1837" s="2" t="s">
        <v>55</v>
      </c>
      <c r="I1837" s="2" t="s">
        <v>5324</v>
      </c>
      <c r="J1837" s="3" t="str">
        <f>HYPERLINK("https://www.boe.es/gazeta/dias/1809/12/31/pdfs/GMD-1809-366.pdf#page=1","Abrir facsímil")</f>
        <v>Abrir facsímil</v>
      </c>
      <c r="K1837" s="3" t="s">
        <v>57</v>
      </c>
    </row>
    <row r="1838" spans="1:11" ht="42" customHeight="1">
      <c r="A1838" s="2" t="s">
        <v>5325</v>
      </c>
      <c r="B1838" s="2" t="s">
        <v>5325</v>
      </c>
      <c r="C1838" s="2" t="s">
        <v>25</v>
      </c>
      <c r="D1838" s="2" t="s">
        <v>18</v>
      </c>
      <c r="E1838" s="3" t="s">
        <v>1123</v>
      </c>
      <c r="F1838" s="3" t="s">
        <v>1124</v>
      </c>
      <c r="G1838" s="3" t="s">
        <v>154</v>
      </c>
      <c r="H1838" s="2" t="s">
        <v>55</v>
      </c>
      <c r="I1838" s="2" t="s">
        <v>5326</v>
      </c>
      <c r="J1838" s="3" t="str">
        <f>HYPERLINK("https://www.boe.es/gazeta/dias/1809/01/08/pdfs/GMD-1809-8.pdf#page=2","Abrir facsímil")</f>
        <v>Abrir facsímil</v>
      </c>
      <c r="K1838" s="3" t="s">
        <v>57</v>
      </c>
    </row>
    <row r="1839" spans="1:11" ht="42" customHeight="1">
      <c r="A1839" s="2" t="s">
        <v>5325</v>
      </c>
      <c r="B1839" s="2" t="s">
        <v>5325</v>
      </c>
      <c r="C1839" s="2" t="s">
        <v>25</v>
      </c>
      <c r="D1839" s="2" t="s">
        <v>18</v>
      </c>
      <c r="E1839" s="3" t="s">
        <v>1053</v>
      </c>
      <c r="F1839" s="3" t="s">
        <v>1054</v>
      </c>
      <c r="G1839" s="3" t="s">
        <v>120</v>
      </c>
      <c r="H1839" s="2" t="s">
        <v>55</v>
      </c>
      <c r="I1839" s="2" t="s">
        <v>5327</v>
      </c>
      <c r="J1839" s="3" t="str">
        <f>HYPERLINK("https://www.boe.es/gazeta/dias/1809/05/13/pdfs/GMD-1809-133.pdf#page=1","Abrir facsímil")</f>
        <v>Abrir facsímil</v>
      </c>
      <c r="K1839" s="3" t="s">
        <v>57</v>
      </c>
    </row>
    <row r="1840" spans="1:11" ht="42" customHeight="1">
      <c r="A1840" s="2" t="s">
        <v>5328</v>
      </c>
      <c r="B1840" s="2" t="s">
        <v>5328</v>
      </c>
      <c r="C1840" s="2" t="s">
        <v>25</v>
      </c>
      <c r="D1840" s="2" t="s">
        <v>18</v>
      </c>
      <c r="E1840" s="3" t="s">
        <v>2166</v>
      </c>
      <c r="F1840" s="3" t="s">
        <v>5035</v>
      </c>
      <c r="G1840" s="3" t="s">
        <v>75</v>
      </c>
      <c r="H1840" s="2" t="s">
        <v>55</v>
      </c>
      <c r="I1840" s="2" t="s">
        <v>5329</v>
      </c>
      <c r="J1840" s="3" t="str">
        <f>HYPERLINK("https://www.boe.es/gazeta/dias/1809/01/20/pdfs/GMD-1809-20.pdf#page=4","Abrir facsímil")</f>
        <v>Abrir facsímil</v>
      </c>
      <c r="K1840" s="3" t="s">
        <v>57</v>
      </c>
    </row>
    <row r="1841" spans="1:11" ht="42" customHeight="1">
      <c r="A1841" s="2" t="s">
        <v>5328</v>
      </c>
      <c r="B1841" s="2" t="s">
        <v>5328</v>
      </c>
      <c r="C1841" s="2" t="s">
        <v>25</v>
      </c>
      <c r="D1841" s="2" t="s">
        <v>107</v>
      </c>
      <c r="E1841" s="3" t="s">
        <v>429</v>
      </c>
      <c r="F1841" s="3" t="s">
        <v>1544</v>
      </c>
      <c r="G1841" s="3" t="s">
        <v>1516</v>
      </c>
      <c r="H1841" s="2" t="s">
        <v>55</v>
      </c>
      <c r="I1841" s="2" t="s">
        <v>5330</v>
      </c>
      <c r="J1841" s="3" t="str">
        <f>HYPERLINK("https://www.boe.es/gazeta/dias/1809/06/09/pdfs/GMD-1809-160.pdf#page=3","Abrir facsímil")</f>
        <v>Abrir facsímil</v>
      </c>
      <c r="K1841" s="3" t="s">
        <v>57</v>
      </c>
    </row>
    <row r="1842" spans="1:11" ht="42" customHeight="1">
      <c r="A1842" s="2" t="s">
        <v>5328</v>
      </c>
      <c r="B1842" s="2" t="s">
        <v>5328</v>
      </c>
      <c r="C1842" s="2" t="s">
        <v>25</v>
      </c>
      <c r="D1842" s="2" t="s">
        <v>80</v>
      </c>
      <c r="E1842" s="3" t="s">
        <v>1110</v>
      </c>
      <c r="F1842" s="3" t="s">
        <v>1532</v>
      </c>
      <c r="G1842" s="3" t="s">
        <v>3808</v>
      </c>
      <c r="H1842" s="2" t="s">
        <v>55</v>
      </c>
      <c r="I1842" s="2" t="s">
        <v>5331</v>
      </c>
      <c r="J1842" s="3" t="str">
        <f>HYPERLINK("https://www.boe.es/gazeta/dias/1809/06/20/pdfs/GGB-1809-38E2.pdf#page=3","Abrir facsímil")</f>
        <v>Abrir facsímil</v>
      </c>
      <c r="K1842" s="3" t="s">
        <v>57</v>
      </c>
    </row>
    <row r="1843" spans="1:11" ht="42" customHeight="1">
      <c r="A1843" s="2" t="s">
        <v>5328</v>
      </c>
      <c r="B1843" s="2" t="s">
        <v>5328</v>
      </c>
      <c r="C1843" s="2" t="s">
        <v>25</v>
      </c>
      <c r="D1843" s="2" t="s">
        <v>18</v>
      </c>
      <c r="E1843" s="3" t="s">
        <v>1048</v>
      </c>
      <c r="F1843" s="3" t="s">
        <v>5332</v>
      </c>
      <c r="G1843" s="3" t="s">
        <v>3934</v>
      </c>
      <c r="H1843" s="2" t="s">
        <v>55</v>
      </c>
      <c r="I1843" s="2" t="s">
        <v>5333</v>
      </c>
      <c r="J1843" s="3" t="str">
        <f>HYPERLINK("https://www.boe.es/gazeta/dias/1809/08/10/pdfs/GMD-1809-223.pdf#page=2","Abrir facsímil")</f>
        <v>Abrir facsímil</v>
      </c>
      <c r="K1843" s="3" t="s">
        <v>57</v>
      </c>
    </row>
    <row r="1844" spans="1:11" ht="42" customHeight="1">
      <c r="A1844" s="2" t="s">
        <v>5328</v>
      </c>
      <c r="B1844" s="2" t="s">
        <v>5328</v>
      </c>
      <c r="C1844" s="2" t="s">
        <v>25</v>
      </c>
      <c r="D1844" s="2" t="s">
        <v>26</v>
      </c>
      <c r="E1844" s="3" t="s">
        <v>515</v>
      </c>
      <c r="F1844" s="3" t="s">
        <v>3947</v>
      </c>
      <c r="G1844" s="3" t="s">
        <v>2292</v>
      </c>
      <c r="H1844" s="2" t="s">
        <v>55</v>
      </c>
      <c r="I1844" s="2" t="s">
        <v>5334</v>
      </c>
      <c r="J1844" s="3" t="str">
        <f>HYPERLINK("https://www.boe.es/gazeta/dias/1809/09/02/pdfs/GGB-1809-142.pdf#page=1","Abrir facsímil")</f>
        <v>Abrir facsímil</v>
      </c>
      <c r="K1844" s="3" t="s">
        <v>57</v>
      </c>
    </row>
    <row r="1845" spans="1:11" ht="42" customHeight="1">
      <c r="A1845" s="2" t="s">
        <v>5335</v>
      </c>
      <c r="B1845" s="2" t="s">
        <v>5335</v>
      </c>
      <c r="C1845" s="2" t="s">
        <v>25</v>
      </c>
      <c r="D1845" s="2" t="s">
        <v>18</v>
      </c>
      <c r="E1845" s="3" t="s">
        <v>621</v>
      </c>
      <c r="F1845" s="3" t="s">
        <v>622</v>
      </c>
      <c r="G1845" s="3" t="s">
        <v>75</v>
      </c>
      <c r="H1845" s="2" t="s">
        <v>55</v>
      </c>
      <c r="I1845" s="2" t="s">
        <v>5336</v>
      </c>
      <c r="J1845" s="3" t="str">
        <f>HYPERLINK("https://www.boe.es/gazeta/dias/1809/07/04/pdfs/GGB-1809-42.pdf#page=3","Abrir facsímil")</f>
        <v>Abrir facsímil</v>
      </c>
      <c r="K1845" s="3" t="s">
        <v>57</v>
      </c>
    </row>
    <row r="1846" spans="1:11" ht="42" customHeight="1">
      <c r="A1846" s="2" t="s">
        <v>5337</v>
      </c>
      <c r="B1846" s="2" t="s">
        <v>5338</v>
      </c>
      <c r="C1846" s="2" t="s">
        <v>25</v>
      </c>
      <c r="D1846" s="2" t="s">
        <v>18</v>
      </c>
      <c r="E1846" s="3" t="s">
        <v>394</v>
      </c>
      <c r="F1846" s="3" t="s">
        <v>2563</v>
      </c>
      <c r="G1846" s="3" t="s">
        <v>110</v>
      </c>
      <c r="H1846" s="2" t="s">
        <v>55</v>
      </c>
      <c r="I1846" s="2" t="s">
        <v>5339</v>
      </c>
      <c r="J1846" s="3" t="str">
        <f>HYPERLINK("https://www.boe.es/gazeta/dias/1809/12/14/pdfs/GMD-1809-349.pdf#page=3","Abrir facsímil")</f>
        <v>Abrir facsímil</v>
      </c>
      <c r="K1846" s="3" t="s">
        <v>57</v>
      </c>
    </row>
    <row r="1847" spans="1:11" ht="42" customHeight="1">
      <c r="A1847" s="2" t="s">
        <v>5340</v>
      </c>
      <c r="B1847" s="2" t="s">
        <v>5341</v>
      </c>
      <c r="C1847" s="2" t="s">
        <v>17</v>
      </c>
      <c r="D1847" s="2" t="s">
        <v>18</v>
      </c>
      <c r="E1847" s="3" t="s">
        <v>635</v>
      </c>
      <c r="F1847" s="3" t="s">
        <v>636</v>
      </c>
      <c r="G1847" s="3" t="s">
        <v>21</v>
      </c>
      <c r="H1847" s="2" t="s">
        <v>22</v>
      </c>
      <c r="I1847" s="2" t="s">
        <v>5342</v>
      </c>
      <c r="J1847" s="3" t="str">
        <f>HYPERLINK("https://www.boe.es/gazeta/dias/1809/12/16/pdfs/GGB-1809-592.pdf#page=7","Abrir facsímil")</f>
        <v>Abrir facsímil</v>
      </c>
      <c r="K1847" s="3" t="s">
        <v>24</v>
      </c>
    </row>
    <row r="1848" spans="1:11" ht="42" customHeight="1">
      <c r="A1848" s="2" t="s">
        <v>5343</v>
      </c>
      <c r="B1848" s="2" t="s">
        <v>5343</v>
      </c>
      <c r="C1848" s="2" t="s">
        <v>25</v>
      </c>
      <c r="D1848" s="2" t="s">
        <v>26</v>
      </c>
      <c r="E1848" s="3" t="s">
        <v>621</v>
      </c>
      <c r="F1848" s="3" t="s">
        <v>622</v>
      </c>
      <c r="G1848" s="3" t="s">
        <v>62</v>
      </c>
      <c r="H1848" s="2" t="s">
        <v>55</v>
      </c>
      <c r="I1848" s="2" t="s">
        <v>5344</v>
      </c>
      <c r="J1848" s="3" t="str">
        <f>HYPERLINK("https://www.boe.es/gazeta/dias/1809/07/04/pdfs/GGB-1809-42.pdf#page=1","Abrir facsímil")</f>
        <v>Abrir facsímil</v>
      </c>
      <c r="K1848" s="3" t="s">
        <v>57</v>
      </c>
    </row>
    <row r="1849" spans="1:11" ht="42" customHeight="1">
      <c r="A1849" s="2" t="s">
        <v>5345</v>
      </c>
      <c r="B1849" s="2" t="s">
        <v>5345</v>
      </c>
      <c r="C1849" s="2" t="s">
        <v>25</v>
      </c>
      <c r="D1849" s="2" t="s">
        <v>18</v>
      </c>
      <c r="E1849" s="3" t="s">
        <v>134</v>
      </c>
      <c r="F1849" s="3" t="s">
        <v>135</v>
      </c>
      <c r="G1849" s="3" t="s">
        <v>29</v>
      </c>
      <c r="H1849" s="2" t="s">
        <v>55</v>
      </c>
      <c r="I1849" s="2" t="s">
        <v>5346</v>
      </c>
      <c r="J1849" s="3" t="str">
        <f>HYPERLINK("https://www.boe.es/gazeta/dias/1809/06/07/pdfs/GMD-1809-158.pdf#page=3","Abrir facsímil")</f>
        <v>Abrir facsímil</v>
      </c>
      <c r="K1849" s="3" t="s">
        <v>57</v>
      </c>
    </row>
    <row r="1850" spans="1:11" ht="42" customHeight="1">
      <c r="A1850" s="2" t="s">
        <v>5347</v>
      </c>
      <c r="B1850" s="2" t="s">
        <v>5347</v>
      </c>
      <c r="C1850" s="2" t="s">
        <v>369</v>
      </c>
      <c r="D1850" s="2" t="s">
        <v>18</v>
      </c>
      <c r="E1850" s="3" t="s">
        <v>1076</v>
      </c>
      <c r="F1850" s="3" t="s">
        <v>1645</v>
      </c>
      <c r="G1850" s="3" t="s">
        <v>129</v>
      </c>
      <c r="H1850" s="2" t="s">
        <v>55</v>
      </c>
      <c r="I1850" s="2" t="s">
        <v>5348</v>
      </c>
      <c r="J1850" s="3" t="str">
        <f>HYPERLINK("https://www.boe.es/gazeta/dias/1809/04/13/pdfs/GMD-1809-103.pdf#page=2","Abrir facsímil")</f>
        <v>Abrir facsímil</v>
      </c>
      <c r="K1850" s="3" t="s">
        <v>57</v>
      </c>
    </row>
    <row r="1851" spans="1:11" ht="42" customHeight="1">
      <c r="A1851" s="2" t="s">
        <v>5349</v>
      </c>
      <c r="B1851" s="2" t="s">
        <v>5349</v>
      </c>
      <c r="C1851" s="2" t="s">
        <v>25</v>
      </c>
      <c r="D1851" s="2" t="s">
        <v>18</v>
      </c>
      <c r="E1851" s="3" t="s">
        <v>5350</v>
      </c>
      <c r="F1851" s="3" t="s">
        <v>5351</v>
      </c>
      <c r="G1851" s="3" t="s">
        <v>29</v>
      </c>
      <c r="H1851" s="2" t="s">
        <v>55</v>
      </c>
      <c r="I1851" s="2" t="s">
        <v>5352</v>
      </c>
      <c r="J1851" s="3" t="str">
        <f>HYPERLINK("https://www.boe.es/gazeta/dias/1809/05/25/pdfs/GMD-1809-145.pdf#page=3","Abrir facsímil")</f>
        <v>Abrir facsímil</v>
      </c>
      <c r="K1851" s="3" t="s">
        <v>57</v>
      </c>
    </row>
    <row r="1852" spans="1:11" ht="42" customHeight="1">
      <c r="A1852" s="2" t="s">
        <v>5353</v>
      </c>
      <c r="B1852" s="2" t="s">
        <v>5354</v>
      </c>
      <c r="C1852" s="2" t="s">
        <v>79</v>
      </c>
      <c r="D1852" s="2" t="s">
        <v>18</v>
      </c>
      <c r="E1852" s="3" t="s">
        <v>299</v>
      </c>
      <c r="F1852" s="3" t="s">
        <v>300</v>
      </c>
      <c r="G1852" s="3" t="s">
        <v>62</v>
      </c>
      <c r="H1852" s="2" t="s">
        <v>55</v>
      </c>
      <c r="I1852" s="2" t="s">
        <v>5355</v>
      </c>
      <c r="J1852" s="3" t="str">
        <f>HYPERLINK("https://www.boe.es/gazeta/dias/1809/05/26/pdfs/GGB-1809-31.pdf#page=12","Abrir facsímil")</f>
        <v>Abrir facsímil</v>
      </c>
      <c r="K1852" s="3" t="s">
        <v>57</v>
      </c>
    </row>
    <row r="1853" spans="1:11" ht="42" customHeight="1">
      <c r="A1853" s="2" t="s">
        <v>5356</v>
      </c>
      <c r="B1853" s="2" t="s">
        <v>5357</v>
      </c>
      <c r="C1853" s="2" t="s">
        <v>17</v>
      </c>
      <c r="D1853" s="2" t="s">
        <v>107</v>
      </c>
      <c r="E1853" s="3" t="s">
        <v>787</v>
      </c>
      <c r="F1853" s="3" t="s">
        <v>4588</v>
      </c>
      <c r="G1853" s="3" t="s">
        <v>654</v>
      </c>
      <c r="H1853" s="2" t="s">
        <v>55</v>
      </c>
      <c r="I1853" s="2" t="s">
        <v>5358</v>
      </c>
      <c r="J1853" s="3" t="str">
        <f>HYPERLINK("https://www.boe.es/gazeta/dias/1809/04/29/pdfs/GMD-1809-119.pdf#page=4","Abrir facsímil")</f>
        <v>Abrir facsímil</v>
      </c>
      <c r="K1853" s="3" t="s">
        <v>57</v>
      </c>
    </row>
    <row r="1854" spans="1:11" ht="42" customHeight="1">
      <c r="A1854" s="2" t="s">
        <v>5359</v>
      </c>
      <c r="B1854" s="2" t="s">
        <v>5360</v>
      </c>
      <c r="C1854" s="2" t="s">
        <v>25</v>
      </c>
      <c r="D1854" s="2" t="s">
        <v>26</v>
      </c>
      <c r="E1854" s="3" t="s">
        <v>243</v>
      </c>
      <c r="F1854" s="3" t="s">
        <v>735</v>
      </c>
      <c r="G1854" s="3" t="s">
        <v>736</v>
      </c>
      <c r="H1854" s="2" t="s">
        <v>55</v>
      </c>
      <c r="I1854" s="2" t="s">
        <v>5361</v>
      </c>
      <c r="J1854" s="3" t="str">
        <f>HYPERLINK("https://www.boe.es/gazeta/dias/1809/02/17/pdfs/GGB-1809-8.pdf#page=8","Abrir facsímil")</f>
        <v>Abrir facsímil</v>
      </c>
      <c r="K1854" s="3" t="s">
        <v>57</v>
      </c>
    </row>
    <row r="1855" spans="1:11" ht="42" customHeight="1">
      <c r="A1855" s="2" t="s">
        <v>5362</v>
      </c>
      <c r="B1855" s="2" t="s">
        <v>5363</v>
      </c>
      <c r="C1855" s="2" t="s">
        <v>25</v>
      </c>
      <c r="D1855" s="2" t="s">
        <v>18</v>
      </c>
      <c r="E1855" s="3" t="s">
        <v>1011</v>
      </c>
      <c r="F1855" s="3" t="s">
        <v>1012</v>
      </c>
      <c r="G1855" s="3" t="s">
        <v>62</v>
      </c>
      <c r="H1855" s="2" t="s">
        <v>55</v>
      </c>
      <c r="I1855" s="2" t="s">
        <v>5364</v>
      </c>
      <c r="J1855" s="3" t="str">
        <f>HYPERLINK("https://www.boe.es/gazeta/dias/1809/08/01/pdfs/GGB-1809-50.pdf#page=7","Abrir facsímil")</f>
        <v>Abrir facsímil</v>
      </c>
      <c r="K1855" s="3" t="s">
        <v>57</v>
      </c>
    </row>
    <row r="1856" spans="1:11" ht="42" customHeight="1">
      <c r="A1856" s="2" t="s">
        <v>5365</v>
      </c>
      <c r="B1856" s="2" t="s">
        <v>5366</v>
      </c>
      <c r="C1856" s="2" t="s">
        <v>369</v>
      </c>
      <c r="D1856" s="2" t="s">
        <v>18</v>
      </c>
      <c r="E1856" s="3" t="s">
        <v>258</v>
      </c>
      <c r="F1856" s="3" t="s">
        <v>259</v>
      </c>
      <c r="G1856" s="3" t="s">
        <v>4638</v>
      </c>
      <c r="H1856" s="2" t="s">
        <v>55</v>
      </c>
      <c r="I1856" s="2" t="s">
        <v>5367</v>
      </c>
      <c r="J1856" s="3" t="str">
        <f>HYPERLINK("https://www.boe.es/gazeta/dias/1809/03/17/pdfs/GMD-1809-76.pdf#page=4","Abrir facsímil")</f>
        <v>Abrir facsímil</v>
      </c>
      <c r="K1856" s="3" t="s">
        <v>57</v>
      </c>
    </row>
    <row r="1857" spans="1:11" ht="42" customHeight="1">
      <c r="A1857" s="2" t="s">
        <v>5368</v>
      </c>
      <c r="B1857" s="2" t="s">
        <v>5369</v>
      </c>
      <c r="C1857" s="2" t="s">
        <v>17</v>
      </c>
      <c r="D1857" s="2" t="s">
        <v>18</v>
      </c>
      <c r="E1857" s="3" t="s">
        <v>33</v>
      </c>
      <c r="F1857" s="3" t="s">
        <v>34</v>
      </c>
      <c r="G1857" s="3" t="s">
        <v>493</v>
      </c>
      <c r="H1857" s="2" t="s">
        <v>55</v>
      </c>
      <c r="I1857" s="2" t="s">
        <v>5370</v>
      </c>
      <c r="J1857" s="3" t="str">
        <f>HYPERLINK("https://www.boe.es/gazeta/dias/1809/12/19/pdfs/GGB-1809-602.pdf#page=6","Abrir facsímil")</f>
        <v>Abrir facsímil</v>
      </c>
      <c r="K1857" s="3" t="s">
        <v>57</v>
      </c>
    </row>
    <row r="1858" spans="1:11" ht="42" customHeight="1">
      <c r="A1858" s="2" t="s">
        <v>5371</v>
      </c>
      <c r="B1858" s="2" t="s">
        <v>5371</v>
      </c>
      <c r="C1858" s="2" t="s">
        <v>25</v>
      </c>
      <c r="D1858" s="2" t="s">
        <v>26</v>
      </c>
      <c r="E1858" s="3" t="s">
        <v>258</v>
      </c>
      <c r="F1858" s="3" t="s">
        <v>1673</v>
      </c>
      <c r="G1858" s="3" t="s">
        <v>89</v>
      </c>
      <c r="H1858" s="2" t="s">
        <v>55</v>
      </c>
      <c r="I1858" s="2" t="s">
        <v>5372</v>
      </c>
      <c r="J1858" s="3" t="str">
        <f>HYPERLINK("https://www.boe.es/gazeta/dias/1809/03/17/pdfs/GGB-G-1809-12.pdf#page=1","Abrir facsímil")</f>
        <v>Abrir facsímil</v>
      </c>
      <c r="K1858" s="3" t="s">
        <v>57</v>
      </c>
    </row>
    <row r="1859" spans="1:11" ht="42" customHeight="1">
      <c r="A1859" s="2" t="s">
        <v>5373</v>
      </c>
      <c r="B1859" s="2" t="s">
        <v>5374</v>
      </c>
      <c r="C1859" s="2" t="s">
        <v>25</v>
      </c>
      <c r="D1859" s="2" t="s">
        <v>26</v>
      </c>
      <c r="E1859" s="3" t="s">
        <v>207</v>
      </c>
      <c r="F1859" s="3" t="s">
        <v>208</v>
      </c>
      <c r="G1859" s="3" t="s">
        <v>209</v>
      </c>
      <c r="H1859" s="2" t="s">
        <v>55</v>
      </c>
      <c r="I1859" s="2" t="s">
        <v>5375</v>
      </c>
      <c r="J1859" s="3" t="str">
        <f>HYPERLINK("https://www.boe.es/gazeta/dias/1809/09/16/pdfs/GMD-1809-260.pdf#page=4","Abrir facsímil")</f>
        <v>Abrir facsímil</v>
      </c>
      <c r="K1859" s="3" t="s">
        <v>57</v>
      </c>
    </row>
    <row r="1860" spans="1:11" ht="42" customHeight="1">
      <c r="A1860" s="2" t="s">
        <v>5376</v>
      </c>
      <c r="B1860" s="2" t="s">
        <v>5376</v>
      </c>
      <c r="C1860" s="2" t="s">
        <v>17</v>
      </c>
      <c r="D1860" s="2" t="s">
        <v>107</v>
      </c>
      <c r="E1860" s="3" t="s">
        <v>1288</v>
      </c>
      <c r="F1860" s="3" t="s">
        <v>2401</v>
      </c>
      <c r="G1860" s="3" t="s">
        <v>5377</v>
      </c>
      <c r="H1860" s="2" t="s">
        <v>55</v>
      </c>
      <c r="I1860" s="2" t="s">
        <v>5378</v>
      </c>
      <c r="J1860" s="3" t="str">
        <f>HYPERLINK("https://www.boe.es/gazeta/dias/1809/07/28/pdfs/GMD-1809-210.pdf#page=1","Abrir facsímil")</f>
        <v>Abrir facsímil</v>
      </c>
      <c r="K1860" s="3" t="s">
        <v>57</v>
      </c>
    </row>
    <row r="1861" spans="1:11" ht="42" customHeight="1">
      <c r="A1861" s="2" t="s">
        <v>5379</v>
      </c>
      <c r="B1861" s="2" t="s">
        <v>5380</v>
      </c>
      <c r="C1861" s="2" t="s">
        <v>25</v>
      </c>
      <c r="D1861" s="2" t="s">
        <v>80</v>
      </c>
      <c r="E1861" s="3" t="s">
        <v>179</v>
      </c>
      <c r="F1861" s="3" t="s">
        <v>180</v>
      </c>
      <c r="G1861" s="3" t="s">
        <v>239</v>
      </c>
      <c r="H1861" s="2" t="s">
        <v>55</v>
      </c>
      <c r="I1861" s="2" t="s">
        <v>5381</v>
      </c>
      <c r="J1861" s="3" t="str">
        <f>HYPERLINK("https://www.boe.es/gazeta/dias/1809/12/08/pdfs/GGB-1809-552E.pdf#page=2","Abrir facsímil")</f>
        <v>Abrir facsímil</v>
      </c>
      <c r="K1861" s="3" t="s">
        <v>57</v>
      </c>
    </row>
    <row r="1862" spans="1:11" ht="42" customHeight="1">
      <c r="A1862" s="2" t="s">
        <v>5382</v>
      </c>
      <c r="B1862" s="2" t="s">
        <v>5383</v>
      </c>
      <c r="C1862" s="2" t="s">
        <v>17</v>
      </c>
      <c r="D1862" s="2" t="s">
        <v>18</v>
      </c>
      <c r="E1862" s="3" t="s">
        <v>87</v>
      </c>
      <c r="F1862" s="3" t="s">
        <v>88</v>
      </c>
      <c r="G1862" s="3" t="s">
        <v>239</v>
      </c>
      <c r="H1862" s="2" t="s">
        <v>55</v>
      </c>
      <c r="I1862" s="2" t="s">
        <v>5384</v>
      </c>
      <c r="J1862" s="3" t="str">
        <f>HYPERLINK("https://www.boe.es/gazeta/dias/1809/02/15/pdfs/GMD-1809-46.pdf#page=3","Abrir facsímil")</f>
        <v>Abrir facsímil</v>
      </c>
      <c r="K1862" s="3" t="s">
        <v>57</v>
      </c>
    </row>
    <row r="1863" spans="1:11" ht="42" customHeight="1">
      <c r="A1863" s="2" t="s">
        <v>5385</v>
      </c>
      <c r="B1863" s="2" t="s">
        <v>5386</v>
      </c>
      <c r="C1863" s="2" t="s">
        <v>25</v>
      </c>
      <c r="D1863" s="2" t="s">
        <v>18</v>
      </c>
      <c r="E1863" s="3" t="s">
        <v>102</v>
      </c>
      <c r="F1863" s="3" t="s">
        <v>103</v>
      </c>
      <c r="G1863" s="3" t="s">
        <v>5387</v>
      </c>
      <c r="H1863" s="2" t="s">
        <v>55</v>
      </c>
      <c r="I1863" s="2" t="s">
        <v>5388</v>
      </c>
      <c r="J1863" s="3" t="str">
        <f>HYPERLINK("https://www.boe.es/gazeta/dias/1809/09/28/pdfs/GGB-1809-252.pdf#page=3","Abrir facsímil")</f>
        <v>Abrir facsímil</v>
      </c>
      <c r="K1863" s="3" t="s">
        <v>57</v>
      </c>
    </row>
    <row r="1864" spans="1:11" ht="42" customHeight="1">
      <c r="A1864" s="2" t="s">
        <v>5389</v>
      </c>
      <c r="B1864" s="2" t="s">
        <v>5389</v>
      </c>
      <c r="C1864" s="2" t="s">
        <v>131</v>
      </c>
      <c r="D1864" s="2" t="s">
        <v>18</v>
      </c>
      <c r="E1864" s="3" t="s">
        <v>2002</v>
      </c>
      <c r="F1864" s="3" t="s">
        <v>2003</v>
      </c>
      <c r="G1864" s="3" t="s">
        <v>789</v>
      </c>
      <c r="H1864" s="2" t="s">
        <v>55</v>
      </c>
      <c r="I1864" s="2" t="s">
        <v>5390</v>
      </c>
      <c r="J1864" s="3" t="str">
        <f>HYPERLINK("https://www.boe.es/gazeta/dias/1809/08/07/pdfs/GMD-1809-220.pdf#page=2","Abrir facsímil")</f>
        <v>Abrir facsímil</v>
      </c>
      <c r="K1864" s="3" t="s">
        <v>57</v>
      </c>
    </row>
    <row r="1865" spans="1:11" ht="42" customHeight="1">
      <c r="A1865" s="2" t="s">
        <v>5391</v>
      </c>
      <c r="B1865" s="2" t="s">
        <v>5392</v>
      </c>
      <c r="C1865" s="2" t="s">
        <v>17</v>
      </c>
      <c r="D1865" s="2" t="s">
        <v>18</v>
      </c>
      <c r="E1865" s="3" t="s">
        <v>196</v>
      </c>
      <c r="F1865" s="3" t="s">
        <v>197</v>
      </c>
      <c r="G1865" s="3" t="s">
        <v>198</v>
      </c>
      <c r="H1865" s="2" t="s">
        <v>55</v>
      </c>
      <c r="I1865" s="2" t="s">
        <v>5393</v>
      </c>
      <c r="J1865" s="3" t="str">
        <f>HYPERLINK("https://www.boe.es/gazeta/dias/1809/09/04/pdfs/GMD-1809-248.pdf#page=3","Abrir facsímil")</f>
        <v>Abrir facsímil</v>
      </c>
      <c r="K1865" s="3" t="s">
        <v>57</v>
      </c>
    </row>
    <row r="1866" spans="1:11" ht="42" customHeight="1">
      <c r="A1866" s="2" t="s">
        <v>5394</v>
      </c>
      <c r="B1866" s="2" t="s">
        <v>5395</v>
      </c>
      <c r="C1866" s="2" t="s">
        <v>25</v>
      </c>
      <c r="D1866" s="2" t="s">
        <v>18</v>
      </c>
      <c r="E1866" s="3" t="s">
        <v>857</v>
      </c>
      <c r="F1866" s="3" t="s">
        <v>858</v>
      </c>
      <c r="G1866" s="3" t="s">
        <v>906</v>
      </c>
      <c r="H1866" s="2" t="s">
        <v>22</v>
      </c>
      <c r="I1866" s="2" t="s">
        <v>5396</v>
      </c>
      <c r="J1866" s="3" t="str">
        <f>HYPERLINK("https://www.boe.es/gazeta/dias/1809/05/01/pdfs/GGB-1809-23.pdf#page=8","Abrir facsímil")</f>
        <v>Abrir facsímil</v>
      </c>
      <c r="K1866" s="3" t="s">
        <v>24</v>
      </c>
    </row>
    <row r="1867" spans="1:11" ht="42" customHeight="1">
      <c r="A1867" s="2" t="s">
        <v>5397</v>
      </c>
      <c r="B1867" s="2" t="s">
        <v>5398</v>
      </c>
      <c r="C1867" s="2" t="s">
        <v>17</v>
      </c>
      <c r="D1867" s="2" t="s">
        <v>40</v>
      </c>
      <c r="E1867" s="3" t="s">
        <v>3521</v>
      </c>
      <c r="F1867" s="3" t="s">
        <v>5399</v>
      </c>
      <c r="G1867" s="3" t="s">
        <v>5400</v>
      </c>
      <c r="H1867" s="2" t="s">
        <v>55</v>
      </c>
      <c r="I1867" s="2" t="s">
        <v>5401</v>
      </c>
      <c r="J1867" s="3" t="str">
        <f>HYPERLINK("https://www.boe.es/gazeta/dias/1809/02/24/pdfs/GGB-G-1809-9.pdf#page=7","Abrir facsímil")</f>
        <v>Abrir facsímil</v>
      </c>
      <c r="K1867" s="3" t="s">
        <v>57</v>
      </c>
    </row>
    <row r="1868" spans="1:11" ht="42" customHeight="1">
      <c r="A1868" s="2" t="s">
        <v>5402</v>
      </c>
      <c r="B1868" s="2" t="s">
        <v>5403</v>
      </c>
      <c r="C1868" s="2" t="s">
        <v>17</v>
      </c>
      <c r="D1868" s="2" t="s">
        <v>18</v>
      </c>
      <c r="E1868" s="3" t="s">
        <v>1700</v>
      </c>
      <c r="F1868" s="3" t="s">
        <v>5404</v>
      </c>
      <c r="G1868" s="3" t="s">
        <v>5405</v>
      </c>
      <c r="H1868" s="2" t="s">
        <v>22</v>
      </c>
      <c r="I1868" s="2" t="s">
        <v>5406</v>
      </c>
      <c r="J1868" s="3" t="str">
        <f>HYPERLINK("https://www.boe.es/gazeta/dias/1809/01/16/pdfs/GMD-1809-16.pdf#page=3","Abrir facsímil")</f>
        <v>Abrir facsímil</v>
      </c>
      <c r="K1868" s="3" t="s">
        <v>24</v>
      </c>
    </row>
    <row r="1869" spans="1:11" ht="42" customHeight="1">
      <c r="A1869" s="2" t="s">
        <v>5407</v>
      </c>
      <c r="B1869" s="2" t="s">
        <v>5408</v>
      </c>
      <c r="C1869" s="2" t="s">
        <v>17</v>
      </c>
      <c r="D1869" s="2" t="s">
        <v>72</v>
      </c>
      <c r="E1869" s="3" t="s">
        <v>190</v>
      </c>
      <c r="F1869" s="3" t="s">
        <v>3505</v>
      </c>
      <c r="G1869" s="3" t="s">
        <v>1278</v>
      </c>
      <c r="H1869" s="2" t="s">
        <v>55</v>
      </c>
      <c r="I1869" s="2" t="s">
        <v>5409</v>
      </c>
      <c r="J1869" s="3" t="str">
        <f>HYPERLINK("https://www.boe.es/gazeta/dias/1809/10/14/pdfs/GGB-H-1809-322.pdf#page=6","Abrir facsímil")</f>
        <v>Abrir facsímil</v>
      </c>
      <c r="K1869" s="3" t="s">
        <v>57</v>
      </c>
    </row>
    <row r="1870" spans="1:11" ht="42" customHeight="1">
      <c r="A1870" s="2" t="s">
        <v>5410</v>
      </c>
      <c r="B1870" s="2" t="s">
        <v>5411</v>
      </c>
      <c r="C1870" s="2" t="s">
        <v>17</v>
      </c>
      <c r="D1870" s="2" t="s">
        <v>18</v>
      </c>
      <c r="E1870" s="3" t="s">
        <v>2269</v>
      </c>
      <c r="F1870" s="3" t="s">
        <v>2270</v>
      </c>
      <c r="G1870" s="3" t="s">
        <v>154</v>
      </c>
      <c r="H1870" s="2" t="s">
        <v>55</v>
      </c>
      <c r="I1870" s="2" t="s">
        <v>5412</v>
      </c>
      <c r="J1870" s="3" t="str">
        <f>HYPERLINK("https://www.boe.es/gazeta/dias/1809/04/12/pdfs/GMD-1809-102.pdf#page=4","Abrir facsímil")</f>
        <v>Abrir facsímil</v>
      </c>
      <c r="K1870" s="3" t="s">
        <v>57</v>
      </c>
    </row>
    <row r="1871" spans="1:11" ht="42" customHeight="1">
      <c r="A1871" s="2" t="s">
        <v>5413</v>
      </c>
      <c r="B1871" s="2" t="s">
        <v>5414</v>
      </c>
      <c r="C1871" s="2" t="s">
        <v>131</v>
      </c>
      <c r="D1871" s="2" t="s">
        <v>18</v>
      </c>
      <c r="E1871" s="3" t="s">
        <v>53</v>
      </c>
      <c r="F1871" s="3" t="s">
        <v>54</v>
      </c>
      <c r="G1871" s="3" t="s">
        <v>29</v>
      </c>
      <c r="H1871" s="2" t="s">
        <v>55</v>
      </c>
      <c r="I1871" s="2" t="s">
        <v>5415</v>
      </c>
      <c r="J1871" s="3" t="str">
        <f>HYPERLINK("https://www.boe.es/gazeta/dias/1809/03/03/pdfs/GMD-1809-62.pdf#page=3","Abrir facsímil")</f>
        <v>Abrir facsímil</v>
      </c>
      <c r="K1871" s="3" t="s">
        <v>57</v>
      </c>
    </row>
    <row r="1872" spans="1:11" ht="42" customHeight="1">
      <c r="A1872" s="2" t="s">
        <v>5416</v>
      </c>
      <c r="B1872" s="2" t="s">
        <v>5417</v>
      </c>
      <c r="C1872" s="2" t="s">
        <v>25</v>
      </c>
      <c r="D1872" s="2" t="s">
        <v>18</v>
      </c>
      <c r="E1872" s="3" t="s">
        <v>3195</v>
      </c>
      <c r="F1872" s="3" t="s">
        <v>3196</v>
      </c>
      <c r="G1872" s="3" t="s">
        <v>129</v>
      </c>
      <c r="H1872" s="2" t="s">
        <v>55</v>
      </c>
      <c r="I1872" s="2" t="s">
        <v>5418</v>
      </c>
      <c r="J1872" s="3" t="str">
        <f>HYPERLINK("https://www.boe.es/gazeta/dias/1809/01/26/pdfs/GMD-1809-26.pdf#page=2","Abrir facsímil")</f>
        <v>Abrir facsímil</v>
      </c>
      <c r="K1872" s="3" t="s">
        <v>57</v>
      </c>
    </row>
    <row r="1873" spans="1:11" ht="42" customHeight="1">
      <c r="A1873" s="2" t="s">
        <v>5419</v>
      </c>
      <c r="B1873" s="2" t="s">
        <v>5420</v>
      </c>
      <c r="C1873" s="2" t="s">
        <v>25</v>
      </c>
      <c r="D1873" s="2" t="s">
        <v>26</v>
      </c>
      <c r="E1873" s="3" t="s">
        <v>663</v>
      </c>
      <c r="F1873" s="3" t="s">
        <v>664</v>
      </c>
      <c r="G1873" s="3" t="s">
        <v>3208</v>
      </c>
      <c r="H1873" s="2" t="s">
        <v>22</v>
      </c>
      <c r="I1873" s="2" t="s">
        <v>5421</v>
      </c>
      <c r="J1873" s="3" t="str">
        <f>HYPERLINK("https://www.boe.es/gazeta/dias/1809/08/21/pdfs/GMD-1809-234.pdf#page=1","Abrir facsímil")</f>
        <v>Abrir facsímil</v>
      </c>
      <c r="K1873" s="3" t="s">
        <v>24</v>
      </c>
    </row>
    <row r="1874" spans="1:11" ht="42" customHeight="1">
      <c r="A1874" s="2" t="s">
        <v>5422</v>
      </c>
      <c r="B1874" s="2" t="s">
        <v>5423</v>
      </c>
      <c r="C1874" s="2" t="s">
        <v>17</v>
      </c>
      <c r="D1874" s="2" t="s">
        <v>40</v>
      </c>
      <c r="E1874" s="3" t="s">
        <v>755</v>
      </c>
      <c r="F1874" s="3" t="s">
        <v>756</v>
      </c>
      <c r="G1874" s="3" t="s">
        <v>525</v>
      </c>
      <c r="H1874" s="2" t="s">
        <v>55</v>
      </c>
      <c r="I1874" s="2" t="s">
        <v>5424</v>
      </c>
      <c r="J1874" s="3" t="str">
        <f>HYPERLINK("https://www.boe.es/gazeta/dias/1809/05/20/pdfs/GMD-1809-140.pdf#page=4","Abrir facsímil")</f>
        <v>Abrir facsímil</v>
      </c>
      <c r="K1874" s="3" t="s">
        <v>57</v>
      </c>
    </row>
    <row r="1875" spans="1:11" ht="42" customHeight="1">
      <c r="A1875" s="2" t="s">
        <v>5425</v>
      </c>
      <c r="B1875" s="2" t="s">
        <v>5426</v>
      </c>
      <c r="C1875" s="2" t="s">
        <v>39</v>
      </c>
      <c r="D1875" s="2" t="s">
        <v>18</v>
      </c>
      <c r="E1875" s="3" t="s">
        <v>196</v>
      </c>
      <c r="F1875" s="3" t="s">
        <v>197</v>
      </c>
      <c r="G1875" s="3" t="s">
        <v>198</v>
      </c>
      <c r="H1875" s="2" t="s">
        <v>55</v>
      </c>
      <c r="I1875" s="2" t="s">
        <v>5427</v>
      </c>
      <c r="J1875" s="3" t="str">
        <f>HYPERLINK("https://www.boe.es/gazeta/dias/1809/09/04/pdfs/GMD-1809-248.pdf#page=3","Abrir facsímil")</f>
        <v>Abrir facsímil</v>
      </c>
      <c r="K1875" s="3" t="s">
        <v>57</v>
      </c>
    </row>
    <row r="1876" spans="1:11" ht="42" customHeight="1">
      <c r="A1876" s="2" t="s">
        <v>5428</v>
      </c>
      <c r="B1876" s="2" t="s">
        <v>5429</v>
      </c>
      <c r="C1876" s="2" t="s">
        <v>25</v>
      </c>
      <c r="D1876" s="2" t="s">
        <v>26</v>
      </c>
      <c r="E1876" s="3" t="s">
        <v>585</v>
      </c>
      <c r="F1876" s="3" t="s">
        <v>586</v>
      </c>
      <c r="G1876" s="3" t="s">
        <v>75</v>
      </c>
      <c r="H1876" s="2" t="s">
        <v>55</v>
      </c>
      <c r="I1876" s="2" t="s">
        <v>5430</v>
      </c>
      <c r="J1876" s="3" t="str">
        <f>HYPERLINK("https://www.boe.es/gazeta/dias/1809/01/09/pdfs/GMD-1809-9.pdf#page=4","Abrir facsímil")</f>
        <v>Abrir facsímil</v>
      </c>
      <c r="K1876" s="3" t="s">
        <v>57</v>
      </c>
    </row>
    <row r="1877" spans="1:11" ht="42" customHeight="1">
      <c r="A1877" s="2" t="s">
        <v>5431</v>
      </c>
      <c r="B1877" s="2" t="s">
        <v>5432</v>
      </c>
      <c r="C1877" s="2" t="s">
        <v>25</v>
      </c>
      <c r="D1877" s="2" t="s">
        <v>80</v>
      </c>
      <c r="E1877" s="3" t="s">
        <v>81</v>
      </c>
      <c r="F1877" s="3" t="s">
        <v>82</v>
      </c>
      <c r="G1877" s="3" t="s">
        <v>623</v>
      </c>
      <c r="H1877" s="2" t="s">
        <v>55</v>
      </c>
      <c r="I1877" s="2" t="s">
        <v>5433</v>
      </c>
      <c r="J1877" s="3" t="str">
        <f>HYPERLINK("https://www.boe.es/gazeta/dias/1809/04/11/pdfs/GGB-1809-16E.pdf#page=6","Abrir facsímil")</f>
        <v>Abrir facsímil</v>
      </c>
      <c r="K1877" s="3" t="s">
        <v>57</v>
      </c>
    </row>
    <row r="1878" spans="1:11" ht="42" customHeight="1">
      <c r="A1878" s="2" t="s">
        <v>5434</v>
      </c>
      <c r="B1878" s="2" t="s">
        <v>5435</v>
      </c>
      <c r="C1878" s="2" t="s">
        <v>25</v>
      </c>
      <c r="D1878" s="2" t="s">
        <v>26</v>
      </c>
      <c r="E1878" s="3" t="s">
        <v>387</v>
      </c>
      <c r="F1878" s="3" t="s">
        <v>1847</v>
      </c>
      <c r="G1878" s="3" t="s">
        <v>154</v>
      </c>
      <c r="H1878" s="2" t="s">
        <v>55</v>
      </c>
      <c r="I1878" s="2" t="s">
        <v>5436</v>
      </c>
      <c r="J1878" s="3" t="str">
        <f>HYPERLINK("https://www.boe.es/gazeta/dias/1809/09/26/pdfs/GGB-1809-242.pdf#page=7","Abrir facsímil")</f>
        <v>Abrir facsímil</v>
      </c>
      <c r="K1878" s="3" t="s">
        <v>57</v>
      </c>
    </row>
    <row r="1879" spans="1:11" ht="42" customHeight="1">
      <c r="A1879" s="2" t="s">
        <v>5437</v>
      </c>
      <c r="B1879" s="2" t="s">
        <v>5438</v>
      </c>
      <c r="C1879" s="2" t="s">
        <v>17</v>
      </c>
      <c r="D1879" s="2" t="s">
        <v>18</v>
      </c>
      <c r="E1879" s="3" t="s">
        <v>33</v>
      </c>
      <c r="F1879" s="3" t="s">
        <v>34</v>
      </c>
      <c r="G1879" s="3" t="s">
        <v>595</v>
      </c>
      <c r="H1879" s="2" t="s">
        <v>55</v>
      </c>
      <c r="I1879" s="2" t="s">
        <v>5439</v>
      </c>
      <c r="J1879" s="3" t="str">
        <f>HYPERLINK("https://www.boe.es/gazeta/dias/1809/12/19/pdfs/GGB-1809-602.pdf#page=7","Abrir facsímil")</f>
        <v>Abrir facsímil</v>
      </c>
      <c r="K1879" s="3" t="s">
        <v>57</v>
      </c>
    </row>
    <row r="1880" spans="1:11" ht="42" customHeight="1">
      <c r="A1880" s="2" t="s">
        <v>5440</v>
      </c>
      <c r="B1880" s="2" t="s">
        <v>5441</v>
      </c>
      <c r="C1880" s="2" t="s">
        <v>17</v>
      </c>
      <c r="D1880" s="2" t="s">
        <v>18</v>
      </c>
      <c r="E1880" s="3" t="s">
        <v>390</v>
      </c>
      <c r="F1880" s="3" t="s">
        <v>391</v>
      </c>
      <c r="G1880" s="3" t="s">
        <v>3729</v>
      </c>
      <c r="H1880" s="2" t="s">
        <v>55</v>
      </c>
      <c r="I1880" s="2" t="s">
        <v>5442</v>
      </c>
      <c r="J1880" s="3" t="str">
        <f>HYPERLINK("https://www.boe.es/gazeta/dias/1809/10/19/pdfs/GGB-1809-342.pdf#page=7","Abrir facsímil")</f>
        <v>Abrir facsímil</v>
      </c>
      <c r="K1880" s="3" t="s">
        <v>57</v>
      </c>
    </row>
    <row r="1881" spans="1:11" ht="42" customHeight="1">
      <c r="A1881" s="2" t="s">
        <v>5443</v>
      </c>
      <c r="B1881" s="2" t="s">
        <v>5443</v>
      </c>
      <c r="C1881" s="2" t="s">
        <v>25</v>
      </c>
      <c r="D1881" s="2" t="s">
        <v>40</v>
      </c>
      <c r="E1881" s="3" t="s">
        <v>3880</v>
      </c>
      <c r="F1881" s="3" t="s">
        <v>5444</v>
      </c>
      <c r="G1881" s="3" t="s">
        <v>239</v>
      </c>
      <c r="H1881" s="2" t="s">
        <v>55</v>
      </c>
      <c r="I1881" s="2" t="s">
        <v>5445</v>
      </c>
      <c r="J1881" s="3" t="str">
        <f>HYPERLINK("https://www.boe.es/gazeta/dias/1809/03/25/pdfs/GMD-1809-84.pdf#page=3","Abrir facsímil")</f>
        <v>Abrir facsímil</v>
      </c>
      <c r="K1881" s="3" t="s">
        <v>57</v>
      </c>
    </row>
    <row r="1882" spans="1:11" ht="42" customHeight="1">
      <c r="A1882" s="2" t="s">
        <v>5446</v>
      </c>
      <c r="B1882" s="2" t="s">
        <v>5447</v>
      </c>
      <c r="C1882" s="2" t="s">
        <v>17</v>
      </c>
      <c r="D1882" s="2" t="s">
        <v>40</v>
      </c>
      <c r="E1882" s="3" t="s">
        <v>635</v>
      </c>
      <c r="F1882" s="3" t="s">
        <v>636</v>
      </c>
      <c r="G1882" s="3" t="s">
        <v>637</v>
      </c>
      <c r="H1882" s="2" t="s">
        <v>55</v>
      </c>
      <c r="I1882" s="2" t="s">
        <v>5448</v>
      </c>
      <c r="J1882" s="3" t="str">
        <f>HYPERLINK("https://www.boe.es/gazeta/dias/1809/12/16/pdfs/GGB-1809-592.pdf#page=6","Abrir facsímil")</f>
        <v>Abrir facsímil</v>
      </c>
      <c r="K1882" s="3" t="s">
        <v>57</v>
      </c>
    </row>
    <row r="1883" spans="1:11" ht="42" customHeight="1">
      <c r="A1883" s="2" t="s">
        <v>5449</v>
      </c>
      <c r="B1883" s="2" t="s">
        <v>5450</v>
      </c>
      <c r="C1883" s="2" t="s">
        <v>17</v>
      </c>
      <c r="D1883" s="2" t="s">
        <v>18</v>
      </c>
      <c r="E1883" s="3" t="s">
        <v>33</v>
      </c>
      <c r="F1883" s="3" t="s">
        <v>34</v>
      </c>
      <c r="G1883" s="3" t="s">
        <v>493</v>
      </c>
      <c r="H1883" s="2" t="s">
        <v>55</v>
      </c>
      <c r="I1883" s="2" t="s">
        <v>5451</v>
      </c>
      <c r="J1883" s="3" t="str">
        <f>HYPERLINK("https://www.boe.es/gazeta/dias/1809/12/19/pdfs/GGB-1809-602.pdf#page=6","Abrir facsímil")</f>
        <v>Abrir facsímil</v>
      </c>
      <c r="K1883" s="3" t="s">
        <v>57</v>
      </c>
    </row>
    <row r="1884" spans="1:11" ht="42" customHeight="1">
      <c r="A1884" s="2" t="s">
        <v>5452</v>
      </c>
      <c r="B1884" s="2" t="s">
        <v>5453</v>
      </c>
      <c r="C1884" s="2" t="s">
        <v>17</v>
      </c>
      <c r="D1884" s="2" t="s">
        <v>72</v>
      </c>
      <c r="E1884" s="3" t="s">
        <v>864</v>
      </c>
      <c r="F1884" s="3" t="s">
        <v>2291</v>
      </c>
      <c r="G1884" s="3" t="s">
        <v>2292</v>
      </c>
      <c r="H1884" s="2" t="s">
        <v>55</v>
      </c>
      <c r="I1884" s="2" t="s">
        <v>5454</v>
      </c>
      <c r="J1884" s="3" t="str">
        <f>HYPERLINK("https://www.boe.es/gazeta/dias/1809/08/31/pdfs/GGB-H-1809-132.pdf#page=3","Abrir facsímil")</f>
        <v>Abrir facsímil</v>
      </c>
      <c r="K1884" s="3" t="s">
        <v>57</v>
      </c>
    </row>
    <row r="1885" spans="1:11" ht="42" customHeight="1">
      <c r="A1885" s="2" t="s">
        <v>5455</v>
      </c>
      <c r="B1885" s="2" t="s">
        <v>5456</v>
      </c>
      <c r="C1885" s="2" t="s">
        <v>25</v>
      </c>
      <c r="D1885" s="2" t="s">
        <v>26</v>
      </c>
      <c r="E1885" s="3" t="s">
        <v>113</v>
      </c>
      <c r="F1885" s="3" t="s">
        <v>3549</v>
      </c>
      <c r="G1885" s="3" t="s">
        <v>129</v>
      </c>
      <c r="H1885" s="2" t="s">
        <v>55</v>
      </c>
      <c r="I1885" s="2" t="s">
        <v>5457</v>
      </c>
      <c r="J1885" s="3" t="str">
        <f>HYPERLINK("https://www.boe.es/gazeta/dias/1809/04/24/pdfs/GGB-G-1809-21.pdf#page=2","Abrir facsímil")</f>
        <v>Abrir facsímil</v>
      </c>
      <c r="K1885" s="3" t="s">
        <v>57</v>
      </c>
    </row>
    <row r="1886" spans="1:11" ht="42" customHeight="1">
      <c r="A1886" s="2" t="s">
        <v>5458</v>
      </c>
      <c r="B1886" s="2" t="s">
        <v>5459</v>
      </c>
      <c r="C1886" s="2" t="s">
        <v>25</v>
      </c>
      <c r="D1886" s="2" t="s">
        <v>107</v>
      </c>
      <c r="E1886" s="3" t="s">
        <v>410</v>
      </c>
      <c r="F1886" s="3" t="s">
        <v>411</v>
      </c>
      <c r="G1886" s="3" t="s">
        <v>316</v>
      </c>
      <c r="H1886" s="2" t="s">
        <v>55</v>
      </c>
      <c r="I1886" s="2" t="s">
        <v>5460</v>
      </c>
      <c r="J1886" s="3" t="str">
        <f>HYPERLINK("https://www.boe.es/gazeta/dias/1809/03/04/pdfs/GMD-1809-63.pdf#page=2","Abrir facsímil")</f>
        <v>Abrir facsímil</v>
      </c>
      <c r="K1886" s="3" t="s">
        <v>57</v>
      </c>
    </row>
    <row r="1887" spans="1:11" ht="42" customHeight="1">
      <c r="A1887" s="2" t="s">
        <v>5461</v>
      </c>
      <c r="B1887" s="2" t="s">
        <v>5462</v>
      </c>
      <c r="C1887" s="2" t="s">
        <v>17</v>
      </c>
      <c r="D1887" s="2" t="s">
        <v>18</v>
      </c>
      <c r="E1887" s="3" t="s">
        <v>3167</v>
      </c>
      <c r="F1887" s="3" t="s">
        <v>5463</v>
      </c>
      <c r="G1887" s="3" t="s">
        <v>316</v>
      </c>
      <c r="H1887" s="2" t="s">
        <v>55</v>
      </c>
      <c r="I1887" s="2" t="s">
        <v>5464</v>
      </c>
      <c r="J1887" s="3" t="str">
        <f>HYPERLINK("https://www.boe.es/gazeta/dias/1809/04/07/pdfs/GMD-1809-97.pdf#page=3","Abrir facsímil")</f>
        <v>Abrir facsímil</v>
      </c>
      <c r="K1887" s="3" t="s">
        <v>57</v>
      </c>
    </row>
    <row r="1888" spans="1:11" ht="42" customHeight="1">
      <c r="A1888" s="2" t="s">
        <v>5465</v>
      </c>
      <c r="B1888" s="2" t="s">
        <v>5466</v>
      </c>
      <c r="C1888" s="2" t="s">
        <v>39</v>
      </c>
      <c r="D1888" s="2" t="s">
        <v>72</v>
      </c>
      <c r="E1888" s="3" t="s">
        <v>557</v>
      </c>
      <c r="F1888" s="3" t="s">
        <v>558</v>
      </c>
      <c r="G1888" s="3" t="s">
        <v>265</v>
      </c>
      <c r="H1888" s="2" t="s">
        <v>55</v>
      </c>
      <c r="I1888" s="2" t="s">
        <v>5467</v>
      </c>
      <c r="J1888" s="3" t="str">
        <f>HYPERLINK("https://www.boe.es/gazeta/dias/1809/04/19/pdfs/GMD-E-1809-109.pdf#page=2","Abrir facsímil")</f>
        <v>Abrir facsímil</v>
      </c>
      <c r="K1888" s="3" t="s">
        <v>57</v>
      </c>
    </row>
    <row r="1889" spans="1:11" ht="42" customHeight="1">
      <c r="A1889" s="2" t="s">
        <v>5468</v>
      </c>
      <c r="B1889" s="2" t="s">
        <v>5469</v>
      </c>
      <c r="C1889" s="2" t="s">
        <v>17</v>
      </c>
      <c r="D1889" s="2" t="s">
        <v>18</v>
      </c>
      <c r="E1889" s="3" t="s">
        <v>53</v>
      </c>
      <c r="F1889" s="3" t="s">
        <v>54</v>
      </c>
      <c r="G1889" s="3" t="s">
        <v>29</v>
      </c>
      <c r="H1889" s="2" t="s">
        <v>55</v>
      </c>
      <c r="I1889" s="2" t="s">
        <v>5470</v>
      </c>
      <c r="J1889" s="3" t="str">
        <f>HYPERLINK("https://www.boe.es/gazeta/dias/1809/03/03/pdfs/GMD-1809-62.pdf#page=3","Abrir facsímil")</f>
        <v>Abrir facsímil</v>
      </c>
      <c r="K1889" s="3" t="s">
        <v>57</v>
      </c>
    </row>
    <row r="1890" spans="1:11" ht="42" customHeight="1">
      <c r="A1890" s="2" t="s">
        <v>5471</v>
      </c>
      <c r="B1890" s="2" t="s">
        <v>5472</v>
      </c>
      <c r="C1890" s="2" t="s">
        <v>131</v>
      </c>
      <c r="D1890" s="2" t="s">
        <v>18</v>
      </c>
      <c r="E1890" s="3" t="s">
        <v>305</v>
      </c>
      <c r="F1890" s="3" t="s">
        <v>306</v>
      </c>
      <c r="G1890" s="3" t="s">
        <v>5473</v>
      </c>
      <c r="H1890" s="2" t="s">
        <v>55</v>
      </c>
      <c r="I1890" s="2" t="s">
        <v>5474</v>
      </c>
      <c r="J1890" s="3" t="str">
        <f>HYPERLINK("https://www.boe.es/gazeta/dias/1809/10/20/pdfs/GMD-1809-294.pdf#page=2","Abrir facsímil")</f>
        <v>Abrir facsímil</v>
      </c>
      <c r="K1890" s="3" t="s">
        <v>57</v>
      </c>
    </row>
    <row r="1891" spans="1:11" ht="42" customHeight="1">
      <c r="A1891" s="2" t="s">
        <v>5475</v>
      </c>
      <c r="B1891" s="2" t="s">
        <v>5476</v>
      </c>
      <c r="C1891" s="2" t="s">
        <v>25</v>
      </c>
      <c r="D1891" s="2" t="s">
        <v>18</v>
      </c>
      <c r="E1891" s="3" t="s">
        <v>1603</v>
      </c>
      <c r="F1891" s="3" t="s">
        <v>2120</v>
      </c>
      <c r="G1891" s="3" t="s">
        <v>587</v>
      </c>
      <c r="H1891" s="2" t="s">
        <v>55</v>
      </c>
      <c r="I1891" s="2" t="s">
        <v>5477</v>
      </c>
      <c r="J1891" s="3" t="str">
        <f>HYPERLINK("https://www.boe.es/gazeta/dias/1809/03/31/pdfs/GMD-1809-90.pdf#page=3","Abrir facsímil")</f>
        <v>Abrir facsímil</v>
      </c>
      <c r="K1891" s="3" t="s">
        <v>57</v>
      </c>
    </row>
    <row r="1892" spans="1:11" ht="42" customHeight="1">
      <c r="A1892" s="2" t="s">
        <v>5478</v>
      </c>
      <c r="B1892" s="2" t="s">
        <v>5478</v>
      </c>
      <c r="C1892" s="2" t="s">
        <v>25</v>
      </c>
      <c r="D1892" s="2" t="s">
        <v>18</v>
      </c>
      <c r="E1892" s="3" t="s">
        <v>1921</v>
      </c>
      <c r="F1892" s="3" t="s">
        <v>1922</v>
      </c>
      <c r="G1892" s="3" t="s">
        <v>1923</v>
      </c>
      <c r="H1892" s="2" t="s">
        <v>55</v>
      </c>
      <c r="I1892" s="2" t="s">
        <v>5479</v>
      </c>
      <c r="J1892" s="3" t="str">
        <f>HYPERLINK("https://www.boe.es/gazeta/dias/1809/11/05/pdfs/GMD-1809-310.pdf#page=1","Abrir facsímil")</f>
        <v>Abrir facsímil</v>
      </c>
      <c r="K1892" s="3" t="s">
        <v>57</v>
      </c>
    </row>
    <row r="1893" spans="1:11" ht="42" customHeight="1">
      <c r="A1893" s="2" t="s">
        <v>5480</v>
      </c>
      <c r="B1893" s="2" t="s">
        <v>5480</v>
      </c>
      <c r="C1893" s="2" t="s">
        <v>25</v>
      </c>
      <c r="D1893" s="2" t="s">
        <v>26</v>
      </c>
      <c r="E1893" s="3" t="s">
        <v>1285</v>
      </c>
      <c r="F1893" s="3" t="s">
        <v>1286</v>
      </c>
      <c r="G1893" s="3" t="s">
        <v>2745</v>
      </c>
      <c r="H1893" s="2" t="s">
        <v>55</v>
      </c>
      <c r="I1893" s="2" t="s">
        <v>5481</v>
      </c>
      <c r="J1893" s="3" t="str">
        <f>HYPERLINK("https://www.boe.es/gazeta/dias/1809/07/01/pdfs/GMD-1809-182.pdf#page=1","Abrir facsímil")</f>
        <v>Abrir facsímil</v>
      </c>
      <c r="K1893" s="3" t="s">
        <v>57</v>
      </c>
    </row>
    <row r="1894" spans="1:11" ht="42" customHeight="1">
      <c r="A1894" s="2" t="s">
        <v>5482</v>
      </c>
      <c r="B1894" s="2" t="s">
        <v>5483</v>
      </c>
      <c r="C1894" s="2" t="s">
        <v>25</v>
      </c>
      <c r="D1894" s="2" t="s">
        <v>18</v>
      </c>
      <c r="E1894" s="3" t="s">
        <v>635</v>
      </c>
      <c r="F1894" s="3" t="s">
        <v>636</v>
      </c>
      <c r="G1894" s="3" t="s">
        <v>21</v>
      </c>
      <c r="H1894" s="2" t="s">
        <v>55</v>
      </c>
      <c r="I1894" s="2" t="s">
        <v>5484</v>
      </c>
      <c r="J1894" s="3" t="str">
        <f>HYPERLINK("https://www.boe.es/gazeta/dias/1809/12/16/pdfs/GGB-1809-592.pdf#page=7","Abrir facsímil")</f>
        <v>Abrir facsímil</v>
      </c>
      <c r="K1894" s="3" t="s">
        <v>57</v>
      </c>
    </row>
    <row r="1895" spans="1:11" ht="42" customHeight="1">
      <c r="A1895" s="2" t="s">
        <v>5485</v>
      </c>
      <c r="B1895" s="2" t="s">
        <v>5486</v>
      </c>
      <c r="C1895" s="2" t="s">
        <v>17</v>
      </c>
      <c r="D1895" s="2" t="s">
        <v>72</v>
      </c>
      <c r="E1895" s="3" t="s">
        <v>294</v>
      </c>
      <c r="F1895" s="3" t="s">
        <v>295</v>
      </c>
      <c r="G1895" s="3" t="s">
        <v>21</v>
      </c>
      <c r="H1895" s="2" t="s">
        <v>55</v>
      </c>
      <c r="I1895" s="2" t="s">
        <v>5487</v>
      </c>
      <c r="J1895" s="3" t="str">
        <f>HYPERLINK("https://www.boe.es/gazeta/dias/1809/09/30/pdfs/GGB-H-1809-262.pdf#page=1","Abrir facsímil")</f>
        <v>Abrir facsímil</v>
      </c>
      <c r="K1895" s="3" t="s">
        <v>57</v>
      </c>
    </row>
    <row r="1896" spans="1:11" ht="42" customHeight="1">
      <c r="A1896" s="2" t="s">
        <v>5488</v>
      </c>
      <c r="B1896" s="2" t="s">
        <v>5489</v>
      </c>
      <c r="C1896" s="2" t="s">
        <v>79</v>
      </c>
      <c r="D1896" s="2" t="s">
        <v>18</v>
      </c>
      <c r="E1896" s="3" t="s">
        <v>1640</v>
      </c>
      <c r="F1896" s="3" t="s">
        <v>3725</v>
      </c>
      <c r="G1896" s="3" t="s">
        <v>129</v>
      </c>
      <c r="H1896" s="2" t="s">
        <v>55</v>
      </c>
      <c r="I1896" s="2" t="s">
        <v>5490</v>
      </c>
      <c r="J1896" s="3" t="str">
        <f>HYPERLINK("https://www.boe.es/gazeta/dias/1809/01/06/pdfs/GMD-1809-6.pdf#page=2","Abrir facsímil")</f>
        <v>Abrir facsímil</v>
      </c>
      <c r="K1896" s="3" t="s">
        <v>57</v>
      </c>
    </row>
    <row r="1897" spans="1:11" ht="42" customHeight="1">
      <c r="A1897" s="2" t="s">
        <v>5491</v>
      </c>
      <c r="B1897" s="2" t="s">
        <v>5492</v>
      </c>
      <c r="C1897" s="2" t="s">
        <v>25</v>
      </c>
      <c r="D1897" s="2" t="s">
        <v>26</v>
      </c>
      <c r="E1897" s="3" t="s">
        <v>207</v>
      </c>
      <c r="F1897" s="3" t="s">
        <v>208</v>
      </c>
      <c r="G1897" s="3" t="s">
        <v>209</v>
      </c>
      <c r="H1897" s="2" t="s">
        <v>55</v>
      </c>
      <c r="I1897" s="2" t="s">
        <v>5493</v>
      </c>
      <c r="J1897" s="3" t="str">
        <f>HYPERLINK("https://www.boe.es/gazeta/dias/1809/09/16/pdfs/GMD-1809-260.pdf#page=4","Abrir facsímil")</f>
        <v>Abrir facsímil</v>
      </c>
      <c r="K1897" s="3" t="s">
        <v>57</v>
      </c>
    </row>
    <row r="1898" spans="1:11" ht="42" customHeight="1">
      <c r="A1898" s="2" t="s">
        <v>5494</v>
      </c>
      <c r="B1898" s="2" t="s">
        <v>5494</v>
      </c>
      <c r="C1898" s="2" t="s">
        <v>17</v>
      </c>
      <c r="D1898" s="2" t="s">
        <v>18</v>
      </c>
      <c r="E1898" s="3" t="s">
        <v>609</v>
      </c>
      <c r="F1898" s="3" t="s">
        <v>610</v>
      </c>
      <c r="G1898" s="3" t="s">
        <v>2010</v>
      </c>
      <c r="H1898" s="2" t="s">
        <v>55</v>
      </c>
      <c r="I1898" s="2" t="s">
        <v>5495</v>
      </c>
      <c r="J1898" s="3" t="str">
        <f>HYPERLINK("https://www.boe.es/gazeta/dias/1809/11/25/pdfs/GGB-1809-502.pdf#page=1","Abrir facsímil")</f>
        <v>Abrir facsímil</v>
      </c>
      <c r="K1898" s="3" t="s">
        <v>57</v>
      </c>
    </row>
    <row r="1899" spans="1:11" ht="42" customHeight="1">
      <c r="A1899" s="2" t="s">
        <v>5496</v>
      </c>
      <c r="B1899" s="2" t="s">
        <v>5496</v>
      </c>
      <c r="C1899" s="2" t="s">
        <v>25</v>
      </c>
      <c r="D1899" s="2" t="s">
        <v>18</v>
      </c>
      <c r="E1899" s="3" t="s">
        <v>102</v>
      </c>
      <c r="F1899" s="3" t="s">
        <v>103</v>
      </c>
      <c r="G1899" s="3" t="s">
        <v>5497</v>
      </c>
      <c r="H1899" s="2" t="s">
        <v>55</v>
      </c>
      <c r="I1899" s="2" t="s">
        <v>5498</v>
      </c>
      <c r="J1899" s="3" t="str">
        <f>HYPERLINK("https://www.boe.es/gazeta/dias/1809/09/28/pdfs/GGB-1809-252.pdf#page=1","Abrir facsímil")</f>
        <v>Abrir facsímil</v>
      </c>
      <c r="K1899" s="3" t="s">
        <v>57</v>
      </c>
    </row>
    <row r="1900" spans="1:11" ht="42" customHeight="1">
      <c r="A1900" s="2" t="s">
        <v>5499</v>
      </c>
      <c r="B1900" s="2" t="s">
        <v>5499</v>
      </c>
      <c r="C1900" s="2" t="s">
        <v>369</v>
      </c>
      <c r="D1900" s="2" t="s">
        <v>18</v>
      </c>
      <c r="E1900" s="3" t="s">
        <v>589</v>
      </c>
      <c r="F1900" s="3" t="s">
        <v>1329</v>
      </c>
      <c r="G1900" s="3" t="s">
        <v>154</v>
      </c>
      <c r="H1900" s="2" t="s">
        <v>55</v>
      </c>
      <c r="I1900" s="2" t="s">
        <v>5500</v>
      </c>
      <c r="J1900" s="3" t="str">
        <f>HYPERLINK("https://www.boe.es/gazeta/dias/1809/10/05/pdfs/GMD-1809-279.pdf#page=2","Abrir facsímil")</f>
        <v>Abrir facsímil</v>
      </c>
      <c r="K1900" s="3" t="s">
        <v>57</v>
      </c>
    </row>
    <row r="1901" spans="1:11" ht="42" customHeight="1">
      <c r="A1901" s="2" t="s">
        <v>5501</v>
      </c>
      <c r="B1901" s="2" t="s">
        <v>5501</v>
      </c>
      <c r="C1901" s="2" t="s">
        <v>25</v>
      </c>
      <c r="D1901" s="2" t="s">
        <v>26</v>
      </c>
      <c r="E1901" s="3" t="s">
        <v>4624</v>
      </c>
      <c r="F1901" s="3" t="s">
        <v>4625</v>
      </c>
      <c r="G1901" s="3" t="s">
        <v>1152</v>
      </c>
      <c r="H1901" s="2" t="s">
        <v>55</v>
      </c>
      <c r="I1901" s="2" t="s">
        <v>5502</v>
      </c>
      <c r="J1901" s="3" t="str">
        <f>HYPERLINK("https://www.boe.es/gazeta/dias/1809/01/31/pdfs/GMD-1809-31.pdf#page=2","Abrir facsímil")</f>
        <v>Abrir facsímil</v>
      </c>
      <c r="K1901" s="3" t="s">
        <v>57</v>
      </c>
    </row>
    <row r="1902" spans="1:11" ht="42" customHeight="1">
      <c r="A1902" s="2" t="s">
        <v>5503</v>
      </c>
      <c r="B1902" s="2" t="s">
        <v>5503</v>
      </c>
      <c r="C1902" s="2" t="s">
        <v>25</v>
      </c>
      <c r="D1902" s="2" t="s">
        <v>18</v>
      </c>
      <c r="E1902" s="3" t="s">
        <v>1276</v>
      </c>
      <c r="F1902" s="3" t="s">
        <v>1277</v>
      </c>
      <c r="G1902" s="3" t="s">
        <v>75</v>
      </c>
      <c r="H1902" s="2" t="s">
        <v>55</v>
      </c>
      <c r="I1902" s="2" t="s">
        <v>5504</v>
      </c>
      <c r="J1902" s="3" t="str">
        <f>HYPERLINK("https://www.boe.es/gazeta/dias/1809/01/03/pdfs/GMS-1809-63.pdf#page=2","Abrir facsímil")</f>
        <v>Abrir facsímil</v>
      </c>
      <c r="K1902" s="3" t="s">
        <v>57</v>
      </c>
    </row>
    <row r="1903" spans="1:11" ht="42" customHeight="1">
      <c r="A1903" s="2" t="s">
        <v>5505</v>
      </c>
      <c r="B1903" s="2" t="s">
        <v>5506</v>
      </c>
      <c r="C1903" s="2" t="s">
        <v>17</v>
      </c>
      <c r="D1903" s="2" t="s">
        <v>40</v>
      </c>
      <c r="E1903" s="3" t="s">
        <v>776</v>
      </c>
      <c r="F1903" s="3" t="s">
        <v>777</v>
      </c>
      <c r="G1903" s="3" t="s">
        <v>736</v>
      </c>
      <c r="H1903" s="2" t="s">
        <v>55</v>
      </c>
      <c r="I1903" s="2" t="s">
        <v>5507</v>
      </c>
      <c r="J1903" s="3" t="str">
        <f>HYPERLINK("https://www.boe.es/gazeta/dias/1809/05/28/pdfs/GMD-E-1809-148.pdf#page=1","Abrir facsímil")</f>
        <v>Abrir facsímil</v>
      </c>
      <c r="K1903" s="3" t="s">
        <v>57</v>
      </c>
    </row>
    <row r="1904" spans="1:11" ht="42" customHeight="1">
      <c r="A1904" s="2" t="s">
        <v>5508</v>
      </c>
      <c r="B1904" s="2" t="s">
        <v>5509</v>
      </c>
      <c r="C1904" s="2" t="s">
        <v>25</v>
      </c>
      <c r="D1904" s="2" t="s">
        <v>18</v>
      </c>
      <c r="E1904" s="3" t="s">
        <v>1736</v>
      </c>
      <c r="F1904" s="3" t="s">
        <v>1737</v>
      </c>
      <c r="G1904" s="3" t="s">
        <v>3028</v>
      </c>
      <c r="H1904" s="2" t="s">
        <v>55</v>
      </c>
      <c r="I1904" s="2" t="s">
        <v>5510</v>
      </c>
      <c r="J1904" s="3" t="str">
        <f>HYPERLINK("https://www.boe.es/gazeta/dias/1809/02/28/pdfs/GMD-1809-59.pdf#page=4","Abrir facsímil")</f>
        <v>Abrir facsímil</v>
      </c>
      <c r="K1904" s="3" t="s">
        <v>57</v>
      </c>
    </row>
    <row r="1905" spans="1:11" ht="42" customHeight="1">
      <c r="A1905" s="2" t="s">
        <v>5511</v>
      </c>
      <c r="B1905" s="2" t="s">
        <v>5512</v>
      </c>
      <c r="C1905" s="2" t="s">
        <v>47</v>
      </c>
      <c r="D1905" s="2" t="s">
        <v>18</v>
      </c>
      <c r="E1905" s="3" t="s">
        <v>53</v>
      </c>
      <c r="F1905" s="3" t="s">
        <v>3411</v>
      </c>
      <c r="G1905" s="3" t="s">
        <v>693</v>
      </c>
      <c r="H1905" s="2" t="s">
        <v>55</v>
      </c>
      <c r="I1905" s="2" t="s">
        <v>5513</v>
      </c>
      <c r="J1905" s="3" t="str">
        <f>HYPERLINK("https://www.boe.es/gazeta/dias/1809/03/03/pdfs/GGB-1809-10.pdf#page=9","Abrir facsímil")</f>
        <v>Abrir facsímil</v>
      </c>
      <c r="K1905" s="3" t="s">
        <v>57</v>
      </c>
    </row>
    <row r="1906" spans="1:11" ht="42" customHeight="1">
      <c r="A1906" s="2" t="s">
        <v>5511</v>
      </c>
      <c r="B1906" s="2" t="s">
        <v>5512</v>
      </c>
      <c r="C1906" s="2" t="s">
        <v>25</v>
      </c>
      <c r="D1906" s="2" t="s">
        <v>40</v>
      </c>
      <c r="E1906" s="3" t="s">
        <v>500</v>
      </c>
      <c r="F1906" s="3" t="s">
        <v>2357</v>
      </c>
      <c r="G1906" s="3" t="s">
        <v>225</v>
      </c>
      <c r="H1906" s="2" t="s">
        <v>55</v>
      </c>
      <c r="I1906" s="2" t="s">
        <v>5514</v>
      </c>
      <c r="J1906" s="3" t="str">
        <f>HYPERLINK("https://www.boe.es/gazeta/dias/1809/03/24/pdfs/GGB-1809-13.pdf#page=4","Abrir facsímil")</f>
        <v>Abrir facsímil</v>
      </c>
      <c r="K1906" s="3" t="s">
        <v>57</v>
      </c>
    </row>
    <row r="1907" spans="1:11" ht="42" customHeight="1">
      <c r="A1907" s="2" t="s">
        <v>5515</v>
      </c>
      <c r="B1907" s="2" t="s">
        <v>5516</v>
      </c>
      <c r="C1907" s="2" t="s">
        <v>17</v>
      </c>
      <c r="D1907" s="2" t="s">
        <v>72</v>
      </c>
      <c r="E1907" s="3" t="s">
        <v>243</v>
      </c>
      <c r="F1907" s="3" t="s">
        <v>244</v>
      </c>
      <c r="G1907" s="3" t="s">
        <v>110</v>
      </c>
      <c r="H1907" s="2" t="s">
        <v>55</v>
      </c>
      <c r="I1907" s="2" t="s">
        <v>5517</v>
      </c>
      <c r="J1907" s="3" t="str">
        <f>HYPERLINK("https://www.boe.es/gazeta/dias/1809/02/17/pdfs/GGB-G-1809-8.pdf#page=6","Abrir facsímil")</f>
        <v>Abrir facsímil</v>
      </c>
      <c r="K1907" s="3" t="s">
        <v>57</v>
      </c>
    </row>
    <row r="1908" spans="1:11" ht="42" customHeight="1">
      <c r="A1908" s="2" t="s">
        <v>5518</v>
      </c>
      <c r="B1908" s="2" t="s">
        <v>5519</v>
      </c>
      <c r="C1908" s="2" t="s">
        <v>17</v>
      </c>
      <c r="D1908" s="2" t="s">
        <v>72</v>
      </c>
      <c r="E1908" s="3" t="s">
        <v>243</v>
      </c>
      <c r="F1908" s="3" t="s">
        <v>244</v>
      </c>
      <c r="G1908" s="3" t="s">
        <v>525</v>
      </c>
      <c r="H1908" s="2" t="s">
        <v>55</v>
      </c>
      <c r="I1908" s="2" t="s">
        <v>5520</v>
      </c>
      <c r="J1908" s="3" t="str">
        <f>HYPERLINK("https://www.boe.es/gazeta/dias/1809/02/17/pdfs/GGB-G-1809-8.pdf#page=4","Abrir facsímil")</f>
        <v>Abrir facsímil</v>
      </c>
      <c r="K1908" s="3" t="s">
        <v>57</v>
      </c>
    </row>
    <row r="1909" spans="1:11" ht="42" customHeight="1">
      <c r="A1909" s="2" t="s">
        <v>5521</v>
      </c>
      <c r="B1909" s="2" t="s">
        <v>5522</v>
      </c>
      <c r="C1909" s="2" t="s">
        <v>39</v>
      </c>
      <c r="D1909" s="2" t="s">
        <v>72</v>
      </c>
      <c r="E1909" s="3" t="s">
        <v>635</v>
      </c>
      <c r="F1909" s="3" t="s">
        <v>2073</v>
      </c>
      <c r="G1909" s="3" t="s">
        <v>2074</v>
      </c>
      <c r="H1909" s="2" t="s">
        <v>55</v>
      </c>
      <c r="I1909" s="2" t="s">
        <v>5523</v>
      </c>
      <c r="J1909" s="3" t="str">
        <f>HYPERLINK("https://www.boe.es/gazeta/dias/1809/12/16/pdfs/GGB-H-1809-592.pdf#page=7","Abrir facsímil")</f>
        <v>Abrir facsímil</v>
      </c>
      <c r="K1909" s="3" t="s">
        <v>57</v>
      </c>
    </row>
    <row r="1910" spans="1:11" ht="42" customHeight="1">
      <c r="A1910" s="2" t="s">
        <v>5524</v>
      </c>
      <c r="B1910" s="2" t="s">
        <v>5525</v>
      </c>
      <c r="C1910" s="2" t="s">
        <v>17</v>
      </c>
      <c r="D1910" s="2" t="s">
        <v>40</v>
      </c>
      <c r="E1910" s="3" t="s">
        <v>1226</v>
      </c>
      <c r="F1910" s="3" t="s">
        <v>1566</v>
      </c>
      <c r="G1910" s="3" t="s">
        <v>4510</v>
      </c>
      <c r="H1910" s="2" t="s">
        <v>55</v>
      </c>
      <c r="I1910" s="2" t="s">
        <v>5526</v>
      </c>
      <c r="J1910" s="3" t="str">
        <f>HYPERLINK("https://www.boe.es/gazeta/dias/1809/11/09/pdfs/GGB-1809-432.pdf#page=8","Abrir facsímil")</f>
        <v>Abrir facsímil</v>
      </c>
      <c r="K1910" s="3" t="s">
        <v>57</v>
      </c>
    </row>
    <row r="1911" spans="1:11" ht="42" customHeight="1">
      <c r="A1911" s="2" t="s">
        <v>5527</v>
      </c>
      <c r="B1911" s="2" t="s">
        <v>5527</v>
      </c>
      <c r="C1911" s="2" t="s">
        <v>17</v>
      </c>
      <c r="D1911" s="2" t="s">
        <v>40</v>
      </c>
      <c r="E1911" s="3" t="s">
        <v>211</v>
      </c>
      <c r="F1911" s="3" t="s">
        <v>212</v>
      </c>
      <c r="G1911" s="3" t="s">
        <v>29</v>
      </c>
      <c r="H1911" s="2" t="s">
        <v>55</v>
      </c>
      <c r="I1911" s="2" t="s">
        <v>5528</v>
      </c>
      <c r="J1911" s="3" t="str">
        <f>HYPERLINK("https://www.boe.es/gazeta/dias/1809/10/27/pdfs/GMD-1809-301.pdf#page=3","Abrir facsímil")</f>
        <v>Abrir facsímil</v>
      </c>
      <c r="K1911" s="3" t="s">
        <v>57</v>
      </c>
    </row>
    <row r="1912" spans="1:11" ht="42" customHeight="1">
      <c r="A1912" s="2" t="s">
        <v>5529</v>
      </c>
      <c r="B1912" s="2" t="s">
        <v>5530</v>
      </c>
      <c r="C1912" s="2" t="s">
        <v>25</v>
      </c>
      <c r="D1912" s="2" t="s">
        <v>80</v>
      </c>
      <c r="E1912" s="3" t="s">
        <v>179</v>
      </c>
      <c r="F1912" s="3" t="s">
        <v>180</v>
      </c>
      <c r="G1912" s="3" t="s">
        <v>966</v>
      </c>
      <c r="H1912" s="2" t="s">
        <v>55</v>
      </c>
      <c r="I1912" s="2" t="s">
        <v>5531</v>
      </c>
      <c r="J1912" s="3" t="str">
        <f>HYPERLINK("https://www.boe.es/gazeta/dias/1809/12/08/pdfs/GGB-1809-552E.pdf#page=3","Abrir facsímil")</f>
        <v>Abrir facsímil</v>
      </c>
      <c r="K1912" s="3" t="s">
        <v>57</v>
      </c>
    </row>
    <row r="1913" spans="1:11" ht="42" customHeight="1">
      <c r="A1913" s="2" t="s">
        <v>5532</v>
      </c>
      <c r="B1913" s="2" t="s">
        <v>5532</v>
      </c>
      <c r="C1913" s="2" t="s">
        <v>25</v>
      </c>
      <c r="D1913" s="2" t="s">
        <v>26</v>
      </c>
      <c r="E1913" s="3" t="s">
        <v>216</v>
      </c>
      <c r="F1913" s="3" t="s">
        <v>217</v>
      </c>
      <c r="G1913" s="3" t="s">
        <v>587</v>
      </c>
      <c r="H1913" s="2" t="s">
        <v>55</v>
      </c>
      <c r="I1913" s="2" t="s">
        <v>5533</v>
      </c>
      <c r="J1913" s="3" t="str">
        <f>HYPERLINK("https://www.boe.es/gazeta/dias/1809/12/05/pdfs/GGB-H-1809-542.pdf#page=4","Abrir facsímil")</f>
        <v>Abrir facsímil</v>
      </c>
      <c r="K1913" s="3" t="s">
        <v>57</v>
      </c>
    </row>
    <row r="1914" spans="1:11" ht="42" customHeight="1">
      <c r="A1914" s="2" t="s">
        <v>5534</v>
      </c>
      <c r="B1914" s="2" t="s">
        <v>5535</v>
      </c>
      <c r="C1914" s="2" t="s">
        <v>25</v>
      </c>
      <c r="D1914" s="2" t="s">
        <v>80</v>
      </c>
      <c r="E1914" s="3" t="s">
        <v>81</v>
      </c>
      <c r="F1914" s="3" t="s">
        <v>82</v>
      </c>
      <c r="G1914" s="3" t="s">
        <v>3332</v>
      </c>
      <c r="H1914" s="2" t="s">
        <v>55</v>
      </c>
      <c r="I1914" s="2" t="s">
        <v>5536</v>
      </c>
      <c r="J1914" s="3" t="str">
        <f>HYPERLINK("https://www.boe.es/gazeta/dias/1809/04/11/pdfs/GGB-1809-16E.pdf#page=8","Abrir facsímil")</f>
        <v>Abrir facsímil</v>
      </c>
      <c r="K1914" s="3" t="s">
        <v>57</v>
      </c>
    </row>
    <row r="1915" spans="1:11" ht="42" customHeight="1">
      <c r="A1915" s="2" t="s">
        <v>5537</v>
      </c>
      <c r="B1915" s="2" t="s">
        <v>5538</v>
      </c>
      <c r="C1915" s="2" t="s">
        <v>17</v>
      </c>
      <c r="D1915" s="2" t="s">
        <v>18</v>
      </c>
      <c r="E1915" s="3" t="s">
        <v>60</v>
      </c>
      <c r="F1915" s="3" t="s">
        <v>61</v>
      </c>
      <c r="G1915" s="3" t="s">
        <v>62</v>
      </c>
      <c r="H1915" s="2" t="s">
        <v>55</v>
      </c>
      <c r="I1915" s="2" t="s">
        <v>5539</v>
      </c>
      <c r="J1915" s="3" t="str">
        <f>HYPERLINK("https://www.boe.es/gazeta/dias/1809/02/07/pdfs/GMD-1809-38.pdf#page=4","Abrir facsímil")</f>
        <v>Abrir facsímil</v>
      </c>
      <c r="K1915" s="3" t="s">
        <v>57</v>
      </c>
    </row>
    <row r="1916" spans="1:11" ht="42" customHeight="1">
      <c r="A1916" s="2" t="s">
        <v>5540</v>
      </c>
      <c r="B1916" s="2" t="s">
        <v>5540</v>
      </c>
      <c r="C1916" s="2" t="s">
        <v>25</v>
      </c>
      <c r="D1916" s="2" t="s">
        <v>26</v>
      </c>
      <c r="E1916" s="3" t="s">
        <v>429</v>
      </c>
      <c r="F1916" s="3" t="s">
        <v>1544</v>
      </c>
      <c r="G1916" s="3" t="s">
        <v>1545</v>
      </c>
      <c r="H1916" s="2" t="s">
        <v>55</v>
      </c>
      <c r="I1916" s="2" t="s">
        <v>5541</v>
      </c>
      <c r="J1916" s="3" t="str">
        <f>HYPERLINK("https://www.boe.es/gazeta/dias/1809/06/09/pdfs/GMD-1809-160.pdf#page=2","Abrir facsímil")</f>
        <v>Abrir facsímil</v>
      </c>
      <c r="K1916" s="3" t="s">
        <v>57</v>
      </c>
    </row>
    <row r="1917" spans="1:11" ht="42" customHeight="1">
      <c r="A1917" s="2" t="s">
        <v>5542</v>
      </c>
      <c r="B1917" s="2" t="s">
        <v>5543</v>
      </c>
      <c r="C1917" s="2" t="s">
        <v>17</v>
      </c>
      <c r="D1917" s="2" t="s">
        <v>18</v>
      </c>
      <c r="E1917" s="3" t="s">
        <v>60</v>
      </c>
      <c r="F1917" s="3" t="s">
        <v>61</v>
      </c>
      <c r="G1917" s="3" t="s">
        <v>62</v>
      </c>
      <c r="H1917" s="2" t="s">
        <v>55</v>
      </c>
      <c r="I1917" s="2" t="s">
        <v>5544</v>
      </c>
      <c r="J1917" s="3" t="str">
        <f>HYPERLINK("https://www.boe.es/gazeta/dias/1809/02/07/pdfs/GMD-1809-38.pdf#page=4","Abrir facsímil")</f>
        <v>Abrir facsímil</v>
      </c>
      <c r="K1917" s="3" t="s">
        <v>57</v>
      </c>
    </row>
    <row r="1918" spans="1:11" ht="42" customHeight="1">
      <c r="A1918" s="2" t="s">
        <v>5545</v>
      </c>
      <c r="B1918" s="2" t="s">
        <v>5546</v>
      </c>
      <c r="C1918" s="2" t="s">
        <v>17</v>
      </c>
      <c r="D1918" s="2" t="s">
        <v>40</v>
      </c>
      <c r="E1918" s="3" t="s">
        <v>3880</v>
      </c>
      <c r="F1918" s="3" t="s">
        <v>5444</v>
      </c>
      <c r="G1918" s="3" t="s">
        <v>239</v>
      </c>
      <c r="H1918" s="2" t="s">
        <v>55</v>
      </c>
      <c r="I1918" s="2" t="s">
        <v>5547</v>
      </c>
      <c r="J1918" s="3" t="str">
        <f>HYPERLINK("https://www.boe.es/gazeta/dias/1809/03/25/pdfs/GMD-1809-84.pdf#page=3","Abrir facsímil")</f>
        <v>Abrir facsímil</v>
      </c>
      <c r="K1918" s="3" t="s">
        <v>57</v>
      </c>
    </row>
    <row r="1919" spans="1:11" ht="42" customHeight="1">
      <c r="A1919" s="2" t="s">
        <v>5548</v>
      </c>
      <c r="B1919" s="2" t="s">
        <v>5549</v>
      </c>
      <c r="C1919" s="2" t="s">
        <v>17</v>
      </c>
      <c r="D1919" s="2" t="s">
        <v>40</v>
      </c>
      <c r="E1919" s="3" t="s">
        <v>418</v>
      </c>
      <c r="F1919" s="3" t="s">
        <v>419</v>
      </c>
      <c r="G1919" s="3" t="s">
        <v>914</v>
      </c>
      <c r="H1919" s="2" t="s">
        <v>55</v>
      </c>
      <c r="I1919" s="2" t="s">
        <v>5550</v>
      </c>
      <c r="J1919" s="3" t="str">
        <f>HYPERLINK("https://www.boe.es/gazeta/dias/1809/03/29/pdfs/GMD-1809-88.pdf#page=4","Abrir facsímil")</f>
        <v>Abrir facsímil</v>
      </c>
      <c r="K1919" s="3" t="s">
        <v>57</v>
      </c>
    </row>
    <row r="1920" spans="1:11" ht="42" customHeight="1">
      <c r="A1920" s="2" t="s">
        <v>5551</v>
      </c>
      <c r="B1920" s="2" t="s">
        <v>5552</v>
      </c>
      <c r="C1920" s="2" t="s">
        <v>17</v>
      </c>
      <c r="D1920" s="2" t="s">
        <v>72</v>
      </c>
      <c r="E1920" s="3" t="s">
        <v>243</v>
      </c>
      <c r="F1920" s="3" t="s">
        <v>244</v>
      </c>
      <c r="G1920" s="3" t="s">
        <v>582</v>
      </c>
      <c r="H1920" s="2" t="s">
        <v>55</v>
      </c>
      <c r="I1920" s="2" t="s">
        <v>5553</v>
      </c>
      <c r="J1920" s="3" t="str">
        <f>HYPERLINK("https://www.boe.es/gazeta/dias/1809/02/17/pdfs/GGB-G-1809-8.pdf#page=7","Abrir facsímil")</f>
        <v>Abrir facsímil</v>
      </c>
      <c r="K1920" s="3" t="s">
        <v>57</v>
      </c>
    </row>
    <row r="1921" spans="1:11" ht="42" customHeight="1">
      <c r="A1921" s="2" t="s">
        <v>5554</v>
      </c>
      <c r="B1921" s="2" t="s">
        <v>5555</v>
      </c>
      <c r="C1921" s="2" t="s">
        <v>39</v>
      </c>
      <c r="D1921" s="2" t="s">
        <v>18</v>
      </c>
      <c r="E1921" s="3" t="s">
        <v>2473</v>
      </c>
      <c r="F1921" s="3" t="s">
        <v>2474</v>
      </c>
      <c r="G1921" s="3" t="s">
        <v>29</v>
      </c>
      <c r="H1921" s="2" t="s">
        <v>55</v>
      </c>
      <c r="I1921" s="2" t="s">
        <v>5556</v>
      </c>
      <c r="J1921" s="3" t="str">
        <f>HYPERLINK("https://www.boe.es/gazeta/dias/1809/02/16/pdfs/GMD-1809-47.pdf#page=3","Abrir facsímil")</f>
        <v>Abrir facsímil</v>
      </c>
      <c r="K1921" s="3" t="s">
        <v>57</v>
      </c>
    </row>
    <row r="1922" spans="1:11" ht="42" customHeight="1">
      <c r="A1922" s="2" t="s">
        <v>5557</v>
      </c>
      <c r="B1922" s="2" t="s">
        <v>5557</v>
      </c>
      <c r="C1922" s="2" t="s">
        <v>25</v>
      </c>
      <c r="D1922" s="2" t="s">
        <v>26</v>
      </c>
      <c r="E1922" s="3" t="s">
        <v>248</v>
      </c>
      <c r="F1922" s="3" t="s">
        <v>249</v>
      </c>
      <c r="G1922" s="3" t="s">
        <v>265</v>
      </c>
      <c r="H1922" s="2" t="s">
        <v>55</v>
      </c>
      <c r="I1922" s="2" t="s">
        <v>5558</v>
      </c>
      <c r="J1922" s="3" t="str">
        <f>HYPERLINK("https://www.boe.es/gazeta/dias/1809/07/26/pdfs/GGB-1809-48E.pdf#page=1","Abrir facsímil")</f>
        <v>Abrir facsímil</v>
      </c>
      <c r="K1922" s="3" t="s">
        <v>57</v>
      </c>
    </row>
    <row r="1923" spans="1:11" ht="42" customHeight="1">
      <c r="A1923" s="2" t="s">
        <v>5559</v>
      </c>
      <c r="B1923" s="2" t="s">
        <v>5559</v>
      </c>
      <c r="C1923" s="2" t="s">
        <v>131</v>
      </c>
      <c r="D1923" s="2" t="s">
        <v>26</v>
      </c>
      <c r="E1923" s="3" t="s">
        <v>814</v>
      </c>
      <c r="F1923" s="3" t="s">
        <v>2095</v>
      </c>
      <c r="G1923" s="3" t="s">
        <v>62</v>
      </c>
      <c r="H1923" s="2" t="s">
        <v>55</v>
      </c>
      <c r="I1923" s="2" t="s">
        <v>5560</v>
      </c>
      <c r="J1923" s="3" t="str">
        <f>HYPERLINK("https://www.boe.es/gazeta/dias/1809/12/09/pdfs/GMD-1809-344.pdf#page=4","Abrir facsímil")</f>
        <v>Abrir facsímil</v>
      </c>
      <c r="K1923" s="3" t="s">
        <v>57</v>
      </c>
    </row>
    <row r="1924" spans="1:11" ht="42" customHeight="1">
      <c r="A1924" s="2" t="s">
        <v>5561</v>
      </c>
      <c r="B1924" s="2" t="s">
        <v>5562</v>
      </c>
      <c r="C1924" s="2" t="s">
        <v>17</v>
      </c>
      <c r="D1924" s="2" t="s">
        <v>18</v>
      </c>
      <c r="E1924" s="3" t="s">
        <v>33</v>
      </c>
      <c r="F1924" s="3" t="s">
        <v>34</v>
      </c>
      <c r="G1924" s="3" t="s">
        <v>493</v>
      </c>
      <c r="H1924" s="2" t="s">
        <v>55</v>
      </c>
      <c r="I1924" s="2" t="s">
        <v>5563</v>
      </c>
      <c r="J1924" s="3" t="str">
        <f>HYPERLINK("https://www.boe.es/gazeta/dias/1809/12/19/pdfs/GGB-1809-602.pdf#page=6","Abrir facsímil")</f>
        <v>Abrir facsímil</v>
      </c>
      <c r="K1924" s="3" t="s">
        <v>57</v>
      </c>
    </row>
    <row r="1925" spans="1:11" ht="42" customHeight="1">
      <c r="A1925" s="2" t="s">
        <v>5564</v>
      </c>
      <c r="B1925" s="2" t="s">
        <v>5565</v>
      </c>
      <c r="C1925" s="2" t="s">
        <v>17</v>
      </c>
      <c r="D1925" s="2" t="s">
        <v>18</v>
      </c>
      <c r="E1925" s="3" t="s">
        <v>1285</v>
      </c>
      <c r="F1925" s="3" t="s">
        <v>1286</v>
      </c>
      <c r="G1925" s="3" t="s">
        <v>141</v>
      </c>
      <c r="H1925" s="2" t="s">
        <v>55</v>
      </c>
      <c r="I1925" s="2" t="s">
        <v>5566</v>
      </c>
      <c r="J1925" s="3" t="str">
        <f>HYPERLINK("https://www.boe.es/gazeta/dias/1809/07/01/pdfs/GMD-1809-182.pdf#page=3","Abrir facsímil")</f>
        <v>Abrir facsímil</v>
      </c>
      <c r="K1925" s="3" t="s">
        <v>57</v>
      </c>
    </row>
    <row r="1926" spans="1:11" ht="42" customHeight="1">
      <c r="A1926" s="2" t="s">
        <v>5567</v>
      </c>
      <c r="B1926" s="2" t="s">
        <v>5568</v>
      </c>
      <c r="C1926" s="2" t="s">
        <v>17</v>
      </c>
      <c r="D1926" s="2" t="s">
        <v>72</v>
      </c>
      <c r="E1926" s="3" t="s">
        <v>243</v>
      </c>
      <c r="F1926" s="3" t="s">
        <v>244</v>
      </c>
      <c r="G1926" s="3" t="s">
        <v>110</v>
      </c>
      <c r="H1926" s="2" t="s">
        <v>55</v>
      </c>
      <c r="I1926" s="2" t="s">
        <v>5569</v>
      </c>
      <c r="J1926" s="3" t="str">
        <f>HYPERLINK("https://www.boe.es/gazeta/dias/1809/02/17/pdfs/GGB-G-1809-8.pdf#page=5","Abrir facsímil")</f>
        <v>Abrir facsímil</v>
      </c>
      <c r="K1926" s="3" t="s">
        <v>57</v>
      </c>
    </row>
    <row r="1927" spans="1:11" ht="42" customHeight="1">
      <c r="A1927" s="2" t="s">
        <v>5567</v>
      </c>
      <c r="B1927" s="2" t="s">
        <v>5568</v>
      </c>
      <c r="C1927" s="2" t="s">
        <v>25</v>
      </c>
      <c r="D1927" s="2" t="s">
        <v>26</v>
      </c>
      <c r="E1927" s="3" t="s">
        <v>163</v>
      </c>
      <c r="F1927" s="3" t="s">
        <v>164</v>
      </c>
      <c r="G1927" s="3" t="s">
        <v>21</v>
      </c>
      <c r="H1927" s="2" t="s">
        <v>55</v>
      </c>
      <c r="I1927" s="2" t="s">
        <v>5570</v>
      </c>
      <c r="J1927" s="3" t="str">
        <f>HYPERLINK("https://www.boe.es/gazeta/dias/1809/03/10/pdfs/GGB-H-1809-11.pdf#page=8","Abrir facsímil")</f>
        <v>Abrir facsímil</v>
      </c>
      <c r="K1927" s="3" t="s">
        <v>57</v>
      </c>
    </row>
    <row r="1928" spans="1:11" ht="42" customHeight="1">
      <c r="A1928" s="2" t="s">
        <v>5567</v>
      </c>
      <c r="B1928" s="2" t="s">
        <v>5568</v>
      </c>
      <c r="C1928" s="2" t="s">
        <v>17</v>
      </c>
      <c r="D1928" s="2" t="s">
        <v>18</v>
      </c>
      <c r="E1928" s="3" t="s">
        <v>864</v>
      </c>
      <c r="F1928" s="3" t="s">
        <v>2684</v>
      </c>
      <c r="G1928" s="3" t="s">
        <v>5571</v>
      </c>
      <c r="H1928" s="2" t="s">
        <v>55</v>
      </c>
      <c r="I1928" s="2" t="s">
        <v>5572</v>
      </c>
      <c r="J1928" s="3" t="str">
        <f>HYPERLINK("https://www.boe.es/gazeta/dias/1809/08/31/pdfs/GGB-1809-132.pdf#page=7","Abrir facsímil")</f>
        <v>Abrir facsímil</v>
      </c>
      <c r="K1928" s="3" t="s">
        <v>57</v>
      </c>
    </row>
    <row r="1929" spans="1:11" ht="42" customHeight="1">
      <c r="A1929" s="2" t="s">
        <v>5573</v>
      </c>
      <c r="B1929" s="2" t="s">
        <v>5574</v>
      </c>
      <c r="C1929" s="2" t="s">
        <v>369</v>
      </c>
      <c r="D1929" s="2" t="s">
        <v>18</v>
      </c>
      <c r="E1929" s="3" t="s">
        <v>1276</v>
      </c>
      <c r="F1929" s="3" t="s">
        <v>1277</v>
      </c>
      <c r="G1929" s="3" t="s">
        <v>120</v>
      </c>
      <c r="H1929" s="2" t="s">
        <v>55</v>
      </c>
      <c r="I1929" s="2" t="s">
        <v>5575</v>
      </c>
      <c r="J1929" s="3" t="str">
        <f>HYPERLINK("https://www.boe.es/gazeta/dias/1809/01/03/pdfs/GMS-1809-63.pdf#page=5","Abrir facsímil")</f>
        <v>Abrir facsímil</v>
      </c>
      <c r="K1929" s="3" t="s">
        <v>57</v>
      </c>
    </row>
    <row r="1930" spans="1:11" ht="42" customHeight="1">
      <c r="A1930" s="2" t="s">
        <v>5576</v>
      </c>
      <c r="B1930" s="2" t="s">
        <v>5577</v>
      </c>
      <c r="C1930" s="2" t="s">
        <v>25</v>
      </c>
      <c r="D1930" s="2" t="s">
        <v>18</v>
      </c>
      <c r="E1930" s="3" t="s">
        <v>414</v>
      </c>
      <c r="F1930" s="3" t="s">
        <v>415</v>
      </c>
      <c r="G1930" s="3" t="s">
        <v>21</v>
      </c>
      <c r="H1930" s="2" t="s">
        <v>55</v>
      </c>
      <c r="I1930" s="2" t="s">
        <v>5578</v>
      </c>
      <c r="J1930" s="3" t="str">
        <f>HYPERLINK("https://www.boe.es/gazeta/dias/1809/03/21/pdfs/GMD-1809-80.pdf#page=3","Abrir facsímil")</f>
        <v>Abrir facsímil</v>
      </c>
      <c r="K1930" s="3" t="s">
        <v>57</v>
      </c>
    </row>
    <row r="1931" spans="1:11" ht="42" customHeight="1">
      <c r="A1931" s="2" t="s">
        <v>5576</v>
      </c>
      <c r="B1931" s="2" t="s">
        <v>5577</v>
      </c>
      <c r="C1931" s="2" t="s">
        <v>25</v>
      </c>
      <c r="D1931" s="2" t="s">
        <v>18</v>
      </c>
      <c r="E1931" s="3" t="s">
        <v>487</v>
      </c>
      <c r="F1931" s="3" t="s">
        <v>5579</v>
      </c>
      <c r="G1931" s="3" t="s">
        <v>120</v>
      </c>
      <c r="H1931" s="2" t="s">
        <v>55</v>
      </c>
      <c r="I1931" s="2" t="s">
        <v>5580</v>
      </c>
      <c r="J1931" s="3" t="str">
        <f>HYPERLINK("https://www.boe.es/gazeta/dias/1809/10/21/pdfs/GMD-1809-295.pdf#page=2","Abrir facsímil")</f>
        <v>Abrir facsímil</v>
      </c>
      <c r="K1931" s="3" t="s">
        <v>57</v>
      </c>
    </row>
    <row r="1932" spans="1:11" ht="42" customHeight="1">
      <c r="A1932" s="2" t="s">
        <v>5581</v>
      </c>
      <c r="B1932" s="2" t="s">
        <v>5582</v>
      </c>
      <c r="C1932" s="2" t="s">
        <v>25</v>
      </c>
      <c r="D1932" s="2" t="s">
        <v>40</v>
      </c>
      <c r="E1932" s="3" t="s">
        <v>163</v>
      </c>
      <c r="F1932" s="3" t="s">
        <v>478</v>
      </c>
      <c r="G1932" s="3" t="s">
        <v>1729</v>
      </c>
      <c r="H1932" s="2" t="s">
        <v>55</v>
      </c>
      <c r="I1932" s="2" t="s">
        <v>5583</v>
      </c>
      <c r="J1932" s="3" t="str">
        <f>HYPERLINK("https://www.boe.es/gazeta/dias/1809/03/10/pdfs/GGB-1809-11.pdf#page=13","Abrir facsímil")</f>
        <v>Abrir facsímil</v>
      </c>
      <c r="K1932" s="3" t="s">
        <v>57</v>
      </c>
    </row>
    <row r="1933" spans="1:11" ht="42" customHeight="1">
      <c r="A1933" s="2" t="s">
        <v>5584</v>
      </c>
      <c r="B1933" s="2" t="s">
        <v>5585</v>
      </c>
      <c r="C1933" s="2" t="s">
        <v>25</v>
      </c>
      <c r="D1933" s="2" t="s">
        <v>72</v>
      </c>
      <c r="E1933" s="3" t="s">
        <v>1206</v>
      </c>
      <c r="F1933" s="3" t="s">
        <v>1207</v>
      </c>
      <c r="G1933" s="3" t="s">
        <v>2545</v>
      </c>
      <c r="H1933" s="2" t="s">
        <v>55</v>
      </c>
      <c r="I1933" s="2" t="s">
        <v>5586</v>
      </c>
      <c r="J1933" s="3" t="str">
        <f>HYPERLINK("https://www.boe.es/gazeta/dias/1809/09/23/pdfs/GGB-H-1809-232.pdf#page=6","Abrir facsímil")</f>
        <v>Abrir facsímil</v>
      </c>
      <c r="K1933" s="3" t="s">
        <v>57</v>
      </c>
    </row>
    <row r="1934" spans="1:11" ht="42" customHeight="1">
      <c r="A1934" s="2" t="s">
        <v>5587</v>
      </c>
      <c r="B1934" s="2" t="s">
        <v>5588</v>
      </c>
      <c r="C1934" s="2" t="s">
        <v>17</v>
      </c>
      <c r="D1934" s="2" t="s">
        <v>40</v>
      </c>
      <c r="E1934" s="3" t="s">
        <v>1132</v>
      </c>
      <c r="F1934" s="3" t="s">
        <v>1133</v>
      </c>
      <c r="G1934" s="3" t="s">
        <v>1367</v>
      </c>
      <c r="H1934" s="2" t="s">
        <v>55</v>
      </c>
      <c r="I1934" s="2" t="s">
        <v>5589</v>
      </c>
      <c r="J1934" s="3" t="str">
        <f>HYPERLINK("https://www.boe.es/gazeta/dias/1809/11/11/pdfs/GGB-1809-442.pdf#page=8","Abrir facsímil")</f>
        <v>Abrir facsímil</v>
      </c>
      <c r="K1934" s="3" t="s">
        <v>57</v>
      </c>
    </row>
    <row r="1935" spans="1:11" ht="42" customHeight="1">
      <c r="A1935" s="2" t="s">
        <v>5590</v>
      </c>
      <c r="B1935" s="2" t="s">
        <v>5591</v>
      </c>
      <c r="C1935" s="2" t="s">
        <v>25</v>
      </c>
      <c r="D1935" s="2" t="s">
        <v>72</v>
      </c>
      <c r="E1935" s="3" t="s">
        <v>143</v>
      </c>
      <c r="F1935" s="3" t="s">
        <v>705</v>
      </c>
      <c r="G1935" s="3" t="s">
        <v>225</v>
      </c>
      <c r="H1935" s="2" t="s">
        <v>55</v>
      </c>
      <c r="I1935" s="2" t="s">
        <v>5592</v>
      </c>
      <c r="J1935" s="3" t="str">
        <f>HYPERLINK("https://www.boe.es/gazeta/dias/1809/11/16/pdfs/GGB-H-1809-462.pdf#page=4","Abrir facsímil")</f>
        <v>Abrir facsímil</v>
      </c>
      <c r="K1935" s="3" t="s">
        <v>57</v>
      </c>
    </row>
    <row r="1936" spans="1:11" ht="42" customHeight="1">
      <c r="A1936" s="2" t="s">
        <v>5593</v>
      </c>
      <c r="B1936" s="2" t="s">
        <v>5594</v>
      </c>
      <c r="C1936" s="2" t="s">
        <v>39</v>
      </c>
      <c r="D1936" s="2" t="s">
        <v>18</v>
      </c>
      <c r="E1936" s="3" t="s">
        <v>1603</v>
      </c>
      <c r="F1936" s="3" t="s">
        <v>2120</v>
      </c>
      <c r="G1936" s="3" t="s">
        <v>587</v>
      </c>
      <c r="H1936" s="2" t="s">
        <v>55</v>
      </c>
      <c r="I1936" s="2" t="s">
        <v>5595</v>
      </c>
      <c r="J1936" s="3" t="str">
        <f>HYPERLINK("https://www.boe.es/gazeta/dias/1809/03/31/pdfs/GMD-1809-90.pdf#page=3","Abrir facsímil")</f>
        <v>Abrir facsímil</v>
      </c>
      <c r="K1936" s="3" t="s">
        <v>57</v>
      </c>
    </row>
    <row r="1937" spans="1:11" ht="42" customHeight="1">
      <c r="A1937" s="2" t="s">
        <v>5596</v>
      </c>
      <c r="B1937" s="2" t="s">
        <v>5597</v>
      </c>
      <c r="C1937" s="2" t="s">
        <v>25</v>
      </c>
      <c r="D1937" s="2" t="s">
        <v>107</v>
      </c>
      <c r="E1937" s="3" t="s">
        <v>347</v>
      </c>
      <c r="F1937" s="3" t="s">
        <v>348</v>
      </c>
      <c r="G1937" s="3" t="s">
        <v>349</v>
      </c>
      <c r="H1937" s="2" t="s">
        <v>55</v>
      </c>
      <c r="I1937" s="2" t="s">
        <v>5598</v>
      </c>
      <c r="J1937" s="3" t="str">
        <f>HYPERLINK("https://www.boe.es/gazeta/dias/1809/03/07/pdfs/GMD-1809-66.pdf#page=3","Abrir facsímil")</f>
        <v>Abrir facsímil</v>
      </c>
      <c r="K1937" s="3" t="s">
        <v>57</v>
      </c>
    </row>
    <row r="1938" spans="1:11" ht="42" customHeight="1">
      <c r="A1938" s="2" t="s">
        <v>5599</v>
      </c>
      <c r="B1938" s="2" t="s">
        <v>5600</v>
      </c>
      <c r="C1938" s="2" t="s">
        <v>369</v>
      </c>
      <c r="D1938" s="2" t="s">
        <v>18</v>
      </c>
      <c r="E1938" s="3" t="s">
        <v>414</v>
      </c>
      <c r="F1938" s="3" t="s">
        <v>415</v>
      </c>
      <c r="G1938" s="3" t="s">
        <v>62</v>
      </c>
      <c r="H1938" s="2" t="s">
        <v>55</v>
      </c>
      <c r="I1938" s="2" t="s">
        <v>5601</v>
      </c>
      <c r="J1938" s="3" t="str">
        <f>HYPERLINK("https://www.boe.es/gazeta/dias/1809/03/21/pdfs/GMD-1809-80.pdf#page=4","Abrir facsímil")</f>
        <v>Abrir facsímil</v>
      </c>
      <c r="K1938" s="3" t="s">
        <v>57</v>
      </c>
    </row>
    <row r="1939" spans="1:11" ht="42" customHeight="1">
      <c r="A1939" s="2" t="s">
        <v>5602</v>
      </c>
      <c r="B1939" s="2" t="s">
        <v>5603</v>
      </c>
      <c r="C1939" s="2" t="s">
        <v>17</v>
      </c>
      <c r="D1939" s="2" t="s">
        <v>18</v>
      </c>
      <c r="E1939" s="3" t="s">
        <v>60</v>
      </c>
      <c r="F1939" s="3" t="s">
        <v>61</v>
      </c>
      <c r="G1939" s="3" t="s">
        <v>29</v>
      </c>
      <c r="H1939" s="2" t="s">
        <v>55</v>
      </c>
      <c r="I1939" s="2" t="s">
        <v>5604</v>
      </c>
      <c r="J1939" s="3" t="str">
        <f>HYPERLINK("https://www.boe.es/gazeta/dias/1809/02/07/pdfs/GMD-1809-38.pdf#page=3","Abrir facsímil")</f>
        <v>Abrir facsímil</v>
      </c>
      <c r="K1939" s="3" t="s">
        <v>57</v>
      </c>
    </row>
    <row r="1940" spans="1:11" ht="42" customHeight="1">
      <c r="A1940" s="2" t="s">
        <v>5605</v>
      </c>
      <c r="B1940" s="2" t="s">
        <v>5606</v>
      </c>
      <c r="C1940" s="2" t="s">
        <v>25</v>
      </c>
      <c r="D1940" s="2" t="s">
        <v>80</v>
      </c>
      <c r="E1940" s="3" t="s">
        <v>179</v>
      </c>
      <c r="F1940" s="3" t="s">
        <v>180</v>
      </c>
      <c r="G1940" s="3" t="s">
        <v>966</v>
      </c>
      <c r="H1940" s="2" t="s">
        <v>55</v>
      </c>
      <c r="I1940" s="2" t="s">
        <v>5607</v>
      </c>
      <c r="J1940" s="3" t="str">
        <f>HYPERLINK("https://www.boe.es/gazeta/dias/1809/12/08/pdfs/GGB-1809-552E.pdf#page=3","Abrir facsímil")</f>
        <v>Abrir facsímil</v>
      </c>
      <c r="K1940" s="3" t="s">
        <v>57</v>
      </c>
    </row>
    <row r="1941" spans="1:11" ht="42" customHeight="1">
      <c r="A1941" s="2" t="s">
        <v>5608</v>
      </c>
      <c r="B1941" s="2" t="s">
        <v>5608</v>
      </c>
      <c r="C1941" s="2" t="s">
        <v>47</v>
      </c>
      <c r="D1941" s="2" t="s">
        <v>18</v>
      </c>
      <c r="E1941" s="3" t="s">
        <v>548</v>
      </c>
      <c r="F1941" s="3" t="s">
        <v>549</v>
      </c>
      <c r="G1941" s="3" t="s">
        <v>687</v>
      </c>
      <c r="H1941" s="2" t="s">
        <v>55</v>
      </c>
      <c r="I1941" s="2" t="s">
        <v>5609</v>
      </c>
      <c r="J1941" s="3" t="str">
        <f>HYPERLINK("https://www.boe.es/gazeta/dias/1809/03/12/pdfs/GMD-1809-71.pdf#page=2","Abrir facsímil")</f>
        <v>Abrir facsímil</v>
      </c>
      <c r="K1941" s="3" t="s">
        <v>57</v>
      </c>
    </row>
    <row r="1942" spans="1:11" ht="42" customHeight="1">
      <c r="A1942" s="2" t="s">
        <v>5608</v>
      </c>
      <c r="B1942" s="2" t="s">
        <v>5608</v>
      </c>
      <c r="C1942" s="2" t="s">
        <v>25</v>
      </c>
      <c r="D1942" s="2" t="s">
        <v>26</v>
      </c>
      <c r="E1942" s="3" t="s">
        <v>216</v>
      </c>
      <c r="F1942" s="3" t="s">
        <v>217</v>
      </c>
      <c r="G1942" s="3" t="s">
        <v>587</v>
      </c>
      <c r="H1942" s="2" t="s">
        <v>55</v>
      </c>
      <c r="I1942" s="2" t="s">
        <v>5610</v>
      </c>
      <c r="J1942" s="3" t="str">
        <f>HYPERLINK("https://www.boe.es/gazeta/dias/1809/12/05/pdfs/GGB-H-1809-542.pdf#page=4","Abrir facsímil")</f>
        <v>Abrir facsímil</v>
      </c>
      <c r="K1942" s="3" t="s">
        <v>57</v>
      </c>
    </row>
    <row r="1943" spans="1:11" ht="42" customHeight="1">
      <c r="A1943" s="2" t="s">
        <v>5611</v>
      </c>
      <c r="B1943" s="2" t="s">
        <v>5611</v>
      </c>
      <c r="C1943" s="2" t="s">
        <v>25</v>
      </c>
      <c r="D1943" s="2" t="s">
        <v>26</v>
      </c>
      <c r="E1943" s="3" t="s">
        <v>739</v>
      </c>
      <c r="F1943" s="3" t="s">
        <v>740</v>
      </c>
      <c r="G1943" s="3" t="s">
        <v>21</v>
      </c>
      <c r="H1943" s="2" t="s">
        <v>55</v>
      </c>
      <c r="I1943" s="2" t="s">
        <v>5612</v>
      </c>
      <c r="J1943" s="3" t="str">
        <f>HYPERLINK("https://www.boe.es/gazeta/dias/1809/05/08/pdfs/GMD-1809-128.pdf#page=3","Abrir facsímil")</f>
        <v>Abrir facsímil</v>
      </c>
      <c r="K1943" s="3" t="s">
        <v>57</v>
      </c>
    </row>
    <row r="1944" spans="1:11" ht="42" customHeight="1">
      <c r="A1944" s="2" t="s">
        <v>5613</v>
      </c>
      <c r="B1944" s="2" t="s">
        <v>5613</v>
      </c>
      <c r="C1944" s="2" t="s">
        <v>79</v>
      </c>
      <c r="D1944" s="2" t="s">
        <v>18</v>
      </c>
      <c r="E1944" s="3" t="s">
        <v>327</v>
      </c>
      <c r="F1944" s="3" t="s">
        <v>328</v>
      </c>
      <c r="G1944" s="3" t="s">
        <v>329</v>
      </c>
      <c r="H1944" s="2" t="s">
        <v>55</v>
      </c>
      <c r="I1944" s="2" t="s">
        <v>5614</v>
      </c>
      <c r="J1944" s="3" t="str">
        <f>HYPERLINK("https://www.boe.es/gazeta/dias/1809/09/14/pdfs/GGB-1809-192.pdf#page=8","Abrir facsímil")</f>
        <v>Abrir facsímil</v>
      </c>
      <c r="K1944" s="3" t="s">
        <v>57</v>
      </c>
    </row>
    <row r="1945" spans="1:11" ht="42" customHeight="1">
      <c r="A1945" s="2" t="s">
        <v>5615</v>
      </c>
      <c r="B1945" s="2" t="s">
        <v>5615</v>
      </c>
      <c r="C1945" s="2" t="s">
        <v>17</v>
      </c>
      <c r="D1945" s="2" t="s">
        <v>18</v>
      </c>
      <c r="E1945" s="3" t="s">
        <v>220</v>
      </c>
      <c r="F1945" s="3" t="s">
        <v>221</v>
      </c>
      <c r="G1945" s="3" t="s">
        <v>154</v>
      </c>
      <c r="H1945" s="2" t="s">
        <v>55</v>
      </c>
      <c r="I1945" s="2" t="s">
        <v>5616</v>
      </c>
      <c r="J1945" s="3" t="str">
        <f>HYPERLINK("https://www.boe.es/gazeta/dias/1809/12/13/pdfs/GMD-1809-348.pdf#page=4","Abrir facsímil")</f>
        <v>Abrir facsímil</v>
      </c>
      <c r="K1945" s="3" t="s">
        <v>57</v>
      </c>
    </row>
    <row r="1946" spans="1:11" ht="42" customHeight="1">
      <c r="A1946" s="2" t="s">
        <v>5615</v>
      </c>
      <c r="B1946" s="2" t="s">
        <v>5615</v>
      </c>
      <c r="C1946" s="2" t="s">
        <v>25</v>
      </c>
      <c r="D1946" s="2" t="s">
        <v>26</v>
      </c>
      <c r="E1946" s="3" t="s">
        <v>223</v>
      </c>
      <c r="F1946" s="3" t="s">
        <v>224</v>
      </c>
      <c r="G1946" s="3" t="s">
        <v>225</v>
      </c>
      <c r="H1946" s="2" t="s">
        <v>55</v>
      </c>
      <c r="I1946" s="2" t="s">
        <v>5617</v>
      </c>
      <c r="J1946" s="3" t="str">
        <f>HYPERLINK("https://www.boe.es/gazeta/dias/1809/12/17/pdfs/GMD-1809-352.pdf#page=4","Abrir facsímil")</f>
        <v>Abrir facsímil</v>
      </c>
      <c r="K1946" s="3" t="s">
        <v>57</v>
      </c>
    </row>
    <row r="1947" spans="1:11" ht="42" customHeight="1">
      <c r="A1947" s="2" t="s">
        <v>5618</v>
      </c>
      <c r="B1947" s="2" t="s">
        <v>5618</v>
      </c>
      <c r="C1947" s="2" t="s">
        <v>25</v>
      </c>
      <c r="D1947" s="2" t="s">
        <v>107</v>
      </c>
      <c r="E1947" s="3" t="s">
        <v>4389</v>
      </c>
      <c r="F1947" s="3" t="s">
        <v>4390</v>
      </c>
      <c r="G1947" s="3" t="s">
        <v>2147</v>
      </c>
      <c r="H1947" s="2" t="s">
        <v>55</v>
      </c>
      <c r="I1947" s="2" t="s">
        <v>5619</v>
      </c>
      <c r="J1947" s="3" t="str">
        <f>HYPERLINK("https://www.boe.es/gazeta/dias/1809/02/06/pdfs/GMD-1809-37.pdf#page=1","Abrir facsímil")</f>
        <v>Abrir facsímil</v>
      </c>
      <c r="K1947" s="3" t="s">
        <v>57</v>
      </c>
    </row>
    <row r="1948" spans="1:11" ht="42" customHeight="1">
      <c r="A1948" s="2" t="s">
        <v>5620</v>
      </c>
      <c r="B1948" s="2" t="s">
        <v>5621</v>
      </c>
      <c r="C1948" s="2" t="s">
        <v>288</v>
      </c>
      <c r="D1948" s="2" t="s">
        <v>18</v>
      </c>
      <c r="E1948" s="3" t="s">
        <v>394</v>
      </c>
      <c r="F1948" s="3" t="s">
        <v>2563</v>
      </c>
      <c r="G1948" s="3" t="s">
        <v>5622</v>
      </c>
      <c r="H1948" s="2" t="s">
        <v>55</v>
      </c>
      <c r="I1948" s="2" t="s">
        <v>5623</v>
      </c>
      <c r="J1948" s="3" t="str">
        <f>HYPERLINK("https://www.boe.es/gazeta/dias/1809/12/14/pdfs/GMD-1809-349.pdf#page=1","Abrir facsímil")</f>
        <v>Abrir facsímil</v>
      </c>
      <c r="K1948" s="3" t="s">
        <v>57</v>
      </c>
    </row>
    <row r="1949" spans="1:11" ht="42" customHeight="1">
      <c r="A1949" s="2" t="s">
        <v>5624</v>
      </c>
      <c r="B1949" s="2" t="s">
        <v>5625</v>
      </c>
      <c r="C1949" s="2" t="s">
        <v>17</v>
      </c>
      <c r="D1949" s="2" t="s">
        <v>72</v>
      </c>
      <c r="E1949" s="3" t="s">
        <v>243</v>
      </c>
      <c r="F1949" s="3" t="s">
        <v>244</v>
      </c>
      <c r="G1949" s="3" t="s">
        <v>582</v>
      </c>
      <c r="H1949" s="2" t="s">
        <v>55</v>
      </c>
      <c r="I1949" s="2" t="s">
        <v>5626</v>
      </c>
      <c r="J1949" s="3" t="str">
        <f>HYPERLINK("https://www.boe.es/gazeta/dias/1809/02/17/pdfs/GGB-G-1809-8.pdf#page=7","Abrir facsímil")</f>
        <v>Abrir facsímil</v>
      </c>
      <c r="K1949" s="3" t="s">
        <v>57</v>
      </c>
    </row>
    <row r="1950" spans="1:11" ht="42" customHeight="1">
      <c r="A1950" s="2" t="s">
        <v>5627</v>
      </c>
      <c r="B1950" s="2" t="s">
        <v>5628</v>
      </c>
      <c r="C1950" s="2" t="s">
        <v>47</v>
      </c>
      <c r="D1950" s="2" t="s">
        <v>18</v>
      </c>
      <c r="E1950" s="3" t="s">
        <v>523</v>
      </c>
      <c r="F1950" s="3" t="s">
        <v>524</v>
      </c>
      <c r="G1950" s="3" t="s">
        <v>525</v>
      </c>
      <c r="H1950" s="2" t="s">
        <v>55</v>
      </c>
      <c r="I1950" s="2" t="s">
        <v>5629</v>
      </c>
      <c r="J1950" s="3" t="str">
        <f>HYPERLINK("https://www.boe.es/gazeta/dias/1809/02/14/pdfs/GMD-1809-45.pdf#page=1","Abrir facsímil")</f>
        <v>Abrir facsímil</v>
      </c>
      <c r="K1950" s="3" t="s">
        <v>57</v>
      </c>
    </row>
    <row r="1951" spans="1:11" ht="42" customHeight="1">
      <c r="A1951" s="2" t="s">
        <v>5630</v>
      </c>
      <c r="B1951" s="2" t="s">
        <v>5631</v>
      </c>
      <c r="C1951" s="2" t="s">
        <v>17</v>
      </c>
      <c r="D1951" s="2" t="s">
        <v>72</v>
      </c>
      <c r="E1951" s="3" t="s">
        <v>243</v>
      </c>
      <c r="F1951" s="3" t="s">
        <v>244</v>
      </c>
      <c r="G1951" s="3" t="s">
        <v>582</v>
      </c>
      <c r="H1951" s="2" t="s">
        <v>55</v>
      </c>
      <c r="I1951" s="2" t="s">
        <v>5632</v>
      </c>
      <c r="J1951" s="3" t="str">
        <f>HYPERLINK("https://www.boe.es/gazeta/dias/1809/02/17/pdfs/GGB-G-1809-8.pdf#page=7","Abrir facsímil")</f>
        <v>Abrir facsímil</v>
      </c>
      <c r="K1951" s="3" t="s">
        <v>57</v>
      </c>
    </row>
    <row r="1952" spans="1:11" ht="42" customHeight="1">
      <c r="A1952" s="2" t="s">
        <v>5633</v>
      </c>
      <c r="B1952" s="2" t="s">
        <v>5634</v>
      </c>
      <c r="C1952" s="2" t="s">
        <v>25</v>
      </c>
      <c r="D1952" s="2" t="s">
        <v>72</v>
      </c>
      <c r="E1952" s="3" t="s">
        <v>720</v>
      </c>
      <c r="F1952" s="3" t="s">
        <v>721</v>
      </c>
      <c r="G1952" s="3" t="s">
        <v>234</v>
      </c>
      <c r="H1952" s="2" t="s">
        <v>55</v>
      </c>
      <c r="I1952" s="2" t="s">
        <v>5635</v>
      </c>
      <c r="J1952" s="3" t="str">
        <f>HYPERLINK("https://www.boe.es/gazeta/dias/1809/01/27/pdfs/GGB-G-1809-5.pdf#page=7","Abrir facsímil")</f>
        <v>Abrir facsímil</v>
      </c>
      <c r="K1952" s="3" t="s">
        <v>57</v>
      </c>
    </row>
    <row r="1953" spans="1:11" ht="42" customHeight="1">
      <c r="A1953" s="2" t="s">
        <v>5636</v>
      </c>
      <c r="B1953" s="2" t="s">
        <v>5637</v>
      </c>
      <c r="C1953" s="2" t="s">
        <v>25</v>
      </c>
      <c r="D1953" s="2" t="s">
        <v>72</v>
      </c>
      <c r="E1953" s="3" t="s">
        <v>294</v>
      </c>
      <c r="F1953" s="3" t="s">
        <v>295</v>
      </c>
      <c r="G1953" s="3" t="s">
        <v>998</v>
      </c>
      <c r="H1953" s="2" t="s">
        <v>55</v>
      </c>
      <c r="I1953" s="2" t="s">
        <v>5638</v>
      </c>
      <c r="J1953" s="3" t="str">
        <f>HYPERLINK("https://www.boe.es/gazeta/dias/1809/09/30/pdfs/GGB-H-1809-262.pdf#page=4","Abrir facsímil")</f>
        <v>Abrir facsímil</v>
      </c>
      <c r="K1953" s="3" t="s">
        <v>57</v>
      </c>
    </row>
    <row r="1954" spans="1:11" ht="42" customHeight="1">
      <c r="A1954" s="2" t="s">
        <v>5639</v>
      </c>
      <c r="B1954" s="2" t="s">
        <v>5639</v>
      </c>
      <c r="C1954" s="2" t="s">
        <v>25</v>
      </c>
      <c r="D1954" s="2" t="s">
        <v>26</v>
      </c>
      <c r="E1954" s="3" t="s">
        <v>1829</v>
      </c>
      <c r="F1954" s="3" t="s">
        <v>1830</v>
      </c>
      <c r="G1954" s="3" t="s">
        <v>129</v>
      </c>
      <c r="H1954" s="2" t="s">
        <v>55</v>
      </c>
      <c r="I1954" s="2" t="s">
        <v>5640</v>
      </c>
      <c r="J1954" s="3" t="str">
        <f>HYPERLINK("https://www.boe.es/gazeta/dias/1809/09/17/pdfs/GMD-1809-261.pdf#page=2","Abrir facsímil")</f>
        <v>Abrir facsímil</v>
      </c>
      <c r="K1954" s="3" t="s">
        <v>57</v>
      </c>
    </row>
    <row r="1955" spans="1:11" ht="42" customHeight="1">
      <c r="A1955" s="2" t="s">
        <v>5641</v>
      </c>
      <c r="B1955" s="2" t="s">
        <v>5642</v>
      </c>
      <c r="C1955" s="2" t="s">
        <v>369</v>
      </c>
      <c r="D1955" s="2" t="s">
        <v>18</v>
      </c>
      <c r="E1955" s="3" t="s">
        <v>2244</v>
      </c>
      <c r="F1955" s="3" t="s">
        <v>2245</v>
      </c>
      <c r="G1955" s="3" t="s">
        <v>3015</v>
      </c>
      <c r="H1955" s="2" t="s">
        <v>55</v>
      </c>
      <c r="I1955" s="2" t="s">
        <v>5643</v>
      </c>
      <c r="J1955" s="3" t="str">
        <f>HYPERLINK("https://www.boe.es/gazeta/dias/1809/03/27/pdfs/GGB-1809-13B.pdf#page=8","Abrir facsímil")</f>
        <v>Abrir facsímil</v>
      </c>
      <c r="K1955" s="3" t="s">
        <v>57</v>
      </c>
    </row>
    <row r="1956" spans="1:11" ht="42" customHeight="1">
      <c r="A1956" s="2" t="s">
        <v>5644</v>
      </c>
      <c r="B1956" s="2" t="s">
        <v>5644</v>
      </c>
      <c r="C1956" s="2" t="s">
        <v>17</v>
      </c>
      <c r="D1956" s="2" t="s">
        <v>18</v>
      </c>
      <c r="E1956" s="3" t="s">
        <v>4170</v>
      </c>
      <c r="F1956" s="3" t="s">
        <v>4171</v>
      </c>
      <c r="G1956" s="3" t="s">
        <v>2251</v>
      </c>
      <c r="H1956" s="2" t="s">
        <v>55</v>
      </c>
      <c r="I1956" s="2" t="s">
        <v>5645</v>
      </c>
      <c r="J1956" s="3" t="str">
        <f>HYPERLINK("https://www.boe.es/gazeta/dias/1809/01/30/pdfs/GMD-1809-30.pdf#page=2","Abrir facsímil")</f>
        <v>Abrir facsímil</v>
      </c>
      <c r="K1956" s="3" t="s">
        <v>57</v>
      </c>
    </row>
    <row r="1957" spans="1:11" ht="42" customHeight="1">
      <c r="A1957" s="2" t="s">
        <v>5644</v>
      </c>
      <c r="B1957" s="2" t="s">
        <v>5644</v>
      </c>
      <c r="C1957" s="2" t="s">
        <v>47</v>
      </c>
      <c r="D1957" s="2" t="s">
        <v>18</v>
      </c>
      <c r="E1957" s="3" t="s">
        <v>3425</v>
      </c>
      <c r="F1957" s="3" t="s">
        <v>3426</v>
      </c>
      <c r="G1957" s="3" t="s">
        <v>234</v>
      </c>
      <c r="H1957" s="2" t="s">
        <v>55</v>
      </c>
      <c r="I1957" s="2" t="s">
        <v>5646</v>
      </c>
      <c r="J1957" s="3" t="str">
        <f>HYPERLINK("https://www.boe.es/gazeta/dias/1809/07/23/pdfs/GMD-1809-204.pdf#page=3","Abrir facsímil")</f>
        <v>Abrir facsímil</v>
      </c>
      <c r="K1957" s="3" t="s">
        <v>57</v>
      </c>
    </row>
    <row r="1958" spans="1:11" ht="42" customHeight="1">
      <c r="A1958" s="2" t="s">
        <v>5644</v>
      </c>
      <c r="B1958" s="2" t="s">
        <v>5644</v>
      </c>
      <c r="C1958" s="2" t="s">
        <v>17</v>
      </c>
      <c r="D1958" s="2" t="s">
        <v>18</v>
      </c>
      <c r="E1958" s="3" t="s">
        <v>1652</v>
      </c>
      <c r="F1958" s="3" t="s">
        <v>5647</v>
      </c>
      <c r="G1958" s="3" t="s">
        <v>234</v>
      </c>
      <c r="H1958" s="2" t="s">
        <v>55</v>
      </c>
      <c r="I1958" s="2" t="s">
        <v>5648</v>
      </c>
      <c r="J1958" s="3" t="str">
        <f>HYPERLINK("https://www.boe.es/gazeta/dias/1809/07/25/pdfs/GMD-1809-206.pdf#page=2","Abrir facsímil")</f>
        <v>Abrir facsímil</v>
      </c>
      <c r="K1958" s="3" t="s">
        <v>57</v>
      </c>
    </row>
    <row r="1959" spans="1:11" ht="42" customHeight="1">
      <c r="A1959" s="2" t="s">
        <v>5644</v>
      </c>
      <c r="B1959" s="2" t="s">
        <v>5644</v>
      </c>
      <c r="C1959" s="2" t="s">
        <v>25</v>
      </c>
      <c r="D1959" s="2" t="s">
        <v>26</v>
      </c>
      <c r="E1959" s="3" t="s">
        <v>73</v>
      </c>
      <c r="F1959" s="3" t="s">
        <v>1045</v>
      </c>
      <c r="G1959" s="3" t="s">
        <v>89</v>
      </c>
      <c r="H1959" s="2" t="s">
        <v>55</v>
      </c>
      <c r="I1959" s="2" t="s">
        <v>5649</v>
      </c>
      <c r="J1959" s="3" t="str">
        <f>HYPERLINK("https://www.boe.es/gazeta/dias/1809/09/21/pdfs/GMD-1809-265.pdf#page=3","Abrir facsímil")</f>
        <v>Abrir facsímil</v>
      </c>
      <c r="K1959" s="3" t="s">
        <v>57</v>
      </c>
    </row>
    <row r="1960" spans="1:11" ht="42" customHeight="1">
      <c r="A1960" s="2" t="s">
        <v>5644</v>
      </c>
      <c r="B1960" s="2" t="s">
        <v>5644</v>
      </c>
      <c r="C1960" s="2" t="s">
        <v>17</v>
      </c>
      <c r="D1960" s="2" t="s">
        <v>40</v>
      </c>
      <c r="E1960" s="3" t="s">
        <v>211</v>
      </c>
      <c r="F1960" s="3" t="s">
        <v>212</v>
      </c>
      <c r="G1960" s="3" t="s">
        <v>29</v>
      </c>
      <c r="H1960" s="2" t="s">
        <v>55</v>
      </c>
      <c r="I1960" s="2" t="s">
        <v>5650</v>
      </c>
      <c r="J1960" s="3" t="str">
        <f>HYPERLINK("https://www.boe.es/gazeta/dias/1809/10/27/pdfs/GMD-1809-301.pdf#page=3","Abrir facsímil")</f>
        <v>Abrir facsímil</v>
      </c>
      <c r="K1960" s="3" t="s">
        <v>57</v>
      </c>
    </row>
    <row r="1961" spans="1:11" ht="42" customHeight="1">
      <c r="A1961" s="2" t="s">
        <v>5644</v>
      </c>
      <c r="B1961" s="2" t="s">
        <v>5644</v>
      </c>
      <c r="C1961" s="2" t="s">
        <v>131</v>
      </c>
      <c r="D1961" s="2" t="s">
        <v>26</v>
      </c>
      <c r="E1961" s="3" t="s">
        <v>216</v>
      </c>
      <c r="F1961" s="3" t="s">
        <v>217</v>
      </c>
      <c r="G1961" s="3" t="s">
        <v>270</v>
      </c>
      <c r="H1961" s="2" t="s">
        <v>55</v>
      </c>
      <c r="I1961" s="2" t="s">
        <v>5651</v>
      </c>
      <c r="J1961" s="3" t="str">
        <f>HYPERLINK("https://www.boe.es/gazeta/dias/1809/12/05/pdfs/GGB-H-1809-542.pdf#page=3","Abrir facsímil")</f>
        <v>Abrir facsímil</v>
      </c>
      <c r="K1961" s="3" t="s">
        <v>57</v>
      </c>
    </row>
    <row r="1962" spans="1:11" ht="42" customHeight="1">
      <c r="A1962" s="2" t="s">
        <v>5652</v>
      </c>
      <c r="B1962" s="2" t="s">
        <v>5652</v>
      </c>
      <c r="C1962" s="2" t="s">
        <v>25</v>
      </c>
      <c r="D1962" s="2" t="s">
        <v>18</v>
      </c>
      <c r="E1962" s="3" t="s">
        <v>381</v>
      </c>
      <c r="F1962" s="3" t="s">
        <v>382</v>
      </c>
      <c r="G1962" s="3" t="s">
        <v>62</v>
      </c>
      <c r="H1962" s="2" t="s">
        <v>55</v>
      </c>
      <c r="I1962" s="2" t="s">
        <v>5653</v>
      </c>
      <c r="J1962" s="3" t="str">
        <f>HYPERLINK("https://www.boe.es/gazeta/dias/1809/06/27/pdfs/GMD-1809-178.pdf#page=1","Abrir facsímil")</f>
        <v>Abrir facsímil</v>
      </c>
      <c r="K1962" s="3" t="s">
        <v>57</v>
      </c>
    </row>
    <row r="1963" spans="1:11" ht="42" customHeight="1">
      <c r="A1963" s="2" t="s">
        <v>5654</v>
      </c>
      <c r="B1963" s="2" t="s">
        <v>5654</v>
      </c>
      <c r="C1963" s="2" t="s">
        <v>17</v>
      </c>
      <c r="D1963" s="2" t="s">
        <v>18</v>
      </c>
      <c r="E1963" s="3" t="s">
        <v>33</v>
      </c>
      <c r="F1963" s="3" t="s">
        <v>34</v>
      </c>
      <c r="G1963" s="3" t="s">
        <v>493</v>
      </c>
      <c r="H1963" s="2" t="s">
        <v>55</v>
      </c>
      <c r="I1963" s="2" t="s">
        <v>5655</v>
      </c>
      <c r="J1963" s="3" t="str">
        <f>HYPERLINK("https://www.boe.es/gazeta/dias/1809/12/19/pdfs/GGB-1809-602.pdf#page=6","Abrir facsímil")</f>
        <v>Abrir facsímil</v>
      </c>
      <c r="K1963" s="3" t="s">
        <v>57</v>
      </c>
    </row>
    <row r="1964" spans="1:11" ht="42" customHeight="1">
      <c r="A1964" s="2" t="s">
        <v>5656</v>
      </c>
      <c r="B1964" s="2" t="s">
        <v>5656</v>
      </c>
      <c r="C1964" s="2" t="s">
        <v>25</v>
      </c>
      <c r="D1964" s="2" t="s">
        <v>26</v>
      </c>
      <c r="E1964" s="3" t="s">
        <v>627</v>
      </c>
      <c r="F1964" s="3" t="s">
        <v>628</v>
      </c>
      <c r="G1964" s="3" t="s">
        <v>75</v>
      </c>
      <c r="H1964" s="2" t="s">
        <v>55</v>
      </c>
      <c r="I1964" s="2" t="s">
        <v>5657</v>
      </c>
      <c r="J1964" s="3" t="str">
        <f>HYPERLINK("https://www.boe.es/gazeta/dias/1809/08/28/pdfs/GMD-1809-241.pdf#page=1","Abrir facsímil")</f>
        <v>Abrir facsímil</v>
      </c>
      <c r="K1964" s="3" t="s">
        <v>57</v>
      </c>
    </row>
    <row r="1965" spans="1:11" ht="42" customHeight="1">
      <c r="A1965" s="2" t="s">
        <v>5656</v>
      </c>
      <c r="B1965" s="2" t="s">
        <v>5656</v>
      </c>
      <c r="C1965" s="2" t="s">
        <v>131</v>
      </c>
      <c r="D1965" s="2" t="s">
        <v>107</v>
      </c>
      <c r="E1965" s="3" t="s">
        <v>1396</v>
      </c>
      <c r="F1965" s="3" t="s">
        <v>2912</v>
      </c>
      <c r="G1965" s="3" t="s">
        <v>270</v>
      </c>
      <c r="H1965" s="2" t="s">
        <v>55</v>
      </c>
      <c r="I1965" s="2" t="s">
        <v>5658</v>
      </c>
      <c r="J1965" s="3" t="str">
        <f>HYPERLINK("https://www.boe.es/gazeta/dias/1809/11/28/pdfs/GMD-1809-333.pdf#page=1","Abrir facsímil")</f>
        <v>Abrir facsímil</v>
      </c>
      <c r="K1965" s="3" t="s">
        <v>57</v>
      </c>
    </row>
    <row r="1966" spans="1:11" ht="42" customHeight="1">
      <c r="A1966" s="2" t="s">
        <v>5659</v>
      </c>
      <c r="B1966" s="2" t="s">
        <v>5659</v>
      </c>
      <c r="C1966" s="2" t="s">
        <v>131</v>
      </c>
      <c r="D1966" s="2" t="s">
        <v>26</v>
      </c>
      <c r="E1966" s="3" t="s">
        <v>1555</v>
      </c>
      <c r="F1966" s="3" t="s">
        <v>1556</v>
      </c>
      <c r="G1966" s="3" t="s">
        <v>3305</v>
      </c>
      <c r="H1966" s="2" t="s">
        <v>55</v>
      </c>
      <c r="I1966" s="2" t="s">
        <v>5660</v>
      </c>
      <c r="J1966" s="3" t="str">
        <f>HYPERLINK("https://www.boe.es/gazeta/dias/1809/06/29/pdfs/GMD-1809-180.pdf#page=1","Abrir facsímil")</f>
        <v>Abrir facsímil</v>
      </c>
      <c r="K1966" s="3" t="s">
        <v>57</v>
      </c>
    </row>
    <row r="1967" spans="1:11" ht="42" customHeight="1">
      <c r="A1967" s="2" t="s">
        <v>5661</v>
      </c>
      <c r="B1967" s="2" t="s">
        <v>5662</v>
      </c>
      <c r="C1967" s="2" t="s">
        <v>17</v>
      </c>
      <c r="D1967" s="2" t="s">
        <v>18</v>
      </c>
      <c r="E1967" s="3" t="s">
        <v>925</v>
      </c>
      <c r="F1967" s="3" t="s">
        <v>926</v>
      </c>
      <c r="G1967" s="3" t="s">
        <v>270</v>
      </c>
      <c r="H1967" s="2" t="s">
        <v>55</v>
      </c>
      <c r="I1967" s="2" t="s">
        <v>5663</v>
      </c>
      <c r="J1967" s="3" t="str">
        <f>HYPERLINK("https://www.boe.es/gazeta/dias/1809/01/11/pdfs/GGB-1809-2.pdf#page=5","Abrir facsímil")</f>
        <v>Abrir facsímil</v>
      </c>
      <c r="K1967" s="3" t="s">
        <v>57</v>
      </c>
    </row>
    <row r="1968" spans="1:11" ht="42" customHeight="1">
      <c r="A1968" s="2" t="s">
        <v>5664</v>
      </c>
      <c r="B1968" s="2" t="s">
        <v>5665</v>
      </c>
      <c r="C1968" s="2" t="s">
        <v>17</v>
      </c>
      <c r="D1968" s="2" t="s">
        <v>18</v>
      </c>
      <c r="E1968" s="3" t="s">
        <v>925</v>
      </c>
      <c r="F1968" s="3" t="s">
        <v>926</v>
      </c>
      <c r="G1968" s="3" t="s">
        <v>595</v>
      </c>
      <c r="H1968" s="2" t="s">
        <v>22</v>
      </c>
      <c r="I1968" s="2" t="s">
        <v>5666</v>
      </c>
      <c r="J1968" s="3" t="str">
        <f>HYPERLINK("https://www.boe.es/gazeta/dias/1809/01/11/pdfs/GGB-1809-2.pdf#page=7","Abrir facsímil")</f>
        <v>Abrir facsímil</v>
      </c>
      <c r="K1968" s="3" t="s">
        <v>24</v>
      </c>
    </row>
    <row r="1969" spans="1:11" ht="42" customHeight="1">
      <c r="A1969" s="2" t="s">
        <v>5667</v>
      </c>
      <c r="B1969" s="2" t="s">
        <v>5668</v>
      </c>
      <c r="C1969" s="2" t="s">
        <v>17</v>
      </c>
      <c r="D1969" s="2" t="s">
        <v>18</v>
      </c>
      <c r="E1969" s="3" t="s">
        <v>925</v>
      </c>
      <c r="F1969" s="3" t="s">
        <v>926</v>
      </c>
      <c r="G1969" s="3" t="s">
        <v>595</v>
      </c>
      <c r="H1969" s="2" t="s">
        <v>55</v>
      </c>
      <c r="I1969" s="2" t="s">
        <v>5669</v>
      </c>
      <c r="J1969" s="3" t="str">
        <f>HYPERLINK("https://www.boe.es/gazeta/dias/1809/01/11/pdfs/GGB-1809-2.pdf#page=7","Abrir facsímil")</f>
        <v>Abrir facsímil</v>
      </c>
      <c r="K1969" s="3" t="s">
        <v>57</v>
      </c>
    </row>
    <row r="1970" spans="1:11" ht="42" customHeight="1">
      <c r="A1970" s="2" t="s">
        <v>5670</v>
      </c>
      <c r="B1970" s="2" t="s">
        <v>5671</v>
      </c>
      <c r="C1970" s="2" t="s">
        <v>17</v>
      </c>
      <c r="D1970" s="2" t="s">
        <v>40</v>
      </c>
      <c r="E1970" s="3" t="s">
        <v>925</v>
      </c>
      <c r="F1970" s="3" t="s">
        <v>926</v>
      </c>
      <c r="G1970" s="3" t="s">
        <v>595</v>
      </c>
      <c r="H1970" s="2" t="s">
        <v>55</v>
      </c>
      <c r="I1970" s="2" t="s">
        <v>5672</v>
      </c>
      <c r="J1970" s="3" t="str">
        <f>HYPERLINK("https://www.boe.es/gazeta/dias/1809/01/11/pdfs/GGB-1809-2.pdf#page=7","Abrir facsímil")</f>
        <v>Abrir facsímil</v>
      </c>
      <c r="K1970" s="3" t="s">
        <v>57</v>
      </c>
    </row>
    <row r="1971" spans="1:11" ht="42" customHeight="1">
      <c r="A1971" s="2" t="s">
        <v>5673</v>
      </c>
      <c r="B1971" s="2" t="s">
        <v>5674</v>
      </c>
      <c r="C1971" s="2" t="s">
        <v>17</v>
      </c>
      <c r="D1971" s="2" t="s">
        <v>18</v>
      </c>
      <c r="E1971" s="3" t="s">
        <v>925</v>
      </c>
      <c r="F1971" s="3" t="s">
        <v>926</v>
      </c>
      <c r="G1971" s="3" t="s">
        <v>595</v>
      </c>
      <c r="H1971" s="2" t="s">
        <v>55</v>
      </c>
      <c r="I1971" s="2" t="s">
        <v>5675</v>
      </c>
      <c r="J1971" s="3" t="str">
        <f>HYPERLINK("https://www.boe.es/gazeta/dias/1809/01/11/pdfs/GGB-1809-2.pdf#page=7","Abrir facsímil")</f>
        <v>Abrir facsímil</v>
      </c>
      <c r="K1971" s="3" t="s">
        <v>57</v>
      </c>
    </row>
    <row r="1972" spans="1:11" ht="42" customHeight="1">
      <c r="A1972" s="2" t="s">
        <v>5676</v>
      </c>
      <c r="B1972" s="2" t="s">
        <v>5677</v>
      </c>
      <c r="C1972" s="2" t="s">
        <v>25</v>
      </c>
      <c r="D1972" s="2" t="s">
        <v>72</v>
      </c>
      <c r="E1972" s="3" t="s">
        <v>739</v>
      </c>
      <c r="F1972" s="3" t="s">
        <v>3666</v>
      </c>
      <c r="G1972" s="3" t="s">
        <v>349</v>
      </c>
      <c r="H1972" s="2" t="s">
        <v>55</v>
      </c>
      <c r="I1972" s="2" t="s">
        <v>5678</v>
      </c>
      <c r="J1972" s="3" t="str">
        <f>HYPERLINK("https://www.boe.es/gazeta/dias/1809/05/08/pdfs/GGB-G-1809-25.pdf#page=6","Abrir facsímil")</f>
        <v>Abrir facsímil</v>
      </c>
      <c r="K1972" s="3" t="s">
        <v>57</v>
      </c>
    </row>
    <row r="1973" spans="1:11" ht="42" customHeight="1">
      <c r="A1973" s="2" t="s">
        <v>5679</v>
      </c>
      <c r="B1973" s="2" t="s">
        <v>5680</v>
      </c>
      <c r="C1973" s="2" t="s">
        <v>17</v>
      </c>
      <c r="D1973" s="2" t="s">
        <v>18</v>
      </c>
      <c r="E1973" s="3" t="s">
        <v>92</v>
      </c>
      <c r="F1973" s="3" t="s">
        <v>1383</v>
      </c>
      <c r="G1973" s="3" t="s">
        <v>94</v>
      </c>
      <c r="H1973" s="2" t="s">
        <v>55</v>
      </c>
      <c r="I1973" s="2" t="s">
        <v>5681</v>
      </c>
      <c r="J1973" s="3" t="str">
        <f>HYPERLINK("https://www.boe.es/gazeta/dias/1809/05/22/pdfs/GGB-1809-30.pdf#page=5","Abrir facsímil")</f>
        <v>Abrir facsímil</v>
      </c>
      <c r="K1973" s="3" t="s">
        <v>57</v>
      </c>
    </row>
    <row r="1974" spans="1:11" ht="42" customHeight="1">
      <c r="A1974" s="2" t="s">
        <v>5682</v>
      </c>
      <c r="B1974" s="2" t="s">
        <v>5683</v>
      </c>
      <c r="C1974" s="2" t="s">
        <v>17</v>
      </c>
      <c r="D1974" s="2" t="s">
        <v>40</v>
      </c>
      <c r="E1974" s="3" t="s">
        <v>627</v>
      </c>
      <c r="F1974" s="3" t="s">
        <v>628</v>
      </c>
      <c r="G1974" s="3" t="s">
        <v>270</v>
      </c>
      <c r="H1974" s="2" t="s">
        <v>55</v>
      </c>
      <c r="I1974" s="2" t="s">
        <v>5684</v>
      </c>
      <c r="J1974" s="3" t="str">
        <f>HYPERLINK("https://www.boe.es/gazeta/dias/1809/08/28/pdfs/GMD-1809-241.pdf#page=3","Abrir facsímil")</f>
        <v>Abrir facsímil</v>
      </c>
      <c r="K1974" s="3" t="s">
        <v>57</v>
      </c>
    </row>
    <row r="1975" spans="1:11" ht="42" customHeight="1">
      <c r="A1975" s="2" t="s">
        <v>5685</v>
      </c>
      <c r="B1975" s="2" t="s">
        <v>5686</v>
      </c>
      <c r="C1975" s="2" t="s">
        <v>17</v>
      </c>
      <c r="D1975" s="2" t="s">
        <v>40</v>
      </c>
      <c r="E1975" s="3" t="s">
        <v>102</v>
      </c>
      <c r="F1975" s="3" t="s">
        <v>1095</v>
      </c>
      <c r="G1975" s="3" t="s">
        <v>75</v>
      </c>
      <c r="H1975" s="2" t="s">
        <v>55</v>
      </c>
      <c r="I1975" s="2" t="s">
        <v>5687</v>
      </c>
      <c r="J1975" s="3" t="str">
        <f>HYPERLINK("https://www.boe.es/gazeta/dias/1809/09/28/pdfs/GMD-1809-272.pdf#page=2","Abrir facsímil")</f>
        <v>Abrir facsímil</v>
      </c>
      <c r="K1975" s="3" t="s">
        <v>57</v>
      </c>
    </row>
    <row r="1976" spans="1:11" ht="42" customHeight="1">
      <c r="A1976" s="2" t="s">
        <v>5688</v>
      </c>
      <c r="B1976" s="2" t="s">
        <v>5689</v>
      </c>
      <c r="C1976" s="2" t="s">
        <v>47</v>
      </c>
      <c r="D1976" s="2" t="s">
        <v>107</v>
      </c>
      <c r="E1976" s="3" t="s">
        <v>749</v>
      </c>
      <c r="F1976" s="3" t="s">
        <v>750</v>
      </c>
      <c r="G1976" s="3" t="s">
        <v>1441</v>
      </c>
      <c r="H1976" s="2" t="s">
        <v>22</v>
      </c>
      <c r="I1976" s="2" t="s">
        <v>5690</v>
      </c>
      <c r="J1976" s="3" t="str">
        <f>HYPERLINK("https://www.boe.es/gazeta/dias/1809/05/19/pdfs/GGB-1809-29.pdf#page=8","Abrir facsímil")</f>
        <v>Abrir facsímil</v>
      </c>
      <c r="K1976" s="3" t="s">
        <v>24</v>
      </c>
    </row>
    <row r="1977" spans="1:11" ht="42" customHeight="1">
      <c r="A1977" s="2" t="s">
        <v>5691</v>
      </c>
      <c r="B1977" s="2" t="s">
        <v>5692</v>
      </c>
      <c r="C1977" s="2" t="s">
        <v>17</v>
      </c>
      <c r="D1977" s="2" t="s">
        <v>18</v>
      </c>
      <c r="E1977" s="3" t="s">
        <v>589</v>
      </c>
      <c r="F1977" s="3" t="s">
        <v>1329</v>
      </c>
      <c r="G1977" s="3" t="s">
        <v>29</v>
      </c>
      <c r="H1977" s="2" t="s">
        <v>55</v>
      </c>
      <c r="I1977" s="2" t="s">
        <v>5693</v>
      </c>
      <c r="J1977" s="3" t="str">
        <f>HYPERLINK("https://www.boe.es/gazeta/dias/1809/10/05/pdfs/GMD-1809-279.pdf#page=3","Abrir facsímil")</f>
        <v>Abrir facsímil</v>
      </c>
      <c r="K1977" s="3" t="s">
        <v>57</v>
      </c>
    </row>
    <row r="1978" spans="1:11" ht="42" customHeight="1">
      <c r="A1978" s="2" t="s">
        <v>5694</v>
      </c>
      <c r="B1978" s="2" t="s">
        <v>5695</v>
      </c>
      <c r="C1978" s="2" t="s">
        <v>288</v>
      </c>
      <c r="D1978" s="2" t="s">
        <v>72</v>
      </c>
      <c r="E1978" s="3" t="s">
        <v>776</v>
      </c>
      <c r="F1978" s="3" t="s">
        <v>777</v>
      </c>
      <c r="G1978" s="3" t="s">
        <v>736</v>
      </c>
      <c r="H1978" s="2" t="s">
        <v>22</v>
      </c>
      <c r="I1978" s="2" t="s">
        <v>5696</v>
      </c>
      <c r="J1978" s="3" t="str">
        <f>HYPERLINK("https://www.boe.es/gazeta/dias/1809/05/28/pdfs/GMD-E-1809-148.pdf#page=1","Abrir facsímil")</f>
        <v>Abrir facsímil</v>
      </c>
      <c r="K1978" s="3" t="s">
        <v>24</v>
      </c>
    </row>
    <row r="1979" spans="1:11" ht="42" customHeight="1">
      <c r="A1979" s="2" t="s">
        <v>5697</v>
      </c>
      <c r="B1979" s="2" t="s">
        <v>5698</v>
      </c>
      <c r="C1979" s="2" t="s">
        <v>47</v>
      </c>
      <c r="D1979" s="2" t="s">
        <v>18</v>
      </c>
      <c r="E1979" s="3" t="s">
        <v>3258</v>
      </c>
      <c r="F1979" s="3" t="s">
        <v>3529</v>
      </c>
      <c r="G1979" s="3" t="s">
        <v>3934</v>
      </c>
      <c r="H1979" s="2" t="s">
        <v>55</v>
      </c>
      <c r="I1979" s="2" t="s">
        <v>5699</v>
      </c>
      <c r="J1979" s="3" t="str">
        <f>HYPERLINK("https://www.boe.es/gazeta/dias/1809/04/03/pdfs/GGB-1809-14B.pdf#page=7","Abrir facsímil")</f>
        <v>Abrir facsímil</v>
      </c>
      <c r="K1979" s="3" t="s">
        <v>57</v>
      </c>
    </row>
    <row r="1980" spans="1:11" ht="42" customHeight="1">
      <c r="A1980" s="2" t="s">
        <v>5700</v>
      </c>
      <c r="B1980" s="2" t="s">
        <v>5700</v>
      </c>
      <c r="C1980" s="2" t="s">
        <v>25</v>
      </c>
      <c r="D1980" s="2" t="s">
        <v>18</v>
      </c>
      <c r="E1980" s="3" t="s">
        <v>4389</v>
      </c>
      <c r="F1980" s="3" t="s">
        <v>4390</v>
      </c>
      <c r="G1980" s="3" t="s">
        <v>239</v>
      </c>
      <c r="H1980" s="2" t="s">
        <v>55</v>
      </c>
      <c r="I1980" s="2" t="s">
        <v>5701</v>
      </c>
      <c r="J1980" s="3" t="str">
        <f>HYPERLINK("https://www.boe.es/gazeta/dias/1809/02/06/pdfs/GMD-1809-37.pdf#page=3","Abrir facsímil")</f>
        <v>Abrir facsímil</v>
      </c>
      <c r="K1980" s="3" t="s">
        <v>57</v>
      </c>
    </row>
    <row r="1981" spans="1:11" ht="42" customHeight="1">
      <c r="A1981" s="2" t="s">
        <v>5700</v>
      </c>
      <c r="B1981" s="2" t="s">
        <v>5700</v>
      </c>
      <c r="C1981" s="2" t="s">
        <v>25</v>
      </c>
      <c r="D1981" s="2" t="s">
        <v>18</v>
      </c>
      <c r="E1981" s="3" t="s">
        <v>60</v>
      </c>
      <c r="F1981" s="3" t="s">
        <v>61</v>
      </c>
      <c r="G1981" s="3" t="s">
        <v>396</v>
      </c>
      <c r="H1981" s="2" t="s">
        <v>55</v>
      </c>
      <c r="I1981" s="2" t="s">
        <v>5702</v>
      </c>
      <c r="J1981" s="3" t="str">
        <f>HYPERLINK("https://www.boe.es/gazeta/dias/1809/02/07/pdfs/GMD-1809-38.pdf#page=1","Abrir facsímil")</f>
        <v>Abrir facsímil</v>
      </c>
      <c r="K1981" s="3" t="s">
        <v>57</v>
      </c>
    </row>
    <row r="1982" spans="1:11" ht="42" customHeight="1">
      <c r="A1982" s="2" t="s">
        <v>5703</v>
      </c>
      <c r="B1982" s="2" t="s">
        <v>5704</v>
      </c>
      <c r="C1982" s="2" t="s">
        <v>25</v>
      </c>
      <c r="D1982" s="2" t="s">
        <v>72</v>
      </c>
      <c r="E1982" s="3" t="s">
        <v>143</v>
      </c>
      <c r="F1982" s="3" t="s">
        <v>705</v>
      </c>
      <c r="G1982" s="3" t="s">
        <v>225</v>
      </c>
      <c r="H1982" s="2" t="s">
        <v>55</v>
      </c>
      <c r="I1982" s="2" t="s">
        <v>5705</v>
      </c>
      <c r="J1982" s="3" t="str">
        <f>HYPERLINK("https://www.boe.es/gazeta/dias/1809/11/16/pdfs/GGB-H-1809-462.pdf#page=4","Abrir facsímil")</f>
        <v>Abrir facsímil</v>
      </c>
      <c r="K1982" s="3" t="s">
        <v>57</v>
      </c>
    </row>
    <row r="1983" spans="1:11" ht="42" customHeight="1">
      <c r="A1983" s="2" t="s">
        <v>5706</v>
      </c>
      <c r="B1983" s="2" t="s">
        <v>5707</v>
      </c>
      <c r="C1983" s="2" t="s">
        <v>17</v>
      </c>
      <c r="D1983" s="2" t="s">
        <v>72</v>
      </c>
      <c r="E1983" s="3" t="s">
        <v>118</v>
      </c>
      <c r="F1983" s="3" t="s">
        <v>819</v>
      </c>
      <c r="G1983" s="3" t="s">
        <v>2287</v>
      </c>
      <c r="H1983" s="2" t="s">
        <v>55</v>
      </c>
      <c r="I1983" s="2" t="s">
        <v>5708</v>
      </c>
      <c r="J1983" s="3" t="str">
        <f>HYPERLINK("https://www.boe.es/gazeta/dias/1809/09/07/pdfs/GGB-H-1809-162.pdf#page=7","Abrir facsímil")</f>
        <v>Abrir facsímil</v>
      </c>
      <c r="K1983" s="3" t="s">
        <v>57</v>
      </c>
    </row>
    <row r="1984" spans="1:11" ht="42" customHeight="1">
      <c r="A1984" s="2" t="s">
        <v>5709</v>
      </c>
      <c r="B1984" s="2" t="s">
        <v>5709</v>
      </c>
      <c r="C1984" s="2" t="s">
        <v>25</v>
      </c>
      <c r="D1984" s="2" t="s">
        <v>18</v>
      </c>
      <c r="E1984" s="3" t="s">
        <v>332</v>
      </c>
      <c r="F1984" s="3" t="s">
        <v>333</v>
      </c>
      <c r="G1984" s="3" t="s">
        <v>29</v>
      </c>
      <c r="H1984" s="2" t="s">
        <v>55</v>
      </c>
      <c r="I1984" s="2" t="s">
        <v>5710</v>
      </c>
      <c r="J1984" s="3" t="str">
        <f>HYPERLINK("https://www.boe.es/gazeta/dias/1809/02/23/pdfs/GMD-1809-54.pdf#page=3","Abrir facsímil")</f>
        <v>Abrir facsímil</v>
      </c>
      <c r="K1984" s="3" t="s">
        <v>57</v>
      </c>
    </row>
    <row r="1985" spans="1:11" ht="42" customHeight="1">
      <c r="A1985" s="2" t="s">
        <v>5709</v>
      </c>
      <c r="B1985" s="2" t="s">
        <v>5709</v>
      </c>
      <c r="C1985" s="2" t="s">
        <v>25</v>
      </c>
      <c r="D1985" s="2" t="s">
        <v>107</v>
      </c>
      <c r="E1985" s="3" t="s">
        <v>804</v>
      </c>
      <c r="F1985" s="3" t="s">
        <v>805</v>
      </c>
      <c r="G1985" s="3" t="s">
        <v>21</v>
      </c>
      <c r="H1985" s="2" t="s">
        <v>55</v>
      </c>
      <c r="I1985" s="2" t="s">
        <v>5711</v>
      </c>
      <c r="J1985" s="3" t="str">
        <f>HYPERLINK("https://www.boe.es/gazeta/dias/1809/03/08/pdfs/GMD-1809-67.pdf#page=2","Abrir facsímil")</f>
        <v>Abrir facsímil</v>
      </c>
      <c r="K1985" s="3" t="s">
        <v>57</v>
      </c>
    </row>
    <row r="1986" spans="1:11" ht="42" customHeight="1">
      <c r="A1986" s="2" t="s">
        <v>5712</v>
      </c>
      <c r="B1986" s="2" t="s">
        <v>5712</v>
      </c>
      <c r="C1986" s="2" t="s">
        <v>25</v>
      </c>
      <c r="D1986" s="2" t="s">
        <v>18</v>
      </c>
      <c r="E1986" s="3" t="s">
        <v>904</v>
      </c>
      <c r="F1986" s="3" t="s">
        <v>905</v>
      </c>
      <c r="G1986" s="3" t="s">
        <v>225</v>
      </c>
      <c r="H1986" s="2" t="s">
        <v>55</v>
      </c>
      <c r="I1986" s="2" t="s">
        <v>5713</v>
      </c>
      <c r="J1986" s="3" t="str">
        <f>HYPERLINK("https://www.boe.es/gazeta/dias/1809/07/07/pdfs/GGB-1809-43.pdf#page=4","Abrir facsímil")</f>
        <v>Abrir facsímil</v>
      </c>
      <c r="K1986" s="3" t="s">
        <v>57</v>
      </c>
    </row>
    <row r="1987" spans="1:11" ht="42" customHeight="1">
      <c r="A1987" s="2" t="s">
        <v>5714</v>
      </c>
      <c r="B1987" s="2" t="s">
        <v>5714</v>
      </c>
      <c r="C1987" s="2" t="s">
        <v>17</v>
      </c>
      <c r="D1987" s="2" t="s">
        <v>18</v>
      </c>
      <c r="E1987" s="3" t="s">
        <v>33</v>
      </c>
      <c r="F1987" s="3" t="s">
        <v>34</v>
      </c>
      <c r="G1987" s="3" t="s">
        <v>595</v>
      </c>
      <c r="H1987" s="2" t="s">
        <v>55</v>
      </c>
      <c r="I1987" s="2" t="s">
        <v>5715</v>
      </c>
      <c r="J1987" s="3" t="str">
        <f>HYPERLINK("https://www.boe.es/gazeta/dias/1809/12/19/pdfs/GGB-1809-602.pdf#page=7","Abrir facsímil")</f>
        <v>Abrir facsímil</v>
      </c>
      <c r="K1987" s="3" t="s">
        <v>57</v>
      </c>
    </row>
    <row r="1988" spans="1:11" ht="42" customHeight="1">
      <c r="A1988" s="2" t="s">
        <v>5716</v>
      </c>
      <c r="B1988" s="2" t="s">
        <v>5716</v>
      </c>
      <c r="C1988" s="2" t="s">
        <v>25</v>
      </c>
      <c r="D1988" s="2" t="s">
        <v>18</v>
      </c>
      <c r="E1988" s="3" t="s">
        <v>220</v>
      </c>
      <c r="F1988" s="3" t="s">
        <v>221</v>
      </c>
      <c r="G1988" s="3" t="s">
        <v>154</v>
      </c>
      <c r="H1988" s="2" t="s">
        <v>55</v>
      </c>
      <c r="I1988" s="2" t="s">
        <v>5717</v>
      </c>
      <c r="J1988" s="3" t="str">
        <f>HYPERLINK("https://www.boe.es/gazeta/dias/1809/12/13/pdfs/GMD-1809-348.pdf#page=4","Abrir facsímil")</f>
        <v>Abrir facsímil</v>
      </c>
      <c r="K1988" s="3" t="s">
        <v>57</v>
      </c>
    </row>
    <row r="1989" spans="1:11" ht="42" customHeight="1">
      <c r="A1989" s="2" t="s">
        <v>5718</v>
      </c>
      <c r="B1989" s="2" t="s">
        <v>5719</v>
      </c>
      <c r="C1989" s="2" t="s">
        <v>47</v>
      </c>
      <c r="D1989" s="2" t="s">
        <v>18</v>
      </c>
      <c r="E1989" s="3" t="s">
        <v>1603</v>
      </c>
      <c r="F1989" s="3" t="s">
        <v>1604</v>
      </c>
      <c r="G1989" s="3" t="s">
        <v>587</v>
      </c>
      <c r="H1989" s="2" t="s">
        <v>55</v>
      </c>
      <c r="I1989" s="2" t="s">
        <v>5720</v>
      </c>
      <c r="J1989" s="3" t="str">
        <f>HYPERLINK("https://www.boe.es/gazeta/dias/1809/03/31/pdfs/GGB-1809-14.pdf#page=2","Abrir facsímil")</f>
        <v>Abrir facsímil</v>
      </c>
      <c r="K1989" s="3" t="s">
        <v>57</v>
      </c>
    </row>
    <row r="1990" spans="1:11" ht="42" customHeight="1">
      <c r="A1990" s="2" t="s">
        <v>5721</v>
      </c>
      <c r="B1990" s="2" t="s">
        <v>5722</v>
      </c>
      <c r="C1990" s="2" t="s">
        <v>17</v>
      </c>
      <c r="D1990" s="2" t="s">
        <v>80</v>
      </c>
      <c r="E1990" s="3" t="s">
        <v>248</v>
      </c>
      <c r="F1990" s="3" t="s">
        <v>249</v>
      </c>
      <c r="G1990" s="3" t="s">
        <v>94</v>
      </c>
      <c r="H1990" s="2" t="s">
        <v>22</v>
      </c>
      <c r="I1990" s="2" t="s">
        <v>5723</v>
      </c>
      <c r="J1990" s="3" t="str">
        <f>HYPERLINK("https://www.boe.es/gazeta/dias/1809/07/26/pdfs/GGB-1809-48E.pdf#page=5","Abrir facsímil")</f>
        <v>Abrir facsímil</v>
      </c>
      <c r="K1990" s="3" t="s">
        <v>24</v>
      </c>
    </row>
    <row r="1991" spans="1:11" ht="42" customHeight="1">
      <c r="A1991" s="2" t="s">
        <v>5724</v>
      </c>
      <c r="B1991" s="2" t="s">
        <v>5725</v>
      </c>
      <c r="C1991" s="2" t="s">
        <v>25</v>
      </c>
      <c r="D1991" s="2" t="s">
        <v>72</v>
      </c>
      <c r="E1991" s="3" t="s">
        <v>143</v>
      </c>
      <c r="F1991" s="3" t="s">
        <v>705</v>
      </c>
      <c r="G1991" s="3" t="s">
        <v>260</v>
      </c>
      <c r="H1991" s="2" t="s">
        <v>55</v>
      </c>
      <c r="I1991" s="2" t="s">
        <v>5726</v>
      </c>
      <c r="J1991" s="3" t="str">
        <f>HYPERLINK("https://www.boe.es/gazeta/dias/1809/11/16/pdfs/GGB-H-1809-462.pdf#page=7","Abrir facsímil")</f>
        <v>Abrir facsímil</v>
      </c>
      <c r="K1991" s="3" t="s">
        <v>57</v>
      </c>
    </row>
    <row r="1992" spans="1:11" ht="42" customHeight="1">
      <c r="A1992" s="2" t="s">
        <v>5727</v>
      </c>
      <c r="B1992" s="2" t="s">
        <v>5727</v>
      </c>
      <c r="C1992" s="2" t="s">
        <v>25</v>
      </c>
      <c r="D1992" s="2" t="s">
        <v>40</v>
      </c>
      <c r="E1992" s="3" t="s">
        <v>3880</v>
      </c>
      <c r="F1992" s="3" t="s">
        <v>5444</v>
      </c>
      <c r="G1992" s="3" t="s">
        <v>239</v>
      </c>
      <c r="H1992" s="2" t="s">
        <v>55</v>
      </c>
      <c r="I1992" s="2" t="s">
        <v>5728</v>
      </c>
      <c r="J1992" s="3" t="str">
        <f>HYPERLINK("https://www.boe.es/gazeta/dias/1809/03/25/pdfs/GMD-1809-84.pdf#page=3","Abrir facsímil")</f>
        <v>Abrir facsímil</v>
      </c>
      <c r="K1992" s="3" t="s">
        <v>57</v>
      </c>
    </row>
    <row r="1993" spans="1:11" ht="42" customHeight="1">
      <c r="A1993" s="2" t="s">
        <v>5727</v>
      </c>
      <c r="B1993" s="2" t="s">
        <v>5727</v>
      </c>
      <c r="C1993" s="2" t="s">
        <v>17</v>
      </c>
      <c r="D1993" s="2" t="s">
        <v>18</v>
      </c>
      <c r="E1993" s="3" t="s">
        <v>852</v>
      </c>
      <c r="F1993" s="3" t="s">
        <v>853</v>
      </c>
      <c r="G1993" s="3" t="s">
        <v>62</v>
      </c>
      <c r="H1993" s="2" t="s">
        <v>55</v>
      </c>
      <c r="I1993" s="2" t="s">
        <v>5729</v>
      </c>
      <c r="J1993" s="3" t="str">
        <f>HYPERLINK("https://www.boe.es/gazeta/dias/1809/07/08/pdfs/GMD-1809-189.pdf#page=3","Abrir facsímil")</f>
        <v>Abrir facsímil</v>
      </c>
      <c r="K1993" s="3" t="s">
        <v>57</v>
      </c>
    </row>
    <row r="1994" spans="1:11" ht="42" customHeight="1">
      <c r="A1994" s="2" t="s">
        <v>5730</v>
      </c>
      <c r="B1994" s="2" t="s">
        <v>5730</v>
      </c>
      <c r="C1994" s="2" t="s">
        <v>17</v>
      </c>
      <c r="D1994" s="2" t="s">
        <v>72</v>
      </c>
      <c r="E1994" s="3" t="s">
        <v>2244</v>
      </c>
      <c r="F1994" s="3" t="s">
        <v>2871</v>
      </c>
      <c r="G1994" s="3" t="s">
        <v>62</v>
      </c>
      <c r="H1994" s="2" t="s">
        <v>55</v>
      </c>
      <c r="I1994" s="2" t="s">
        <v>5731</v>
      </c>
      <c r="J1994" s="3" t="str">
        <f>HYPERLINK("https://www.boe.es/gazeta/dias/1809/03/27/pdfs/GGB-G-1809-13B.pdf#page=3","Abrir facsímil")</f>
        <v>Abrir facsímil</v>
      </c>
      <c r="K1994" s="3" t="s">
        <v>57</v>
      </c>
    </row>
    <row r="1995" spans="1:11" ht="42" customHeight="1">
      <c r="A1995" s="2" t="s">
        <v>5730</v>
      </c>
      <c r="B1995" s="2" t="s">
        <v>5730</v>
      </c>
      <c r="C1995" s="2" t="s">
        <v>17</v>
      </c>
      <c r="D1995" s="2" t="s">
        <v>18</v>
      </c>
      <c r="E1995" s="3" t="s">
        <v>5732</v>
      </c>
      <c r="F1995" s="3" t="s">
        <v>5733</v>
      </c>
      <c r="G1995" s="3" t="s">
        <v>396</v>
      </c>
      <c r="H1995" s="2" t="s">
        <v>55</v>
      </c>
      <c r="I1995" s="2" t="s">
        <v>5734</v>
      </c>
      <c r="J1995" s="3" t="str">
        <f>HYPERLINK("https://www.boe.es/gazeta/dias/1809/07/09/pdfs/GMD-1809-190.pdf#page=3","Abrir facsímil")</f>
        <v>Abrir facsímil</v>
      </c>
      <c r="K1995" s="3" t="s">
        <v>57</v>
      </c>
    </row>
    <row r="1996" spans="1:11" ht="42" customHeight="1">
      <c r="A1996" s="2" t="s">
        <v>5730</v>
      </c>
      <c r="B1996" s="2" t="s">
        <v>5730</v>
      </c>
      <c r="C1996" s="2" t="s">
        <v>17</v>
      </c>
      <c r="D1996" s="2" t="s">
        <v>18</v>
      </c>
      <c r="E1996" s="3" t="s">
        <v>5732</v>
      </c>
      <c r="F1996" s="3" t="s">
        <v>5733</v>
      </c>
      <c r="G1996" s="3" t="s">
        <v>3092</v>
      </c>
      <c r="H1996" s="2" t="s">
        <v>55</v>
      </c>
      <c r="I1996" s="2" t="s">
        <v>5735</v>
      </c>
      <c r="J1996" s="3" t="str">
        <f>HYPERLINK("https://www.boe.es/gazeta/dias/1809/07/09/pdfs/GMD-1809-190.pdf#page=4","Abrir facsímil")</f>
        <v>Abrir facsímil</v>
      </c>
      <c r="K1996" s="3" t="s">
        <v>57</v>
      </c>
    </row>
    <row r="1997" spans="1:11" ht="42" customHeight="1">
      <c r="A1997" s="2" t="s">
        <v>5730</v>
      </c>
      <c r="B1997" s="2" t="s">
        <v>5730</v>
      </c>
      <c r="C1997" s="2" t="s">
        <v>25</v>
      </c>
      <c r="D1997" s="2" t="s">
        <v>18</v>
      </c>
      <c r="E1997" s="3" t="s">
        <v>2060</v>
      </c>
      <c r="F1997" s="3" t="s">
        <v>2061</v>
      </c>
      <c r="G1997" s="3" t="s">
        <v>687</v>
      </c>
      <c r="H1997" s="2" t="s">
        <v>55</v>
      </c>
      <c r="I1997" s="2" t="s">
        <v>5736</v>
      </c>
      <c r="J1997" s="3" t="str">
        <f>HYPERLINK("https://www.boe.es/gazeta/dias/1809/07/18/pdfs/GGB-1809-46.pdf#page=9","Abrir facsímil")</f>
        <v>Abrir facsímil</v>
      </c>
      <c r="K1997" s="3" t="s">
        <v>57</v>
      </c>
    </row>
    <row r="1998" spans="1:11" ht="42" customHeight="1">
      <c r="A1998" s="2" t="s">
        <v>5730</v>
      </c>
      <c r="B1998" s="2" t="s">
        <v>5730</v>
      </c>
      <c r="C1998" s="2" t="s">
        <v>2176</v>
      </c>
      <c r="D1998" s="2" t="s">
        <v>18</v>
      </c>
      <c r="E1998" s="3" t="s">
        <v>503</v>
      </c>
      <c r="F1998" s="3" t="s">
        <v>504</v>
      </c>
      <c r="G1998" s="3" t="s">
        <v>62</v>
      </c>
      <c r="H1998" s="2" t="s">
        <v>55</v>
      </c>
      <c r="I1998" s="2" t="s">
        <v>5737</v>
      </c>
      <c r="J1998" s="3" t="str">
        <f>HYPERLINK("https://www.boe.es/gazeta/dias/1809/09/01/pdfs/GMD-1809-245.pdf#page=4","Abrir facsímil")</f>
        <v>Abrir facsímil</v>
      </c>
      <c r="K1998" s="3" t="s">
        <v>57</v>
      </c>
    </row>
    <row r="1999" spans="1:11" ht="42" customHeight="1">
      <c r="A1999" s="2" t="s">
        <v>5730</v>
      </c>
      <c r="B1999" s="2" t="s">
        <v>5730</v>
      </c>
      <c r="C1999" s="2" t="s">
        <v>131</v>
      </c>
      <c r="D1999" s="2" t="s">
        <v>18</v>
      </c>
      <c r="E1999" s="3" t="s">
        <v>305</v>
      </c>
      <c r="F1999" s="3" t="s">
        <v>306</v>
      </c>
      <c r="G1999" s="3" t="s">
        <v>29</v>
      </c>
      <c r="H1999" s="2" t="s">
        <v>55</v>
      </c>
      <c r="I1999" s="2" t="s">
        <v>5738</v>
      </c>
      <c r="J1999" s="3" t="str">
        <f>HYPERLINK("https://www.boe.es/gazeta/dias/1809/10/20/pdfs/GMD-1809-294.pdf#page=3","Abrir facsímil")</f>
        <v>Abrir facsímil</v>
      </c>
      <c r="K1999" s="3" t="s">
        <v>57</v>
      </c>
    </row>
    <row r="2000" spans="1:11" ht="42" customHeight="1">
      <c r="A2000" s="2" t="s">
        <v>5739</v>
      </c>
      <c r="B2000" s="2" t="s">
        <v>5739</v>
      </c>
      <c r="C2000" s="2" t="s">
        <v>17</v>
      </c>
      <c r="D2000" s="2" t="s">
        <v>18</v>
      </c>
      <c r="E2000" s="3" t="s">
        <v>442</v>
      </c>
      <c r="F2000" s="3" t="s">
        <v>2171</v>
      </c>
      <c r="G2000" s="3" t="s">
        <v>2172</v>
      </c>
      <c r="H2000" s="2" t="s">
        <v>55</v>
      </c>
      <c r="I2000" s="2" t="s">
        <v>5740</v>
      </c>
      <c r="J2000" s="3" t="str">
        <f>HYPERLINK("https://www.boe.es/gazeta/dias/1809/09/05/pdfs/GMD-1809-249.pdf#page=4","Abrir facsímil")</f>
        <v>Abrir facsímil</v>
      </c>
      <c r="K2000" s="3" t="s">
        <v>57</v>
      </c>
    </row>
    <row r="2001" spans="1:11" ht="42" customHeight="1">
      <c r="A2001" s="2" t="s">
        <v>5739</v>
      </c>
      <c r="B2001" s="2" t="s">
        <v>5739</v>
      </c>
      <c r="C2001" s="2" t="s">
        <v>25</v>
      </c>
      <c r="D2001" s="2" t="s">
        <v>18</v>
      </c>
      <c r="E2001" s="3" t="s">
        <v>211</v>
      </c>
      <c r="F2001" s="3" t="s">
        <v>212</v>
      </c>
      <c r="G2001" s="3" t="s">
        <v>213</v>
      </c>
      <c r="H2001" s="2" t="s">
        <v>55</v>
      </c>
      <c r="I2001" s="2" t="s">
        <v>5741</v>
      </c>
      <c r="J2001" s="3" t="str">
        <f>HYPERLINK("https://www.boe.es/gazeta/dias/1809/10/27/pdfs/GMD-1809-301.pdf#page=4","Abrir facsímil")</f>
        <v>Abrir facsímil</v>
      </c>
      <c r="K2001" s="3" t="s">
        <v>57</v>
      </c>
    </row>
    <row r="2002" spans="1:11" ht="42" customHeight="1">
      <c r="A2002" s="2" t="s">
        <v>5739</v>
      </c>
      <c r="B2002" s="2" t="s">
        <v>5739</v>
      </c>
      <c r="C2002" s="2" t="s">
        <v>25</v>
      </c>
      <c r="D2002" s="2" t="s">
        <v>26</v>
      </c>
      <c r="E2002" s="3" t="s">
        <v>216</v>
      </c>
      <c r="F2002" s="3" t="s">
        <v>217</v>
      </c>
      <c r="G2002" s="3" t="s">
        <v>94</v>
      </c>
      <c r="H2002" s="2" t="s">
        <v>55</v>
      </c>
      <c r="I2002" s="2" t="s">
        <v>5742</v>
      </c>
      <c r="J2002" s="3" t="str">
        <f>HYPERLINK("https://www.boe.es/gazeta/dias/1809/12/05/pdfs/GGB-H-1809-542.pdf#page=5","Abrir facsímil")</f>
        <v>Abrir facsímil</v>
      </c>
      <c r="K2002" s="3" t="s">
        <v>57</v>
      </c>
    </row>
    <row r="2003" spans="1:11" ht="42" customHeight="1">
      <c r="A2003" s="2" t="s">
        <v>5739</v>
      </c>
      <c r="B2003" s="2" t="s">
        <v>5739</v>
      </c>
      <c r="C2003" s="2" t="s">
        <v>25</v>
      </c>
      <c r="D2003" s="2" t="s">
        <v>26</v>
      </c>
      <c r="E2003" s="3" t="s">
        <v>473</v>
      </c>
      <c r="F2003" s="3" t="s">
        <v>474</v>
      </c>
      <c r="G2003" s="3" t="s">
        <v>62</v>
      </c>
      <c r="H2003" s="2" t="s">
        <v>55</v>
      </c>
      <c r="I2003" s="2" t="s">
        <v>5743</v>
      </c>
      <c r="J2003" s="3" t="str">
        <f>HYPERLINK("https://www.boe.es/gazeta/dias/1809/12/28/pdfs/GMD-1809-363.pdf#page=2","Abrir facsímil")</f>
        <v>Abrir facsímil</v>
      </c>
      <c r="K2003" s="3" t="s">
        <v>57</v>
      </c>
    </row>
    <row r="2004" spans="1:11" ht="42" customHeight="1">
      <c r="A2004" s="2" t="s">
        <v>5744</v>
      </c>
      <c r="B2004" s="2" t="s">
        <v>5745</v>
      </c>
      <c r="C2004" s="2" t="s">
        <v>17</v>
      </c>
      <c r="D2004" s="2" t="s">
        <v>18</v>
      </c>
      <c r="E2004" s="3" t="s">
        <v>1898</v>
      </c>
      <c r="F2004" s="3" t="s">
        <v>1970</v>
      </c>
      <c r="G2004" s="3" t="s">
        <v>154</v>
      </c>
      <c r="H2004" s="2" t="s">
        <v>55</v>
      </c>
      <c r="I2004" s="2" t="s">
        <v>5746</v>
      </c>
      <c r="J2004" s="3" t="str">
        <f>HYPERLINK("https://www.boe.es/gazeta/dias/1809/12/02/pdfs/GMD-1809-337.pdf#page=4","Abrir facsímil")</f>
        <v>Abrir facsímil</v>
      </c>
      <c r="K2004" s="3" t="s">
        <v>57</v>
      </c>
    </row>
    <row r="2005" spans="1:11" ht="42" customHeight="1">
      <c r="A2005" s="2" t="s">
        <v>5747</v>
      </c>
      <c r="B2005" s="2" t="s">
        <v>5748</v>
      </c>
      <c r="C2005" s="2" t="s">
        <v>17</v>
      </c>
      <c r="D2005" s="2" t="s">
        <v>18</v>
      </c>
      <c r="E2005" s="3" t="s">
        <v>207</v>
      </c>
      <c r="F2005" s="3" t="s">
        <v>2864</v>
      </c>
      <c r="G2005" s="3" t="s">
        <v>2865</v>
      </c>
      <c r="H2005" s="2" t="s">
        <v>55</v>
      </c>
      <c r="I2005" s="2" t="s">
        <v>5749</v>
      </c>
      <c r="J2005" s="3" t="str">
        <f>HYPERLINK("https://www.boe.es/gazeta/dias/1809/09/16/pdfs/GGB-1809-202.pdf#page=6","Abrir facsímil")</f>
        <v>Abrir facsímil</v>
      </c>
      <c r="K2005" s="3" t="s">
        <v>57</v>
      </c>
    </row>
    <row r="2006" spans="1:11" ht="42" customHeight="1">
      <c r="A2006" s="2" t="s">
        <v>5750</v>
      </c>
      <c r="B2006" s="2" t="s">
        <v>5750</v>
      </c>
      <c r="C2006" s="2" t="s">
        <v>25</v>
      </c>
      <c r="D2006" s="2" t="s">
        <v>80</v>
      </c>
      <c r="E2006" s="3" t="s">
        <v>5751</v>
      </c>
      <c r="F2006" s="3" t="s">
        <v>5752</v>
      </c>
      <c r="G2006" s="3" t="s">
        <v>62</v>
      </c>
      <c r="H2006" s="2" t="s">
        <v>55</v>
      </c>
      <c r="I2006" s="2" t="s">
        <v>5753</v>
      </c>
      <c r="J2006" s="3" t="str">
        <f>HYPERLINK("https://www.boe.es/gazeta/dias/1809/01/23/pdfs/GGB-1809-4E.pdf#page=2","Abrir facsímil")</f>
        <v>Abrir facsímil</v>
      </c>
      <c r="K2006" s="3" t="s">
        <v>57</v>
      </c>
    </row>
    <row r="2007" spans="1:11" ht="42" customHeight="1">
      <c r="A2007" s="2" t="s">
        <v>5750</v>
      </c>
      <c r="B2007" s="2" t="s">
        <v>5750</v>
      </c>
      <c r="C2007" s="2" t="s">
        <v>25</v>
      </c>
      <c r="D2007" s="2" t="s">
        <v>80</v>
      </c>
      <c r="E2007" s="3" t="s">
        <v>5751</v>
      </c>
      <c r="F2007" s="3" t="s">
        <v>5752</v>
      </c>
      <c r="G2007" s="3" t="s">
        <v>120</v>
      </c>
      <c r="H2007" s="2" t="s">
        <v>55</v>
      </c>
      <c r="I2007" s="2" t="s">
        <v>5754</v>
      </c>
      <c r="J2007" s="3" t="str">
        <f>HYPERLINK("https://www.boe.es/gazeta/dias/1809/01/23/pdfs/GGB-1809-4E.pdf#page=3","Abrir facsímil")</f>
        <v>Abrir facsímil</v>
      </c>
      <c r="K2007" s="3" t="s">
        <v>57</v>
      </c>
    </row>
    <row r="2008" spans="1:11" ht="42" customHeight="1">
      <c r="A2008" s="2" t="s">
        <v>5750</v>
      </c>
      <c r="B2008" s="2" t="s">
        <v>5750</v>
      </c>
      <c r="C2008" s="2" t="s">
        <v>47</v>
      </c>
      <c r="D2008" s="2" t="s">
        <v>18</v>
      </c>
      <c r="E2008" s="3" t="s">
        <v>421</v>
      </c>
      <c r="F2008" s="3" t="s">
        <v>962</v>
      </c>
      <c r="G2008" s="3" t="s">
        <v>110</v>
      </c>
      <c r="H2008" s="2" t="s">
        <v>55</v>
      </c>
      <c r="I2008" s="2" t="s">
        <v>5755</v>
      </c>
      <c r="J2008" s="3" t="str">
        <f>HYPERLINK("https://www.boe.es/gazeta/dias/1809/04/28/pdfs/GGB-1809-22.pdf#page=7","Abrir facsímil")</f>
        <v>Abrir facsímil</v>
      </c>
      <c r="K2008" s="3" t="s">
        <v>57</v>
      </c>
    </row>
    <row r="2009" spans="1:11" ht="42" customHeight="1">
      <c r="A2009" s="2" t="s">
        <v>5750</v>
      </c>
      <c r="B2009" s="2" t="s">
        <v>5750</v>
      </c>
      <c r="C2009" s="2" t="s">
        <v>17</v>
      </c>
      <c r="D2009" s="2" t="s">
        <v>18</v>
      </c>
      <c r="E2009" s="3" t="s">
        <v>1635</v>
      </c>
      <c r="F2009" s="3" t="s">
        <v>1636</v>
      </c>
      <c r="G2009" s="3" t="s">
        <v>29</v>
      </c>
      <c r="H2009" s="2" t="s">
        <v>55</v>
      </c>
      <c r="I2009" s="2" t="s">
        <v>5756</v>
      </c>
      <c r="J2009" s="3" t="str">
        <f>HYPERLINK("https://www.boe.es/gazeta/dias/1809/09/15/pdfs/GMD-1809-259.pdf#page=3","Abrir facsímil")</f>
        <v>Abrir facsímil</v>
      </c>
      <c r="K2009" s="3" t="s">
        <v>57</v>
      </c>
    </row>
    <row r="2010" spans="1:11" ht="42" customHeight="1">
      <c r="A2010" s="2" t="s">
        <v>5750</v>
      </c>
      <c r="B2010" s="2" t="s">
        <v>5750</v>
      </c>
      <c r="C2010" s="2" t="s">
        <v>39</v>
      </c>
      <c r="D2010" s="2" t="s">
        <v>18</v>
      </c>
      <c r="E2010" s="3" t="s">
        <v>1396</v>
      </c>
      <c r="F2010" s="3" t="s">
        <v>1397</v>
      </c>
      <c r="G2010" s="3" t="s">
        <v>5757</v>
      </c>
      <c r="H2010" s="2" t="s">
        <v>55</v>
      </c>
      <c r="I2010" s="2" t="s">
        <v>5758</v>
      </c>
      <c r="J2010" s="3" t="str">
        <f>HYPERLINK("https://www.boe.es/gazeta/dias/1809/11/28/pdfs/GGB-1809-512.pdf#page=6","Abrir facsímil")</f>
        <v>Abrir facsímil</v>
      </c>
      <c r="K2010" s="3" t="s">
        <v>57</v>
      </c>
    </row>
    <row r="2011" spans="1:11" ht="42" customHeight="1">
      <c r="A2011" s="2" t="s">
        <v>5750</v>
      </c>
      <c r="B2011" s="2" t="s">
        <v>5750</v>
      </c>
      <c r="C2011" s="2" t="s">
        <v>17</v>
      </c>
      <c r="D2011" s="2" t="s">
        <v>18</v>
      </c>
      <c r="E2011" s="3" t="s">
        <v>33</v>
      </c>
      <c r="F2011" s="3" t="s">
        <v>34</v>
      </c>
      <c r="G2011" s="3" t="s">
        <v>35</v>
      </c>
      <c r="H2011" s="2" t="s">
        <v>55</v>
      </c>
      <c r="I2011" s="2" t="s">
        <v>5759</v>
      </c>
      <c r="J2011" s="3" t="str">
        <f>HYPERLINK("https://www.boe.es/gazeta/dias/1809/12/19/pdfs/GGB-1809-602.pdf#page=5","Abrir facsímil")</f>
        <v>Abrir facsímil</v>
      </c>
      <c r="K2011" s="3" t="s">
        <v>57</v>
      </c>
    </row>
    <row r="2012" spans="1:11" ht="42" customHeight="1">
      <c r="A2012" s="2" t="s">
        <v>5760</v>
      </c>
      <c r="B2012" s="2" t="s">
        <v>5761</v>
      </c>
      <c r="C2012" s="2" t="s">
        <v>79</v>
      </c>
      <c r="D2012" s="2" t="s">
        <v>18</v>
      </c>
      <c r="E2012" s="3" t="s">
        <v>102</v>
      </c>
      <c r="F2012" s="3" t="s">
        <v>103</v>
      </c>
      <c r="G2012" s="3" t="s">
        <v>104</v>
      </c>
      <c r="H2012" s="2" t="s">
        <v>55</v>
      </c>
      <c r="I2012" s="2" t="s">
        <v>5762</v>
      </c>
      <c r="J2012" s="3" t="str">
        <f>HYPERLINK("https://www.boe.es/gazeta/dias/1809/09/28/pdfs/GGB-1809-252.pdf#page=8","Abrir facsímil")</f>
        <v>Abrir facsímil</v>
      </c>
      <c r="K2012" s="3" t="s">
        <v>57</v>
      </c>
    </row>
    <row r="2013" spans="1:11" ht="42" customHeight="1">
      <c r="A2013" s="2" t="s">
        <v>5763</v>
      </c>
      <c r="B2013" s="2" t="s">
        <v>5764</v>
      </c>
      <c r="C2013" s="2" t="s">
        <v>17</v>
      </c>
      <c r="D2013" s="2" t="s">
        <v>18</v>
      </c>
      <c r="E2013" s="3" t="s">
        <v>53</v>
      </c>
      <c r="F2013" s="3" t="s">
        <v>54</v>
      </c>
      <c r="G2013" s="3" t="s">
        <v>29</v>
      </c>
      <c r="H2013" s="2" t="s">
        <v>55</v>
      </c>
      <c r="I2013" s="2" t="s">
        <v>5765</v>
      </c>
      <c r="J2013" s="3" t="str">
        <f>HYPERLINK("https://www.boe.es/gazeta/dias/1809/03/03/pdfs/GMD-1809-62.pdf#page=3","Abrir facsímil")</f>
        <v>Abrir facsímil</v>
      </c>
      <c r="K2013" s="3" t="s">
        <v>57</v>
      </c>
    </row>
    <row r="2014" spans="1:11" ht="42" customHeight="1">
      <c r="A2014" s="2" t="s">
        <v>5766</v>
      </c>
      <c r="B2014" s="2" t="s">
        <v>5766</v>
      </c>
      <c r="C2014" s="2" t="s">
        <v>25</v>
      </c>
      <c r="D2014" s="2" t="s">
        <v>26</v>
      </c>
      <c r="E2014" s="3" t="s">
        <v>2269</v>
      </c>
      <c r="F2014" s="3" t="s">
        <v>2270</v>
      </c>
      <c r="G2014" s="3" t="s">
        <v>239</v>
      </c>
      <c r="H2014" s="2" t="s">
        <v>55</v>
      </c>
      <c r="I2014" s="2" t="s">
        <v>5767</v>
      </c>
      <c r="J2014" s="3" t="str">
        <f>HYPERLINK("https://www.boe.es/gazeta/dias/1809/04/12/pdfs/GMD-1809-102.pdf#page=2","Abrir facsímil")</f>
        <v>Abrir facsímil</v>
      </c>
      <c r="K2014" s="3" t="s">
        <v>57</v>
      </c>
    </row>
    <row r="2015" spans="1:11" ht="42" customHeight="1">
      <c r="A2015" s="2" t="s">
        <v>5768</v>
      </c>
      <c r="B2015" s="2" t="s">
        <v>5768</v>
      </c>
      <c r="C2015" s="2" t="s">
        <v>25</v>
      </c>
      <c r="D2015" s="2" t="s">
        <v>18</v>
      </c>
      <c r="E2015" s="3" t="s">
        <v>211</v>
      </c>
      <c r="F2015" s="3" t="s">
        <v>212</v>
      </c>
      <c r="G2015" s="3" t="s">
        <v>29</v>
      </c>
      <c r="H2015" s="2" t="s">
        <v>55</v>
      </c>
      <c r="I2015" s="2" t="s">
        <v>5769</v>
      </c>
      <c r="J2015" s="3" t="str">
        <f>HYPERLINK("https://www.boe.es/gazeta/dias/1809/10/27/pdfs/GMD-1809-301.pdf#page=3","Abrir facsímil")</f>
        <v>Abrir facsímil</v>
      </c>
      <c r="K2015" s="3" t="s">
        <v>57</v>
      </c>
    </row>
    <row r="2016" spans="1:11" ht="42" customHeight="1">
      <c r="A2016" s="2" t="s">
        <v>5768</v>
      </c>
      <c r="B2016" s="2" t="s">
        <v>5768</v>
      </c>
      <c r="C2016" s="2" t="s">
        <v>25</v>
      </c>
      <c r="D2016" s="2" t="s">
        <v>72</v>
      </c>
      <c r="E2016" s="3" t="s">
        <v>216</v>
      </c>
      <c r="F2016" s="3" t="s">
        <v>217</v>
      </c>
      <c r="G2016" s="3" t="s">
        <v>94</v>
      </c>
      <c r="H2016" s="2" t="s">
        <v>55</v>
      </c>
      <c r="I2016" s="2" t="s">
        <v>5770</v>
      </c>
      <c r="J2016" s="3" t="str">
        <f>HYPERLINK("https://www.boe.es/gazeta/dias/1809/12/05/pdfs/GGB-H-1809-542.pdf#page=5","Abrir facsímil")</f>
        <v>Abrir facsímil</v>
      </c>
      <c r="K2016" s="3" t="s">
        <v>57</v>
      </c>
    </row>
    <row r="2017" spans="1:11" ht="42" customHeight="1">
      <c r="A2017" s="2" t="s">
        <v>5771</v>
      </c>
      <c r="B2017" s="2" t="s">
        <v>5772</v>
      </c>
      <c r="C2017" s="2" t="s">
        <v>47</v>
      </c>
      <c r="D2017" s="2" t="s">
        <v>18</v>
      </c>
      <c r="E2017" s="3" t="s">
        <v>299</v>
      </c>
      <c r="F2017" s="3" t="s">
        <v>300</v>
      </c>
      <c r="G2017" s="3" t="s">
        <v>693</v>
      </c>
      <c r="H2017" s="2" t="s">
        <v>55</v>
      </c>
      <c r="I2017" s="2" t="s">
        <v>5773</v>
      </c>
      <c r="J2017" s="3" t="str">
        <f>HYPERLINK("https://www.boe.es/gazeta/dias/1809/05/26/pdfs/GGB-1809-31.pdf#page=9","Abrir facsímil")</f>
        <v>Abrir facsímil</v>
      </c>
      <c r="K2017" s="3" t="s">
        <v>57</v>
      </c>
    </row>
    <row r="2018" spans="1:11" ht="42" customHeight="1">
      <c r="A2018" s="2" t="s">
        <v>5774</v>
      </c>
      <c r="B2018" s="2" t="s">
        <v>5774</v>
      </c>
      <c r="C2018" s="2" t="s">
        <v>25</v>
      </c>
      <c r="D2018" s="2" t="s">
        <v>18</v>
      </c>
      <c r="E2018" s="3" t="s">
        <v>470</v>
      </c>
      <c r="F2018" s="3" t="s">
        <v>471</v>
      </c>
      <c r="G2018" s="3" t="s">
        <v>234</v>
      </c>
      <c r="H2018" s="2" t="s">
        <v>55</v>
      </c>
      <c r="I2018" s="2" t="s">
        <v>5775</v>
      </c>
      <c r="J2018" s="3" t="str">
        <f>HYPERLINK("https://www.boe.es/gazeta/dias/1809/12/15/pdfs/GMD-1809-350.pdf#page=4","Abrir facsímil")</f>
        <v>Abrir facsímil</v>
      </c>
      <c r="K2018" s="3" t="s">
        <v>57</v>
      </c>
    </row>
    <row r="2019" spans="1:11" ht="42" customHeight="1">
      <c r="A2019" s="2" t="s">
        <v>5776</v>
      </c>
      <c r="B2019" s="2" t="s">
        <v>5776</v>
      </c>
      <c r="C2019" s="2" t="s">
        <v>131</v>
      </c>
      <c r="D2019" s="2" t="s">
        <v>26</v>
      </c>
      <c r="E2019" s="3" t="s">
        <v>743</v>
      </c>
      <c r="F2019" s="3" t="s">
        <v>744</v>
      </c>
      <c r="G2019" s="3" t="s">
        <v>225</v>
      </c>
      <c r="H2019" s="2" t="s">
        <v>55</v>
      </c>
      <c r="I2019" s="2" t="s">
        <v>5777</v>
      </c>
      <c r="J2019" s="3" t="str">
        <f>HYPERLINK("https://www.boe.es/gazeta/dias/1809/12/25/pdfs/GMD-1809-360.pdf#page=4","Abrir facsímil")</f>
        <v>Abrir facsímil</v>
      </c>
      <c r="K2019" s="3" t="s">
        <v>57</v>
      </c>
    </row>
    <row r="2020" spans="1:11" ht="42" customHeight="1">
      <c r="A2020" s="2" t="s">
        <v>5778</v>
      </c>
      <c r="B2020" s="2" t="s">
        <v>5779</v>
      </c>
      <c r="C2020" s="2" t="s">
        <v>25</v>
      </c>
      <c r="D2020" s="2" t="s">
        <v>72</v>
      </c>
      <c r="E2020" s="3" t="s">
        <v>143</v>
      </c>
      <c r="F2020" s="3" t="s">
        <v>705</v>
      </c>
      <c r="G2020" s="3" t="s">
        <v>110</v>
      </c>
      <c r="H2020" s="2" t="s">
        <v>55</v>
      </c>
      <c r="I2020" s="2" t="s">
        <v>5780</v>
      </c>
      <c r="J2020" s="3" t="str">
        <f>HYPERLINK("https://www.boe.es/gazeta/dias/1809/11/16/pdfs/GGB-H-1809-462.pdf#page=3","Abrir facsímil")</f>
        <v>Abrir facsímil</v>
      </c>
      <c r="K2020" s="3" t="s">
        <v>57</v>
      </c>
    </row>
    <row r="2021" spans="1:11" ht="42" customHeight="1">
      <c r="A2021" s="2" t="s">
        <v>5781</v>
      </c>
      <c r="B2021" s="2" t="s">
        <v>5782</v>
      </c>
      <c r="C2021" s="2" t="s">
        <v>17</v>
      </c>
      <c r="D2021" s="2" t="s">
        <v>18</v>
      </c>
      <c r="E2021" s="3" t="s">
        <v>102</v>
      </c>
      <c r="F2021" s="3" t="s">
        <v>103</v>
      </c>
      <c r="G2021" s="3" t="s">
        <v>1091</v>
      </c>
      <c r="H2021" s="2" t="s">
        <v>55</v>
      </c>
      <c r="I2021" s="2" t="s">
        <v>5783</v>
      </c>
      <c r="J2021" s="3" t="str">
        <f>HYPERLINK("https://www.boe.es/gazeta/dias/1809/09/28/pdfs/GGB-1809-252.pdf#page=6","Abrir facsímil")</f>
        <v>Abrir facsímil</v>
      </c>
      <c r="K2021" s="3" t="s">
        <v>57</v>
      </c>
    </row>
    <row r="2022" spans="1:11" ht="42" customHeight="1">
      <c r="A2022" s="2" t="s">
        <v>5784</v>
      </c>
      <c r="B2022" s="2" t="s">
        <v>5785</v>
      </c>
      <c r="C2022" s="2" t="s">
        <v>369</v>
      </c>
      <c r="D2022" s="2" t="s">
        <v>18</v>
      </c>
      <c r="E2022" s="3" t="s">
        <v>536</v>
      </c>
      <c r="F2022" s="3" t="s">
        <v>537</v>
      </c>
      <c r="G2022" s="3" t="s">
        <v>29</v>
      </c>
      <c r="H2022" s="2" t="s">
        <v>55</v>
      </c>
      <c r="I2022" s="2" t="s">
        <v>5786</v>
      </c>
      <c r="J2022" s="3" t="str">
        <f>HYPERLINK("https://www.boe.es/gazeta/dias/1809/09/03/pdfs/GMD-1809-247.pdf#page=3","Abrir facsímil")</f>
        <v>Abrir facsímil</v>
      </c>
      <c r="K2022" s="3" t="s">
        <v>57</v>
      </c>
    </row>
    <row r="2023" spans="1:11" ht="42" customHeight="1">
      <c r="A2023" s="2" t="s">
        <v>5787</v>
      </c>
      <c r="B2023" s="2" t="s">
        <v>5788</v>
      </c>
      <c r="C2023" s="2" t="s">
        <v>369</v>
      </c>
      <c r="D2023" s="2" t="s">
        <v>18</v>
      </c>
      <c r="E2023" s="3" t="s">
        <v>2278</v>
      </c>
      <c r="F2023" s="3" t="s">
        <v>2279</v>
      </c>
      <c r="G2023" s="3" t="s">
        <v>3808</v>
      </c>
      <c r="H2023" s="2" t="s">
        <v>55</v>
      </c>
      <c r="I2023" s="2" t="s">
        <v>5789</v>
      </c>
      <c r="J2023" s="3" t="str">
        <f>HYPERLINK("https://www.boe.es/gazeta/dias/1809/02/19/pdfs/GMD-1809-50.pdf#page=8","Abrir facsímil")</f>
        <v>Abrir facsímil</v>
      </c>
      <c r="K2023" s="3" t="s">
        <v>57</v>
      </c>
    </row>
    <row r="2024" spans="1:11" ht="42" customHeight="1">
      <c r="A2024" s="2" t="s">
        <v>5787</v>
      </c>
      <c r="B2024" s="2" t="s">
        <v>5788</v>
      </c>
      <c r="C2024" s="2" t="s">
        <v>17</v>
      </c>
      <c r="D2024" s="2" t="s">
        <v>72</v>
      </c>
      <c r="E2024" s="3" t="s">
        <v>557</v>
      </c>
      <c r="F2024" s="3" t="s">
        <v>558</v>
      </c>
      <c r="G2024" s="3" t="s">
        <v>21</v>
      </c>
      <c r="H2024" s="2" t="s">
        <v>55</v>
      </c>
      <c r="I2024" s="2" t="s">
        <v>5790</v>
      </c>
      <c r="J2024" s="3" t="str">
        <f>HYPERLINK("https://www.boe.es/gazeta/dias/1809/04/19/pdfs/GMD-E-1809-109.pdf#page=1","Abrir facsímil")</f>
        <v>Abrir facsímil</v>
      </c>
      <c r="K2024" s="3" t="s">
        <v>57</v>
      </c>
    </row>
    <row r="2025" spans="1:11" ht="42" customHeight="1">
      <c r="A2025" s="2" t="s">
        <v>5791</v>
      </c>
      <c r="B2025" s="2" t="s">
        <v>5792</v>
      </c>
      <c r="C2025" s="2" t="s">
        <v>17</v>
      </c>
      <c r="D2025" s="2" t="s">
        <v>18</v>
      </c>
      <c r="E2025" s="3" t="s">
        <v>283</v>
      </c>
      <c r="F2025" s="3" t="s">
        <v>284</v>
      </c>
      <c r="G2025" s="3" t="s">
        <v>21</v>
      </c>
      <c r="H2025" s="2" t="s">
        <v>55</v>
      </c>
      <c r="I2025" s="2" t="s">
        <v>5793</v>
      </c>
      <c r="J2025" s="3" t="str">
        <f>HYPERLINK("https://www.boe.es/gazeta/dias/1809/02/09/pdfs/GMD-1809-40.pdf#page=4","Abrir facsímil")</f>
        <v>Abrir facsímil</v>
      </c>
      <c r="K2025" s="3" t="s">
        <v>57</v>
      </c>
    </row>
    <row r="2026" spans="1:11" ht="42" customHeight="1">
      <c r="A2026" s="2" t="s">
        <v>5794</v>
      </c>
      <c r="B2026" s="2" t="s">
        <v>5795</v>
      </c>
      <c r="C2026" s="2" t="s">
        <v>17</v>
      </c>
      <c r="D2026" s="2" t="s">
        <v>72</v>
      </c>
      <c r="E2026" s="3" t="s">
        <v>243</v>
      </c>
      <c r="F2026" s="3" t="s">
        <v>244</v>
      </c>
      <c r="G2026" s="3" t="s">
        <v>29</v>
      </c>
      <c r="H2026" s="2" t="s">
        <v>55</v>
      </c>
      <c r="I2026" s="2" t="s">
        <v>5796</v>
      </c>
      <c r="J2026" s="3" t="str">
        <f>HYPERLINK("https://www.boe.es/gazeta/dias/1809/02/17/pdfs/GGB-G-1809-8.pdf#page=3","Abrir facsímil")</f>
        <v>Abrir facsímil</v>
      </c>
      <c r="K2026" s="3" t="s">
        <v>57</v>
      </c>
    </row>
    <row r="2027" spans="1:11" ht="42" customHeight="1">
      <c r="A2027" s="2" t="s">
        <v>5797</v>
      </c>
      <c r="B2027" s="2" t="s">
        <v>5798</v>
      </c>
      <c r="C2027" s="2" t="s">
        <v>369</v>
      </c>
      <c r="D2027" s="2" t="s">
        <v>18</v>
      </c>
      <c r="E2027" s="3" t="s">
        <v>2244</v>
      </c>
      <c r="F2027" s="3" t="s">
        <v>2245</v>
      </c>
      <c r="G2027" s="3" t="s">
        <v>3015</v>
      </c>
      <c r="H2027" s="2" t="s">
        <v>55</v>
      </c>
      <c r="I2027" s="2" t="s">
        <v>5799</v>
      </c>
      <c r="J2027" s="3" t="str">
        <f>HYPERLINK("https://www.boe.es/gazeta/dias/1809/03/27/pdfs/GGB-1809-13B.pdf#page=8","Abrir facsímil")</f>
        <v>Abrir facsímil</v>
      </c>
      <c r="K2027" s="3" t="s">
        <v>57</v>
      </c>
    </row>
    <row r="2028" spans="1:11" ht="42" customHeight="1">
      <c r="A2028" s="2" t="s">
        <v>5800</v>
      </c>
      <c r="B2028" s="2" t="s">
        <v>5801</v>
      </c>
      <c r="C2028" s="2" t="s">
        <v>17</v>
      </c>
      <c r="D2028" s="2" t="s">
        <v>18</v>
      </c>
      <c r="E2028" s="3" t="s">
        <v>53</v>
      </c>
      <c r="F2028" s="3" t="s">
        <v>54</v>
      </c>
      <c r="G2028" s="3" t="s">
        <v>29</v>
      </c>
      <c r="H2028" s="2" t="s">
        <v>55</v>
      </c>
      <c r="I2028" s="2" t="s">
        <v>5802</v>
      </c>
      <c r="J2028" s="3" t="str">
        <f>HYPERLINK("https://www.boe.es/gazeta/dias/1809/03/03/pdfs/GMD-1809-62.pdf#page=3","Abrir facsímil")</f>
        <v>Abrir facsímil</v>
      </c>
      <c r="K2028" s="3" t="s">
        <v>57</v>
      </c>
    </row>
    <row r="2029" spans="1:11" ht="42" customHeight="1">
      <c r="A2029" s="2" t="s">
        <v>5803</v>
      </c>
      <c r="B2029" s="2" t="s">
        <v>5804</v>
      </c>
      <c r="C2029" s="2" t="s">
        <v>25</v>
      </c>
      <c r="D2029" s="2" t="s">
        <v>18</v>
      </c>
      <c r="E2029" s="3" t="s">
        <v>1011</v>
      </c>
      <c r="F2029" s="3" t="s">
        <v>1012</v>
      </c>
      <c r="G2029" s="3" t="s">
        <v>5805</v>
      </c>
      <c r="H2029" s="2" t="s">
        <v>55</v>
      </c>
      <c r="I2029" s="2" t="s">
        <v>5806</v>
      </c>
      <c r="J2029" s="3" t="str">
        <f>HYPERLINK("https://www.boe.es/gazeta/dias/1809/08/01/pdfs/GGB-1809-50.pdf#page=12","Abrir facsímil")</f>
        <v>Abrir facsímil</v>
      </c>
      <c r="K2029" s="3" t="s">
        <v>57</v>
      </c>
    </row>
    <row r="2030" spans="1:11" ht="42" customHeight="1">
      <c r="A2030" s="2" t="s">
        <v>5807</v>
      </c>
      <c r="B2030" s="2" t="s">
        <v>5808</v>
      </c>
      <c r="C2030" s="2" t="s">
        <v>17</v>
      </c>
      <c r="D2030" s="2" t="s">
        <v>72</v>
      </c>
      <c r="E2030" s="3" t="s">
        <v>243</v>
      </c>
      <c r="F2030" s="3" t="s">
        <v>244</v>
      </c>
      <c r="G2030" s="3" t="s">
        <v>110</v>
      </c>
      <c r="H2030" s="2" t="s">
        <v>55</v>
      </c>
      <c r="I2030" s="2" t="s">
        <v>5809</v>
      </c>
      <c r="J2030" s="3" t="str">
        <f>HYPERLINK("https://www.boe.es/gazeta/dias/1809/02/17/pdfs/GGB-G-1809-8.pdf#page=5","Abrir facsímil")</f>
        <v>Abrir facsímil</v>
      </c>
      <c r="K2030" s="3" t="s">
        <v>57</v>
      </c>
    </row>
    <row r="2031" spans="1:11" ht="42" customHeight="1">
      <c r="A2031" s="2" t="s">
        <v>5810</v>
      </c>
      <c r="B2031" s="2" t="s">
        <v>5810</v>
      </c>
      <c r="C2031" s="2" t="s">
        <v>25</v>
      </c>
      <c r="D2031" s="2" t="s">
        <v>26</v>
      </c>
      <c r="E2031" s="3" t="s">
        <v>1276</v>
      </c>
      <c r="F2031" s="3" t="s">
        <v>2088</v>
      </c>
      <c r="G2031" s="3" t="s">
        <v>651</v>
      </c>
      <c r="H2031" s="2" t="s">
        <v>55</v>
      </c>
      <c r="I2031" s="2" t="s">
        <v>5811</v>
      </c>
      <c r="J2031" s="3" t="str">
        <f>HYPERLINK("https://www.boe.es/gazeta/dias/1809/01/03/pdfs/GMD-1809-3.pdf#page=1","Abrir facsímil")</f>
        <v>Abrir facsímil</v>
      </c>
      <c r="K2031" s="3" t="s">
        <v>57</v>
      </c>
    </row>
    <row r="2032" spans="1:11" ht="42" customHeight="1">
      <c r="A2032" s="2" t="s">
        <v>5810</v>
      </c>
      <c r="B2032" s="2" t="s">
        <v>5810</v>
      </c>
      <c r="C2032" s="2" t="s">
        <v>25</v>
      </c>
      <c r="D2032" s="2" t="s">
        <v>26</v>
      </c>
      <c r="E2032" s="3" t="s">
        <v>1073</v>
      </c>
      <c r="F2032" s="3" t="s">
        <v>1074</v>
      </c>
      <c r="G2032" s="3" t="s">
        <v>62</v>
      </c>
      <c r="H2032" s="2" t="s">
        <v>55</v>
      </c>
      <c r="I2032" s="2" t="s">
        <v>5812</v>
      </c>
      <c r="J2032" s="3" t="str">
        <f>HYPERLINK("https://www.boe.es/gazeta/dias/1809/01/13/pdfs/GMD-1809-13.pdf#page=1","Abrir facsímil")</f>
        <v>Abrir facsímil</v>
      </c>
      <c r="K2032" s="3" t="s">
        <v>57</v>
      </c>
    </row>
    <row r="2033" spans="1:11" ht="42" customHeight="1">
      <c r="A2033" s="2" t="s">
        <v>5810</v>
      </c>
      <c r="B2033" s="2" t="s">
        <v>5810</v>
      </c>
      <c r="C2033" s="2" t="s">
        <v>25</v>
      </c>
      <c r="D2033" s="2" t="s">
        <v>26</v>
      </c>
      <c r="E2033" s="3" t="s">
        <v>1073</v>
      </c>
      <c r="F2033" s="3" t="s">
        <v>1074</v>
      </c>
      <c r="G2033" s="3" t="s">
        <v>3888</v>
      </c>
      <c r="H2033" s="2" t="s">
        <v>55</v>
      </c>
      <c r="I2033" s="2" t="s">
        <v>5813</v>
      </c>
      <c r="J2033" s="3" t="str">
        <f>HYPERLINK("https://www.boe.es/gazeta/dias/1809/01/13/pdfs/GMD-1809-13.pdf#page=2","Abrir facsímil")</f>
        <v>Abrir facsímil</v>
      </c>
      <c r="K2033" s="3" t="s">
        <v>57</v>
      </c>
    </row>
    <row r="2034" spans="1:11" ht="42" customHeight="1">
      <c r="A2034" s="2" t="s">
        <v>5810</v>
      </c>
      <c r="B2034" s="2" t="s">
        <v>5810</v>
      </c>
      <c r="C2034" s="2" t="s">
        <v>25</v>
      </c>
      <c r="D2034" s="2" t="s">
        <v>26</v>
      </c>
      <c r="E2034" s="3" t="s">
        <v>4993</v>
      </c>
      <c r="F2034" s="3" t="s">
        <v>4994</v>
      </c>
      <c r="G2034" s="3" t="s">
        <v>4762</v>
      </c>
      <c r="H2034" s="2" t="s">
        <v>55</v>
      </c>
      <c r="I2034" s="2" t="s">
        <v>5814</v>
      </c>
      <c r="J2034" s="3" t="str">
        <f>HYPERLINK("https://www.boe.es/gazeta/dias/1809/01/15/pdfs/GMD-1809-15.pdf#page=2","Abrir facsímil")</f>
        <v>Abrir facsímil</v>
      </c>
      <c r="K2034" s="3" t="s">
        <v>57</v>
      </c>
    </row>
    <row r="2035" spans="1:11" ht="42" customHeight="1">
      <c r="A2035" s="2" t="s">
        <v>5815</v>
      </c>
      <c r="B2035" s="2" t="s">
        <v>5815</v>
      </c>
      <c r="C2035" s="2" t="s">
        <v>25</v>
      </c>
      <c r="D2035" s="2" t="s">
        <v>80</v>
      </c>
      <c r="E2035" s="3" t="s">
        <v>1700</v>
      </c>
      <c r="F2035" s="3" t="s">
        <v>1701</v>
      </c>
      <c r="G2035" s="3" t="s">
        <v>260</v>
      </c>
      <c r="H2035" s="2" t="s">
        <v>22</v>
      </c>
      <c r="I2035" s="2" t="s">
        <v>5816</v>
      </c>
      <c r="J2035" s="3" t="str">
        <f>HYPERLINK("https://www.boe.es/gazeta/dias/1809/01/16/pdfs/GGB-1809-3E.pdf#page=7","Abrir facsímil")</f>
        <v>Abrir facsímil</v>
      </c>
      <c r="K2035" s="3" t="s">
        <v>24</v>
      </c>
    </row>
    <row r="2036" spans="1:11" ht="42" customHeight="1">
      <c r="A2036" s="2" t="s">
        <v>5810</v>
      </c>
      <c r="B2036" s="2" t="s">
        <v>5810</v>
      </c>
      <c r="C2036" s="2" t="s">
        <v>17</v>
      </c>
      <c r="D2036" s="2" t="s">
        <v>18</v>
      </c>
      <c r="E2036" s="3" t="s">
        <v>4624</v>
      </c>
      <c r="F2036" s="3" t="s">
        <v>4625</v>
      </c>
      <c r="G2036" s="3" t="s">
        <v>62</v>
      </c>
      <c r="H2036" s="2" t="s">
        <v>55</v>
      </c>
      <c r="I2036" s="2" t="s">
        <v>5817</v>
      </c>
      <c r="J2036" s="3" t="str">
        <f>HYPERLINK("https://www.boe.es/gazeta/dias/1809/01/31/pdfs/GMD-1809-31.pdf#page=4","Abrir facsímil")</f>
        <v>Abrir facsímil</v>
      </c>
      <c r="K2036" s="3" t="s">
        <v>57</v>
      </c>
    </row>
    <row r="2037" spans="1:11" ht="42" customHeight="1">
      <c r="A2037" s="2" t="s">
        <v>5810</v>
      </c>
      <c r="B2037" s="2" t="s">
        <v>5810</v>
      </c>
      <c r="C2037" s="2" t="s">
        <v>2176</v>
      </c>
      <c r="D2037" s="2" t="s">
        <v>18</v>
      </c>
      <c r="E2037" s="3" t="s">
        <v>258</v>
      </c>
      <c r="F2037" s="3" t="s">
        <v>910</v>
      </c>
      <c r="G2037" s="3" t="s">
        <v>1152</v>
      </c>
      <c r="H2037" s="2" t="s">
        <v>55</v>
      </c>
      <c r="I2037" s="2" t="s">
        <v>5818</v>
      </c>
      <c r="J2037" s="3" t="str">
        <f>HYPERLINK("https://www.boe.es/gazeta/dias/1809/03/17/pdfs/GGB-1809-12.pdf#page=11","Abrir facsímil")</f>
        <v>Abrir facsímil</v>
      </c>
      <c r="K2037" s="3" t="s">
        <v>57</v>
      </c>
    </row>
    <row r="2038" spans="1:11" ht="42" customHeight="1">
      <c r="A2038" s="2" t="s">
        <v>5810</v>
      </c>
      <c r="B2038" s="2" t="s">
        <v>5810</v>
      </c>
      <c r="C2038" s="2" t="s">
        <v>25</v>
      </c>
      <c r="D2038" s="2" t="s">
        <v>26</v>
      </c>
      <c r="E2038" s="3" t="s">
        <v>1076</v>
      </c>
      <c r="F2038" s="3" t="s">
        <v>1074</v>
      </c>
      <c r="G2038" s="3" t="s">
        <v>62</v>
      </c>
      <c r="H2038" s="2" t="s">
        <v>55</v>
      </c>
      <c r="I2038" s="2" t="s">
        <v>5812</v>
      </c>
      <c r="J2038" s="3" t="str">
        <f>HYPERLINK("https://www.boe.es/gazeta/dias/1809/04/13/pdfs/GMD-1809-13.pdf#page=1","Abrir facsímil")</f>
        <v>Abrir facsímil</v>
      </c>
      <c r="K2038" s="3" t="s">
        <v>57</v>
      </c>
    </row>
    <row r="2039" spans="1:11" ht="42" customHeight="1">
      <c r="A2039" s="2" t="s">
        <v>5810</v>
      </c>
      <c r="B2039" s="2" t="s">
        <v>5810</v>
      </c>
      <c r="C2039" s="2" t="s">
        <v>25</v>
      </c>
      <c r="D2039" s="2" t="s">
        <v>26</v>
      </c>
      <c r="E2039" s="3" t="s">
        <v>1076</v>
      </c>
      <c r="F2039" s="3" t="s">
        <v>1074</v>
      </c>
      <c r="G2039" s="3" t="s">
        <v>3888</v>
      </c>
      <c r="H2039" s="2" t="s">
        <v>55</v>
      </c>
      <c r="I2039" s="2" t="s">
        <v>5813</v>
      </c>
      <c r="J2039" s="3" t="str">
        <f>HYPERLINK("https://www.boe.es/gazeta/dias/1809/04/13/pdfs/GMD-1809-13.pdf#page=2","Abrir facsímil")</f>
        <v>Abrir facsímil</v>
      </c>
      <c r="K2039" s="3" t="s">
        <v>57</v>
      </c>
    </row>
    <row r="2040" spans="1:11" ht="42" customHeight="1">
      <c r="A2040" s="2" t="s">
        <v>5810</v>
      </c>
      <c r="B2040" s="2" t="s">
        <v>5810</v>
      </c>
      <c r="C2040" s="2" t="s">
        <v>47</v>
      </c>
      <c r="D2040" s="2" t="s">
        <v>18</v>
      </c>
      <c r="E2040" s="3" t="s">
        <v>1007</v>
      </c>
      <c r="F2040" s="3" t="s">
        <v>3043</v>
      </c>
      <c r="G2040" s="3" t="s">
        <v>129</v>
      </c>
      <c r="H2040" s="2" t="s">
        <v>55</v>
      </c>
      <c r="I2040" s="2" t="s">
        <v>5819</v>
      </c>
      <c r="J2040" s="3" t="str">
        <f>HYPERLINK("https://www.boe.es/gazeta/dias/1809/04/14/pdfs/GGB-1809-17.pdf#page=2","Abrir facsímil")</f>
        <v>Abrir facsímil</v>
      </c>
      <c r="K2040" s="3" t="s">
        <v>57</v>
      </c>
    </row>
    <row r="2041" spans="1:11" ht="42" customHeight="1">
      <c r="A2041" s="2" t="s">
        <v>5810</v>
      </c>
      <c r="B2041" s="2" t="s">
        <v>5810</v>
      </c>
      <c r="C2041" s="2" t="s">
        <v>25</v>
      </c>
      <c r="D2041" s="2" t="s">
        <v>18</v>
      </c>
      <c r="E2041" s="3" t="s">
        <v>1007</v>
      </c>
      <c r="F2041" s="3" t="s">
        <v>3043</v>
      </c>
      <c r="G2041" s="3" t="s">
        <v>906</v>
      </c>
      <c r="H2041" s="2" t="s">
        <v>55</v>
      </c>
      <c r="I2041" s="2" t="s">
        <v>5820</v>
      </c>
      <c r="J2041" s="3" t="str">
        <f>HYPERLINK("https://www.boe.es/gazeta/dias/1809/04/14/pdfs/GGB-1809-17.pdf#page=8","Abrir facsímil")</f>
        <v>Abrir facsímil</v>
      </c>
      <c r="K2041" s="3" t="s">
        <v>57</v>
      </c>
    </row>
    <row r="2042" spans="1:11" ht="42" customHeight="1">
      <c r="A2042" s="2" t="s">
        <v>5810</v>
      </c>
      <c r="B2042" s="2" t="s">
        <v>5810</v>
      </c>
      <c r="C2042" s="2" t="s">
        <v>47</v>
      </c>
      <c r="D2042" s="2" t="s">
        <v>18</v>
      </c>
      <c r="E2042" s="3" t="s">
        <v>739</v>
      </c>
      <c r="F2042" s="3" t="s">
        <v>1137</v>
      </c>
      <c r="G2042" s="3" t="s">
        <v>5821</v>
      </c>
      <c r="H2042" s="2" t="s">
        <v>55</v>
      </c>
      <c r="I2042" s="2" t="s">
        <v>5822</v>
      </c>
      <c r="J2042" s="3" t="str">
        <f>HYPERLINK("https://www.boe.es/gazeta/dias/1809/05/08/pdfs/GGB-1809-25.pdf#page=3","Abrir facsímil")</f>
        <v>Abrir facsímil</v>
      </c>
      <c r="K2042" s="3" t="s">
        <v>57</v>
      </c>
    </row>
    <row r="2043" spans="1:11" ht="42" customHeight="1">
      <c r="A2043" s="2" t="s">
        <v>5810</v>
      </c>
      <c r="B2043" s="2" t="s">
        <v>5810</v>
      </c>
      <c r="C2043" s="2" t="s">
        <v>25</v>
      </c>
      <c r="D2043" s="2" t="s">
        <v>18</v>
      </c>
      <c r="E2043" s="3" t="s">
        <v>1352</v>
      </c>
      <c r="F2043" s="3" t="s">
        <v>1353</v>
      </c>
      <c r="G2043" s="3" t="s">
        <v>5823</v>
      </c>
      <c r="H2043" s="2" t="s">
        <v>55</v>
      </c>
      <c r="I2043" s="2" t="s">
        <v>5824</v>
      </c>
      <c r="J2043" s="3" t="str">
        <f>HYPERLINK("https://www.boe.es/gazeta/dias/1809/05/27/pdfs/GMD-1809-147.pdf#page=4","Abrir facsímil")</f>
        <v>Abrir facsímil</v>
      </c>
      <c r="K2043" s="3" t="s">
        <v>57</v>
      </c>
    </row>
    <row r="2044" spans="1:11" ht="42" customHeight="1">
      <c r="A2044" s="2" t="s">
        <v>5810</v>
      </c>
      <c r="B2044" s="2" t="s">
        <v>5810</v>
      </c>
      <c r="C2044" s="2" t="s">
        <v>39</v>
      </c>
      <c r="D2044" s="2" t="s">
        <v>18</v>
      </c>
      <c r="E2044" s="3" t="s">
        <v>5145</v>
      </c>
      <c r="F2044" s="3" t="s">
        <v>5146</v>
      </c>
      <c r="G2044" s="3" t="s">
        <v>29</v>
      </c>
      <c r="H2044" s="2" t="s">
        <v>55</v>
      </c>
      <c r="I2044" s="2" t="s">
        <v>5825</v>
      </c>
      <c r="J2044" s="3" t="str">
        <f>HYPERLINK("https://www.boe.es/gazeta/dias/1809/06/22/pdfs/GMD-1809-173.pdf#page=3","Abrir facsímil")</f>
        <v>Abrir facsímil</v>
      </c>
      <c r="K2044" s="3" t="s">
        <v>57</v>
      </c>
    </row>
    <row r="2045" spans="1:11" ht="42" customHeight="1">
      <c r="A2045" s="2" t="s">
        <v>5810</v>
      </c>
      <c r="B2045" s="2" t="s">
        <v>5810</v>
      </c>
      <c r="C2045" s="2" t="s">
        <v>17</v>
      </c>
      <c r="D2045" s="2" t="s">
        <v>18</v>
      </c>
      <c r="E2045" s="3" t="s">
        <v>464</v>
      </c>
      <c r="F2045" s="3" t="s">
        <v>465</v>
      </c>
      <c r="G2045" s="3" t="s">
        <v>62</v>
      </c>
      <c r="H2045" s="2" t="s">
        <v>55</v>
      </c>
      <c r="I2045" s="2" t="s">
        <v>5826</v>
      </c>
      <c r="J2045" s="3" t="str">
        <f>HYPERLINK("https://www.boe.es/gazeta/dias/1809/07/05/pdfs/GMD-1809-186.pdf#page=4","Abrir facsímil")</f>
        <v>Abrir facsímil</v>
      </c>
      <c r="K2045" s="3" t="s">
        <v>57</v>
      </c>
    </row>
    <row r="2046" spans="1:11" ht="42" customHeight="1">
      <c r="A2046" s="2" t="s">
        <v>5810</v>
      </c>
      <c r="B2046" s="2" t="s">
        <v>5810</v>
      </c>
      <c r="C2046" s="2" t="s">
        <v>47</v>
      </c>
      <c r="D2046" s="2" t="s">
        <v>18</v>
      </c>
      <c r="E2046" s="3" t="s">
        <v>809</v>
      </c>
      <c r="F2046" s="3" t="s">
        <v>1402</v>
      </c>
      <c r="G2046" s="3" t="s">
        <v>484</v>
      </c>
      <c r="H2046" s="2" t="s">
        <v>55</v>
      </c>
      <c r="I2046" s="2" t="s">
        <v>5827</v>
      </c>
      <c r="J2046" s="3" t="str">
        <f>HYPERLINK("https://www.boe.es/gazeta/dias/1809/08/19/pdfs/GGB-1809-82.pdf#page=4","Abrir facsímil")</f>
        <v>Abrir facsímil</v>
      </c>
      <c r="K2046" s="3" t="s">
        <v>57</v>
      </c>
    </row>
    <row r="2047" spans="1:11" ht="42" customHeight="1">
      <c r="A2047" s="2" t="s">
        <v>5810</v>
      </c>
      <c r="B2047" s="2" t="s">
        <v>5810</v>
      </c>
      <c r="C2047" s="2" t="s">
        <v>25</v>
      </c>
      <c r="D2047" s="2" t="s">
        <v>26</v>
      </c>
      <c r="E2047" s="3" t="s">
        <v>118</v>
      </c>
      <c r="F2047" s="3" t="s">
        <v>2125</v>
      </c>
      <c r="G2047" s="3" t="s">
        <v>5828</v>
      </c>
      <c r="H2047" s="2" t="s">
        <v>55</v>
      </c>
      <c r="I2047" s="2" t="s">
        <v>5829</v>
      </c>
      <c r="J2047" s="3" t="str">
        <f>HYPERLINK("https://www.boe.es/gazeta/dias/1809/09/07/pdfs/GGB-1809-162.pdf#page=1","Abrir facsímil")</f>
        <v>Abrir facsímil</v>
      </c>
      <c r="K2047" s="3" t="s">
        <v>57</v>
      </c>
    </row>
    <row r="2048" spans="1:11" ht="42" customHeight="1">
      <c r="A2048" s="2" t="s">
        <v>5810</v>
      </c>
      <c r="B2048" s="2" t="s">
        <v>5810</v>
      </c>
      <c r="C2048" s="2" t="s">
        <v>79</v>
      </c>
      <c r="D2048" s="2" t="s">
        <v>40</v>
      </c>
      <c r="E2048" s="3" t="s">
        <v>390</v>
      </c>
      <c r="F2048" s="3" t="s">
        <v>391</v>
      </c>
      <c r="G2048" s="3" t="s">
        <v>340</v>
      </c>
      <c r="H2048" s="2" t="s">
        <v>55</v>
      </c>
      <c r="I2048" s="2" t="s">
        <v>5830</v>
      </c>
      <c r="J2048" s="3" t="str">
        <f>HYPERLINK("https://www.boe.es/gazeta/dias/1809/10/19/pdfs/GGB-1809-342.pdf#page=6","Abrir facsímil")</f>
        <v>Abrir facsímil</v>
      </c>
      <c r="K2048" s="3" t="s">
        <v>57</v>
      </c>
    </row>
    <row r="2049" spans="1:11" ht="42" customHeight="1">
      <c r="A2049" s="2" t="s">
        <v>5810</v>
      </c>
      <c r="B2049" s="2" t="s">
        <v>5810</v>
      </c>
      <c r="C2049" s="2" t="s">
        <v>17</v>
      </c>
      <c r="D2049" s="2" t="s">
        <v>18</v>
      </c>
      <c r="E2049" s="3" t="s">
        <v>305</v>
      </c>
      <c r="F2049" s="3" t="s">
        <v>306</v>
      </c>
      <c r="G2049" s="3" t="s">
        <v>29</v>
      </c>
      <c r="H2049" s="2" t="s">
        <v>55</v>
      </c>
      <c r="I2049" s="2" t="s">
        <v>5831</v>
      </c>
      <c r="J2049" s="3" t="str">
        <f>HYPERLINK("https://www.boe.es/gazeta/dias/1809/10/20/pdfs/GMD-1809-294.pdf#page=3","Abrir facsímil")</f>
        <v>Abrir facsímil</v>
      </c>
      <c r="K2049" s="3" t="s">
        <v>57</v>
      </c>
    </row>
    <row r="2050" spans="1:11" ht="42" customHeight="1">
      <c r="A2050" s="2" t="s">
        <v>5810</v>
      </c>
      <c r="B2050" s="2" t="s">
        <v>5810</v>
      </c>
      <c r="C2050" s="2" t="s">
        <v>25</v>
      </c>
      <c r="D2050" s="2" t="s">
        <v>26</v>
      </c>
      <c r="E2050" s="3" t="s">
        <v>933</v>
      </c>
      <c r="F2050" s="3" t="s">
        <v>934</v>
      </c>
      <c r="G2050" s="3" t="s">
        <v>1148</v>
      </c>
      <c r="H2050" s="2" t="s">
        <v>55</v>
      </c>
      <c r="I2050" s="2" t="s">
        <v>5832</v>
      </c>
      <c r="J2050" s="3" t="str">
        <f>HYPERLINK("https://www.boe.es/gazeta/dias/1809/10/28/pdfs/GMD-1809-302.pdf#page=1","Abrir facsímil")</f>
        <v>Abrir facsímil</v>
      </c>
      <c r="K2050" s="3" t="s">
        <v>57</v>
      </c>
    </row>
    <row r="2051" spans="1:11" ht="42" customHeight="1">
      <c r="A2051" s="2" t="s">
        <v>5810</v>
      </c>
      <c r="B2051" s="2" t="s">
        <v>5810</v>
      </c>
      <c r="C2051" s="2" t="s">
        <v>25</v>
      </c>
      <c r="D2051" s="2" t="s">
        <v>18</v>
      </c>
      <c r="E2051" s="3" t="s">
        <v>1226</v>
      </c>
      <c r="F2051" s="3" t="s">
        <v>1566</v>
      </c>
      <c r="G2051" s="3" t="s">
        <v>3650</v>
      </c>
      <c r="H2051" s="2" t="s">
        <v>55</v>
      </c>
      <c r="I2051" s="2" t="s">
        <v>5833</v>
      </c>
      <c r="J2051" s="3" t="str">
        <f>HYPERLINK("https://www.boe.es/gazeta/dias/1809/11/09/pdfs/GGB-1809-432.pdf#page=7","Abrir facsímil")</f>
        <v>Abrir facsímil</v>
      </c>
      <c r="K2051" s="3" t="s">
        <v>57</v>
      </c>
    </row>
    <row r="2052" spans="1:11" ht="42" customHeight="1">
      <c r="A2052" s="2" t="s">
        <v>5810</v>
      </c>
      <c r="B2052" s="2" t="s">
        <v>5810</v>
      </c>
      <c r="C2052" s="2" t="s">
        <v>25</v>
      </c>
      <c r="D2052" s="2" t="s">
        <v>26</v>
      </c>
      <c r="E2052" s="3" t="s">
        <v>814</v>
      </c>
      <c r="F2052" s="3" t="s">
        <v>815</v>
      </c>
      <c r="G2052" s="3" t="s">
        <v>948</v>
      </c>
      <c r="H2052" s="2" t="s">
        <v>55</v>
      </c>
      <c r="I2052" s="2" t="s">
        <v>5834</v>
      </c>
      <c r="J2052" s="3" t="str">
        <f>HYPERLINK("https://www.boe.es/gazeta/dias/1809/12/09/pdfs/GGB-1809-562.pdf#page=7","Abrir facsímil")</f>
        <v>Abrir facsímil</v>
      </c>
      <c r="K2052" s="3" t="s">
        <v>57</v>
      </c>
    </row>
    <row r="2053" spans="1:11" ht="42" customHeight="1">
      <c r="A2053" s="2" t="s">
        <v>5835</v>
      </c>
      <c r="B2053" s="2" t="s">
        <v>5836</v>
      </c>
      <c r="C2053" s="2" t="s">
        <v>25</v>
      </c>
      <c r="D2053" s="2" t="s">
        <v>26</v>
      </c>
      <c r="E2053" s="3" t="s">
        <v>1150</v>
      </c>
      <c r="F2053" s="3" t="s">
        <v>1151</v>
      </c>
      <c r="G2053" s="3" t="s">
        <v>1152</v>
      </c>
      <c r="H2053" s="2" t="s">
        <v>55</v>
      </c>
      <c r="I2053" s="2" t="s">
        <v>5837</v>
      </c>
      <c r="J2053" s="3" t="str">
        <f>HYPERLINK("https://www.boe.es/gazeta/dias/1809/11/26/pdfs/GMD-1809-331.pdf#page=1","Abrir facsímil")</f>
        <v>Abrir facsímil</v>
      </c>
      <c r="K2053" s="3" t="s">
        <v>57</v>
      </c>
    </row>
    <row r="2054" spans="1:11" ht="42" customHeight="1">
      <c r="A2054" s="2" t="s">
        <v>5838</v>
      </c>
      <c r="B2054" s="2" t="s">
        <v>5839</v>
      </c>
      <c r="C2054" s="2" t="s">
        <v>17</v>
      </c>
      <c r="D2054" s="2" t="s">
        <v>107</v>
      </c>
      <c r="E2054" s="3" t="s">
        <v>1948</v>
      </c>
      <c r="F2054" s="3" t="s">
        <v>2055</v>
      </c>
      <c r="G2054" s="3" t="s">
        <v>75</v>
      </c>
      <c r="H2054" s="2" t="s">
        <v>55</v>
      </c>
      <c r="I2054" s="2" t="s">
        <v>5840</v>
      </c>
      <c r="J2054" s="3" t="str">
        <f>HYPERLINK("https://www.boe.es/gazeta/dias/1809/12/23/pdfs/GMD-1809-358.pdf#page=2","Abrir facsímil")</f>
        <v>Abrir facsímil</v>
      </c>
      <c r="K2054" s="3" t="s">
        <v>57</v>
      </c>
    </row>
    <row r="2055" spans="1:11" ht="42" customHeight="1">
      <c r="A2055" s="2" t="s">
        <v>5841</v>
      </c>
      <c r="B2055" s="2" t="s">
        <v>5842</v>
      </c>
      <c r="C2055" s="2" t="s">
        <v>17</v>
      </c>
      <c r="D2055" s="2" t="s">
        <v>72</v>
      </c>
      <c r="E2055" s="3" t="s">
        <v>243</v>
      </c>
      <c r="F2055" s="3" t="s">
        <v>244</v>
      </c>
      <c r="G2055" s="3" t="s">
        <v>110</v>
      </c>
      <c r="H2055" s="2" t="s">
        <v>55</v>
      </c>
      <c r="I2055" s="2" t="s">
        <v>5843</v>
      </c>
      <c r="J2055" s="3" t="str">
        <f>HYPERLINK("https://www.boe.es/gazeta/dias/1809/02/17/pdfs/GGB-G-1809-8.pdf#page=6","Abrir facsímil")</f>
        <v>Abrir facsímil</v>
      </c>
      <c r="K2055" s="3" t="s">
        <v>57</v>
      </c>
    </row>
    <row r="2056" spans="1:11" ht="42" customHeight="1">
      <c r="A2056" s="2" t="s">
        <v>5844</v>
      </c>
      <c r="B2056" s="2" t="s">
        <v>5845</v>
      </c>
      <c r="C2056" s="2" t="s">
        <v>369</v>
      </c>
      <c r="D2056" s="2" t="s">
        <v>40</v>
      </c>
      <c r="E2056" s="3" t="s">
        <v>113</v>
      </c>
      <c r="F2056" s="3" t="s">
        <v>1982</v>
      </c>
      <c r="G2056" s="3" t="s">
        <v>260</v>
      </c>
      <c r="H2056" s="2" t="s">
        <v>55</v>
      </c>
      <c r="I2056" s="2" t="s">
        <v>5846</v>
      </c>
      <c r="J2056" s="3" t="str">
        <f>HYPERLINK("https://www.boe.es/gazeta/dias/1809/04/24/pdfs/GGB-1809-21.pdf#page=12","Abrir facsímil")</f>
        <v>Abrir facsímil</v>
      </c>
      <c r="K2056" s="3" t="s">
        <v>57</v>
      </c>
    </row>
    <row r="2057" spans="1:11" ht="42" customHeight="1">
      <c r="A2057" s="2" t="s">
        <v>5847</v>
      </c>
      <c r="B2057" s="2" t="s">
        <v>5848</v>
      </c>
      <c r="C2057" s="2" t="s">
        <v>47</v>
      </c>
      <c r="D2057" s="2" t="s">
        <v>18</v>
      </c>
      <c r="E2057" s="3" t="s">
        <v>158</v>
      </c>
      <c r="F2057" s="3" t="s">
        <v>159</v>
      </c>
      <c r="G2057" s="3" t="s">
        <v>5849</v>
      </c>
      <c r="H2057" s="2" t="s">
        <v>55</v>
      </c>
      <c r="I2057" s="2" t="s">
        <v>5850</v>
      </c>
      <c r="J2057" s="3" t="str">
        <f>HYPERLINK("https://www.boe.es/gazeta/dias/1809/02/10/pdfs/GGB-1809-7.pdf#page=3","Abrir facsímil")</f>
        <v>Abrir facsímil</v>
      </c>
      <c r="K2057" s="3" t="s">
        <v>57</v>
      </c>
    </row>
    <row r="2058" spans="1:11" ht="42" customHeight="1">
      <c r="A2058" s="2" t="s">
        <v>5851</v>
      </c>
      <c r="B2058" s="2" t="s">
        <v>5852</v>
      </c>
      <c r="C2058" s="2" t="s">
        <v>39</v>
      </c>
      <c r="D2058" s="2" t="s">
        <v>18</v>
      </c>
      <c r="E2058" s="3" t="s">
        <v>868</v>
      </c>
      <c r="F2058" s="3" t="s">
        <v>869</v>
      </c>
      <c r="G2058" s="3" t="s">
        <v>789</v>
      </c>
      <c r="H2058" s="2" t="s">
        <v>55</v>
      </c>
      <c r="I2058" s="2" t="s">
        <v>5853</v>
      </c>
      <c r="J2058" s="3" t="str">
        <f>HYPERLINK("https://www.boe.es/gazeta/dias/1809/09/22/pdfs/GMD-1809-266.pdf#page=3","Abrir facsímil")</f>
        <v>Abrir facsímil</v>
      </c>
      <c r="K2058" s="3" t="s">
        <v>57</v>
      </c>
    </row>
    <row r="2059" spans="1:11" ht="42" customHeight="1">
      <c r="A2059" s="2" t="s">
        <v>5854</v>
      </c>
      <c r="B2059" s="2" t="s">
        <v>5855</v>
      </c>
      <c r="C2059" s="2" t="s">
        <v>17</v>
      </c>
      <c r="D2059" s="2" t="s">
        <v>18</v>
      </c>
      <c r="E2059" s="3" t="s">
        <v>1779</v>
      </c>
      <c r="F2059" s="3" t="s">
        <v>1780</v>
      </c>
      <c r="G2059" s="3" t="s">
        <v>1613</v>
      </c>
      <c r="H2059" s="2" t="s">
        <v>55</v>
      </c>
      <c r="I2059" s="2" t="s">
        <v>5856</v>
      </c>
      <c r="J2059" s="3" t="str">
        <f>HYPERLINK("https://www.boe.es/gazeta/dias/1809/08/22/pdfs/GGB-1809-92.pdf#page=8","Abrir facsímil")</f>
        <v>Abrir facsímil</v>
      </c>
      <c r="K2059" s="3" t="s">
        <v>57</v>
      </c>
    </row>
    <row r="2060" spans="1:11" ht="42" customHeight="1">
      <c r="A2060" s="2" t="s">
        <v>5857</v>
      </c>
      <c r="B2060" s="2" t="s">
        <v>5857</v>
      </c>
      <c r="C2060" s="2" t="s">
        <v>25</v>
      </c>
      <c r="D2060" s="2" t="s">
        <v>26</v>
      </c>
      <c r="E2060" s="3" t="s">
        <v>5751</v>
      </c>
      <c r="F2060" s="3" t="s">
        <v>5752</v>
      </c>
      <c r="G2060" s="3" t="s">
        <v>62</v>
      </c>
      <c r="H2060" s="2" t="s">
        <v>55</v>
      </c>
      <c r="I2060" s="2" t="s">
        <v>5858</v>
      </c>
      <c r="J2060" s="3" t="str">
        <f>HYPERLINK("https://www.boe.es/gazeta/dias/1809/01/23/pdfs/GGB-1809-4E.pdf#page=2","Abrir facsímil")</f>
        <v>Abrir facsímil</v>
      </c>
      <c r="K2060" s="3" t="s">
        <v>57</v>
      </c>
    </row>
    <row r="2061" spans="1:11" ht="42" customHeight="1">
      <c r="A2061" s="2" t="s">
        <v>5859</v>
      </c>
      <c r="B2061" s="2" t="s">
        <v>5859</v>
      </c>
      <c r="C2061" s="2" t="s">
        <v>25</v>
      </c>
      <c r="D2061" s="2" t="s">
        <v>26</v>
      </c>
      <c r="E2061" s="3" t="s">
        <v>3521</v>
      </c>
      <c r="F2061" s="3" t="s">
        <v>3522</v>
      </c>
      <c r="G2061" s="3" t="s">
        <v>110</v>
      </c>
      <c r="H2061" s="2" t="s">
        <v>55</v>
      </c>
      <c r="I2061" s="2" t="s">
        <v>5860</v>
      </c>
      <c r="J2061" s="3" t="str">
        <f>HYPERLINK("https://www.boe.es/gazeta/dias/1809/02/24/pdfs/GGB-1809-9.pdf#page=7","Abrir facsímil")</f>
        <v>Abrir facsímil</v>
      </c>
      <c r="K2061" s="3" t="s">
        <v>57</v>
      </c>
    </row>
    <row r="2062" spans="1:11" ht="42" customHeight="1">
      <c r="A2062" s="2" t="s">
        <v>5857</v>
      </c>
      <c r="B2062" s="2" t="s">
        <v>5857</v>
      </c>
      <c r="C2062" s="2" t="s">
        <v>25</v>
      </c>
      <c r="D2062" s="2" t="s">
        <v>18</v>
      </c>
      <c r="E2062" s="3" t="s">
        <v>3714</v>
      </c>
      <c r="F2062" s="3" t="s">
        <v>4205</v>
      </c>
      <c r="G2062" s="3" t="s">
        <v>2232</v>
      </c>
      <c r="H2062" s="2" t="s">
        <v>55</v>
      </c>
      <c r="I2062" s="2" t="s">
        <v>5861</v>
      </c>
      <c r="J2062" s="3" t="str">
        <f>HYPERLINK("https://www.boe.es/gazeta/dias/1809/12/07/pdfs/GGB-1809-552.pdf#page=7","Abrir facsímil")</f>
        <v>Abrir facsímil</v>
      </c>
      <c r="K2062" s="3" t="s">
        <v>57</v>
      </c>
    </row>
    <row r="2063" spans="1:11" ht="42" customHeight="1">
      <c r="A2063" s="2" t="s">
        <v>5862</v>
      </c>
      <c r="B2063" s="2" t="s">
        <v>5863</v>
      </c>
      <c r="C2063" s="2" t="s">
        <v>79</v>
      </c>
      <c r="D2063" s="2" t="s">
        <v>18</v>
      </c>
      <c r="E2063" s="3" t="s">
        <v>299</v>
      </c>
      <c r="F2063" s="3" t="s">
        <v>300</v>
      </c>
      <c r="G2063" s="3" t="s">
        <v>301</v>
      </c>
      <c r="H2063" s="2" t="s">
        <v>55</v>
      </c>
      <c r="I2063" s="2" t="s">
        <v>5864</v>
      </c>
      <c r="J2063" s="3" t="str">
        <f>HYPERLINK("https://www.boe.es/gazeta/dias/1809/05/26/pdfs/GGB-1809-31.pdf#page=10","Abrir facsímil")</f>
        <v>Abrir facsímil</v>
      </c>
      <c r="K2063" s="3" t="s">
        <v>57</v>
      </c>
    </row>
    <row r="2064" spans="1:11" ht="42" customHeight="1">
      <c r="A2064" s="2" t="s">
        <v>5865</v>
      </c>
      <c r="B2064" s="2" t="s">
        <v>5866</v>
      </c>
      <c r="C2064" s="2" t="s">
        <v>79</v>
      </c>
      <c r="D2064" s="2" t="s">
        <v>18</v>
      </c>
      <c r="E2064" s="3" t="s">
        <v>327</v>
      </c>
      <c r="F2064" s="3" t="s">
        <v>328</v>
      </c>
      <c r="G2064" s="3" t="s">
        <v>1765</v>
      </c>
      <c r="H2064" s="2" t="s">
        <v>55</v>
      </c>
      <c r="I2064" s="2" t="s">
        <v>5867</v>
      </c>
      <c r="J2064" s="3" t="str">
        <f>HYPERLINK("https://www.boe.es/gazeta/dias/1809/09/14/pdfs/GGB-1809-192.pdf#page=7","Abrir facsímil")</f>
        <v>Abrir facsímil</v>
      </c>
      <c r="K2064" s="3" t="s">
        <v>57</v>
      </c>
    </row>
    <row r="2065" spans="1:11" ht="42" customHeight="1">
      <c r="A2065" s="2" t="s">
        <v>5868</v>
      </c>
      <c r="B2065" s="2" t="s">
        <v>5869</v>
      </c>
      <c r="C2065" s="2" t="s">
        <v>25</v>
      </c>
      <c r="D2065" s="2" t="s">
        <v>26</v>
      </c>
      <c r="E2065" s="3" t="s">
        <v>1700</v>
      </c>
      <c r="F2065" s="3" t="s">
        <v>1701</v>
      </c>
      <c r="G2065" s="3" t="s">
        <v>349</v>
      </c>
      <c r="H2065" s="2" t="s">
        <v>55</v>
      </c>
      <c r="I2065" s="2" t="s">
        <v>5870</v>
      </c>
      <c r="J2065" s="3" t="str">
        <f>HYPERLINK("https://www.boe.es/gazeta/dias/1809/01/16/pdfs/GGB-1809-3E.pdf#page=3","Abrir facsímil")</f>
        <v>Abrir facsímil</v>
      </c>
      <c r="K2065" s="3" t="s">
        <v>57</v>
      </c>
    </row>
    <row r="2066" spans="1:11" ht="42" customHeight="1">
      <c r="A2066" s="2" t="s">
        <v>5871</v>
      </c>
      <c r="B2066" s="2" t="s">
        <v>5871</v>
      </c>
      <c r="C2066" s="2" t="s">
        <v>25</v>
      </c>
      <c r="D2066" s="2" t="s">
        <v>18</v>
      </c>
      <c r="E2066" s="3" t="s">
        <v>1288</v>
      </c>
      <c r="F2066" s="3" t="s">
        <v>1289</v>
      </c>
      <c r="G2066" s="3" t="s">
        <v>623</v>
      </c>
      <c r="H2066" s="2" t="s">
        <v>55</v>
      </c>
      <c r="I2066" s="2" t="s">
        <v>5872</v>
      </c>
      <c r="J2066" s="3" t="str">
        <f>HYPERLINK("https://www.boe.es/gazeta/dias/1809/07/28/pdfs/GGB-1809-49.pdf#page=6","Abrir facsímil")</f>
        <v>Abrir facsímil</v>
      </c>
      <c r="K2066" s="3" t="s">
        <v>57</v>
      </c>
    </row>
    <row r="2067" spans="1:11" ht="42" customHeight="1">
      <c r="A2067" s="2" t="s">
        <v>5873</v>
      </c>
      <c r="B2067" s="2" t="s">
        <v>5873</v>
      </c>
      <c r="C2067" s="2" t="s">
        <v>25</v>
      </c>
      <c r="D2067" s="2" t="s">
        <v>26</v>
      </c>
      <c r="E2067" s="3" t="s">
        <v>883</v>
      </c>
      <c r="F2067" s="3" t="s">
        <v>5874</v>
      </c>
      <c r="G2067" s="3" t="s">
        <v>5875</v>
      </c>
      <c r="H2067" s="2" t="s">
        <v>55</v>
      </c>
      <c r="I2067" s="2" t="s">
        <v>5876</v>
      </c>
      <c r="J2067" s="3" t="str">
        <f>HYPERLINK("https://www.boe.es/gazeta/dias/1809/12/21/pdfs/GGB-1809-612.pdf#page=4","Abrir facsímil")</f>
        <v>Abrir facsímil</v>
      </c>
      <c r="K2067" s="3" t="s">
        <v>57</v>
      </c>
    </row>
    <row r="2068" spans="1:11" ht="42" customHeight="1">
      <c r="A2068" s="2" t="s">
        <v>5877</v>
      </c>
      <c r="B2068" s="2" t="s">
        <v>5877</v>
      </c>
      <c r="C2068" s="2" t="s">
        <v>25</v>
      </c>
      <c r="D2068" s="2" t="s">
        <v>26</v>
      </c>
      <c r="E2068" s="3" t="s">
        <v>1898</v>
      </c>
      <c r="F2068" s="3" t="s">
        <v>1899</v>
      </c>
      <c r="G2068" s="3" t="s">
        <v>239</v>
      </c>
      <c r="H2068" s="2" t="s">
        <v>55</v>
      </c>
      <c r="I2068" s="2" t="s">
        <v>5878</v>
      </c>
      <c r="J2068" s="3" t="str">
        <f>HYPERLINK("https://www.boe.es/gazeta/dias/1809/12/02/pdfs/GGB-1809-532.pdf#page=5","Abrir facsímil")</f>
        <v>Abrir facsímil</v>
      </c>
      <c r="K2068" s="3" t="s">
        <v>57</v>
      </c>
    </row>
    <row r="2069" spans="1:11" ht="42" customHeight="1">
      <c r="A2069" s="2" t="s">
        <v>5877</v>
      </c>
      <c r="B2069" s="2" t="s">
        <v>5877</v>
      </c>
      <c r="C2069" s="2" t="s">
        <v>25</v>
      </c>
      <c r="D2069" s="2" t="s">
        <v>18</v>
      </c>
      <c r="E2069" s="3" t="s">
        <v>1237</v>
      </c>
      <c r="F2069" s="3" t="s">
        <v>1238</v>
      </c>
      <c r="G2069" s="3" t="s">
        <v>5879</v>
      </c>
      <c r="H2069" s="2" t="s">
        <v>55</v>
      </c>
      <c r="I2069" s="2" t="s">
        <v>5880</v>
      </c>
      <c r="J2069" s="3" t="str">
        <f>HYPERLINK("https://www.boe.es/gazeta/dias/1809/12/26/pdfs/GGB-1809-632.pdf#page=1","Abrir facsímil")</f>
        <v>Abrir facsímil</v>
      </c>
      <c r="K2069" s="3" t="s">
        <v>57</v>
      </c>
    </row>
    <row r="2070" spans="1:11" ht="42" customHeight="1">
      <c r="A2070" s="2" t="s">
        <v>5881</v>
      </c>
      <c r="B2070" s="2" t="s">
        <v>5882</v>
      </c>
      <c r="C2070" s="2" t="s">
        <v>25</v>
      </c>
      <c r="D2070" s="2" t="s">
        <v>80</v>
      </c>
      <c r="E2070" s="3" t="s">
        <v>1700</v>
      </c>
      <c r="F2070" s="3" t="s">
        <v>1701</v>
      </c>
      <c r="G2070" s="3" t="s">
        <v>349</v>
      </c>
      <c r="H2070" s="2" t="s">
        <v>55</v>
      </c>
      <c r="I2070" s="2" t="s">
        <v>5883</v>
      </c>
      <c r="J2070" s="3" t="str">
        <f>HYPERLINK("https://www.boe.es/gazeta/dias/1809/01/16/pdfs/GGB-1809-3E.pdf#page=3","Abrir facsímil")</f>
        <v>Abrir facsímil</v>
      </c>
      <c r="K2070" s="3" t="s">
        <v>57</v>
      </c>
    </row>
    <row r="2071" spans="1:11" ht="42" customHeight="1">
      <c r="A2071" s="2" t="s">
        <v>5884</v>
      </c>
      <c r="B2071" s="2" t="s">
        <v>5885</v>
      </c>
      <c r="C2071" s="2" t="s">
        <v>25</v>
      </c>
      <c r="D2071" s="2" t="s">
        <v>18</v>
      </c>
      <c r="E2071" s="3" t="s">
        <v>201</v>
      </c>
      <c r="F2071" s="3" t="s">
        <v>202</v>
      </c>
      <c r="G2071" s="3" t="s">
        <v>595</v>
      </c>
      <c r="H2071" s="2" t="s">
        <v>55</v>
      </c>
      <c r="I2071" s="2" t="s">
        <v>5886</v>
      </c>
      <c r="J2071" s="3" t="str">
        <f>HYPERLINK("https://www.boe.es/gazeta/dias/1809/08/15/pdfs/GGB-1809-62.pdf#page=7","Abrir facsímil")</f>
        <v>Abrir facsímil</v>
      </c>
      <c r="K2071" s="3" t="s">
        <v>57</v>
      </c>
    </row>
    <row r="2072" spans="1:11" ht="42" customHeight="1">
      <c r="A2072" s="2" t="s">
        <v>5887</v>
      </c>
      <c r="B2072" s="2" t="s">
        <v>5888</v>
      </c>
      <c r="C2072" s="2" t="s">
        <v>25</v>
      </c>
      <c r="D2072" s="2" t="s">
        <v>26</v>
      </c>
      <c r="E2072" s="3" t="s">
        <v>1011</v>
      </c>
      <c r="F2072" s="3" t="s">
        <v>1012</v>
      </c>
      <c r="G2072" s="3" t="s">
        <v>120</v>
      </c>
      <c r="H2072" s="2" t="s">
        <v>55</v>
      </c>
      <c r="I2072" s="2" t="s">
        <v>5889</v>
      </c>
      <c r="J2072" s="3" t="str">
        <f>HYPERLINK("https://www.boe.es/gazeta/dias/1809/08/01/pdfs/GGB-1809-50.pdf#page=11","Abrir facsímil")</f>
        <v>Abrir facsímil</v>
      </c>
      <c r="K2072" s="3" t="s">
        <v>57</v>
      </c>
    </row>
    <row r="2073" spans="1:11" ht="42" customHeight="1">
      <c r="A2073" s="2" t="s">
        <v>5890</v>
      </c>
      <c r="B2073" s="2" t="s">
        <v>5891</v>
      </c>
      <c r="C2073" s="2" t="s">
        <v>288</v>
      </c>
      <c r="D2073" s="2" t="s">
        <v>72</v>
      </c>
      <c r="E2073" s="3" t="s">
        <v>557</v>
      </c>
      <c r="F2073" s="3" t="s">
        <v>558</v>
      </c>
      <c r="G2073" s="3" t="s">
        <v>265</v>
      </c>
      <c r="H2073" s="2" t="s">
        <v>55</v>
      </c>
      <c r="I2073" s="2" t="s">
        <v>5892</v>
      </c>
      <c r="J2073" s="3" t="str">
        <f>HYPERLINK("https://www.boe.es/gazeta/dias/1809/04/19/pdfs/GMD-E-1809-109.pdf#page=2","Abrir facsímil")</f>
        <v>Abrir facsímil</v>
      </c>
      <c r="K2073" s="3" t="s">
        <v>57</v>
      </c>
    </row>
    <row r="2074" spans="1:11" ht="42" customHeight="1">
      <c r="A2074" s="2" t="s">
        <v>5893</v>
      </c>
      <c r="B2074" s="2" t="s">
        <v>5893</v>
      </c>
      <c r="C2074" s="2" t="s">
        <v>25</v>
      </c>
      <c r="D2074" s="2" t="s">
        <v>40</v>
      </c>
      <c r="E2074" s="3" t="s">
        <v>627</v>
      </c>
      <c r="F2074" s="3" t="s">
        <v>628</v>
      </c>
      <c r="G2074" s="3" t="s">
        <v>270</v>
      </c>
      <c r="H2074" s="2" t="s">
        <v>55</v>
      </c>
      <c r="I2074" s="2" t="s">
        <v>5894</v>
      </c>
      <c r="J2074" s="3" t="str">
        <f>HYPERLINK("https://www.boe.es/gazeta/dias/1809/08/28/pdfs/GMD-1809-241.pdf#page=3","Abrir facsímil")</f>
        <v>Abrir facsímil</v>
      </c>
      <c r="K2074" s="3" t="s">
        <v>57</v>
      </c>
    </row>
    <row r="2075" spans="1:11" ht="42" customHeight="1">
      <c r="A2075" s="2" t="s">
        <v>5895</v>
      </c>
      <c r="B2075" s="2" t="s">
        <v>5895</v>
      </c>
      <c r="C2075" s="2" t="s">
        <v>25</v>
      </c>
      <c r="D2075" s="2" t="s">
        <v>107</v>
      </c>
      <c r="E2075" s="3" t="s">
        <v>758</v>
      </c>
      <c r="F2075" s="3" t="s">
        <v>759</v>
      </c>
      <c r="G2075" s="3" t="s">
        <v>62</v>
      </c>
      <c r="H2075" s="2" t="s">
        <v>55</v>
      </c>
      <c r="I2075" s="2" t="s">
        <v>5896</v>
      </c>
      <c r="J2075" s="3" t="str">
        <f>HYPERLINK("https://www.boe.es/gazeta/dias/1809/06/01/pdfs/GMD-1809-152.pdf#page=2","Abrir facsímil")</f>
        <v>Abrir facsímil</v>
      </c>
      <c r="K2075" s="3" t="s">
        <v>57</v>
      </c>
    </row>
    <row r="2076" spans="1:11" ht="42" customHeight="1">
      <c r="A2076" s="2" t="s">
        <v>5897</v>
      </c>
      <c r="B2076" s="2" t="s">
        <v>5898</v>
      </c>
      <c r="C2076" s="2" t="s">
        <v>131</v>
      </c>
      <c r="D2076" s="2" t="s">
        <v>18</v>
      </c>
      <c r="E2076" s="3" t="s">
        <v>102</v>
      </c>
      <c r="F2076" s="3" t="s">
        <v>103</v>
      </c>
      <c r="G2076" s="3" t="s">
        <v>1706</v>
      </c>
      <c r="H2076" s="2" t="s">
        <v>55</v>
      </c>
      <c r="I2076" s="2" t="s">
        <v>5899</v>
      </c>
      <c r="J2076" s="3" t="str">
        <f>HYPERLINK("https://www.boe.es/gazeta/dias/1809/09/28/pdfs/GGB-1809-252.pdf#page=5","Abrir facsímil")</f>
        <v>Abrir facsímil</v>
      </c>
      <c r="K2076" s="3" t="s">
        <v>57</v>
      </c>
    </row>
    <row r="2077" spans="1:11" ht="42" customHeight="1">
      <c r="A2077" s="2" t="s">
        <v>5900</v>
      </c>
      <c r="B2077" s="2" t="s">
        <v>5901</v>
      </c>
      <c r="C2077" s="2" t="s">
        <v>131</v>
      </c>
      <c r="D2077" s="2" t="s">
        <v>18</v>
      </c>
      <c r="E2077" s="3" t="s">
        <v>712</v>
      </c>
      <c r="F2077" s="3" t="s">
        <v>713</v>
      </c>
      <c r="G2077" s="3" t="s">
        <v>120</v>
      </c>
      <c r="H2077" s="2" t="s">
        <v>55</v>
      </c>
      <c r="I2077" s="2" t="s">
        <v>5902</v>
      </c>
      <c r="J2077" s="3" t="str">
        <f>HYPERLINK("https://www.boe.es/gazeta/dias/1809/09/10/pdfs/GMD-1809-254.pdf#page=2","Abrir facsímil")</f>
        <v>Abrir facsímil</v>
      </c>
      <c r="K2077" s="3" t="s">
        <v>57</v>
      </c>
    </row>
    <row r="2078" spans="1:11" ht="42" customHeight="1">
      <c r="A2078" s="2" t="s">
        <v>5903</v>
      </c>
      <c r="B2078" s="2" t="s">
        <v>5903</v>
      </c>
      <c r="C2078" s="2" t="s">
        <v>17</v>
      </c>
      <c r="D2078" s="2" t="s">
        <v>18</v>
      </c>
      <c r="E2078" s="3" t="s">
        <v>3714</v>
      </c>
      <c r="F2078" s="3" t="s">
        <v>3715</v>
      </c>
      <c r="G2078" s="3" t="s">
        <v>225</v>
      </c>
      <c r="H2078" s="2" t="s">
        <v>55</v>
      </c>
      <c r="I2078" s="2" t="s">
        <v>5904</v>
      </c>
      <c r="J2078" s="3" t="str">
        <f>HYPERLINK("https://www.boe.es/gazeta/dias/1809/12/07/pdfs/GMD-1809-342.pdf#page=4","Abrir facsímil")</f>
        <v>Abrir facsímil</v>
      </c>
      <c r="K2078" s="3" t="s">
        <v>57</v>
      </c>
    </row>
    <row r="2079" spans="1:11" ht="42" customHeight="1">
      <c r="A2079" s="2" t="s">
        <v>5905</v>
      </c>
      <c r="B2079" s="2" t="s">
        <v>5906</v>
      </c>
      <c r="C2079" s="2" t="s">
        <v>17</v>
      </c>
      <c r="D2079" s="2" t="s">
        <v>18</v>
      </c>
      <c r="E2079" s="3" t="s">
        <v>621</v>
      </c>
      <c r="F2079" s="3" t="s">
        <v>622</v>
      </c>
      <c r="G2079" s="3" t="s">
        <v>623</v>
      </c>
      <c r="H2079" s="2" t="s">
        <v>55</v>
      </c>
      <c r="I2079" s="2" t="s">
        <v>5907</v>
      </c>
      <c r="J2079" s="3" t="str">
        <f>HYPERLINK("https://www.boe.es/gazeta/dias/1809/07/04/pdfs/GGB-1809-42.pdf#page=6","Abrir facsímil")</f>
        <v>Abrir facsímil</v>
      </c>
      <c r="K2079" s="3" t="s">
        <v>57</v>
      </c>
    </row>
    <row r="2080" spans="1:11" ht="42" customHeight="1">
      <c r="A2080" s="2" t="s">
        <v>5908</v>
      </c>
      <c r="B2080" s="2" t="s">
        <v>5908</v>
      </c>
      <c r="C2080" s="2" t="s">
        <v>25</v>
      </c>
      <c r="D2080" s="2" t="s">
        <v>26</v>
      </c>
      <c r="E2080" s="3" t="s">
        <v>1865</v>
      </c>
      <c r="F2080" s="3" t="s">
        <v>4138</v>
      </c>
      <c r="G2080" s="3" t="s">
        <v>3934</v>
      </c>
      <c r="H2080" s="2" t="s">
        <v>55</v>
      </c>
      <c r="I2080" s="2" t="s">
        <v>5909</v>
      </c>
      <c r="J2080" s="3" t="str">
        <f>HYPERLINK("https://www.boe.es/gazeta/dias/1809/08/08/pdfs/GMD-1809-221.pdf#page=3","Abrir facsímil")</f>
        <v>Abrir facsímil</v>
      </c>
      <c r="K2080" s="3" t="s">
        <v>57</v>
      </c>
    </row>
    <row r="2081" spans="1:11" ht="42" customHeight="1">
      <c r="A2081" s="2" t="s">
        <v>5910</v>
      </c>
      <c r="B2081" s="2" t="s">
        <v>5911</v>
      </c>
      <c r="C2081" s="2" t="s">
        <v>25</v>
      </c>
      <c r="D2081" s="2" t="s">
        <v>26</v>
      </c>
      <c r="E2081" s="3" t="s">
        <v>248</v>
      </c>
      <c r="F2081" s="3" t="s">
        <v>249</v>
      </c>
      <c r="G2081" s="3" t="s">
        <v>340</v>
      </c>
      <c r="H2081" s="2" t="s">
        <v>55</v>
      </c>
      <c r="I2081" s="2" t="s">
        <v>5912</v>
      </c>
      <c r="J2081" s="3" t="str">
        <f>HYPERLINK("https://www.boe.es/gazeta/dias/1809/07/26/pdfs/GGB-1809-48E.pdf#page=7","Abrir facsímil")</f>
        <v>Abrir facsímil</v>
      </c>
      <c r="K2081" s="3" t="s">
        <v>57</v>
      </c>
    </row>
    <row r="2082" spans="1:11" ht="42" customHeight="1">
      <c r="A2082" s="2" t="s">
        <v>5913</v>
      </c>
      <c r="B2082" s="2" t="s">
        <v>5913</v>
      </c>
      <c r="C2082" s="2" t="s">
        <v>25</v>
      </c>
      <c r="D2082" s="2" t="s">
        <v>18</v>
      </c>
      <c r="E2082" s="3" t="s">
        <v>1460</v>
      </c>
      <c r="F2082" s="3" t="s">
        <v>1461</v>
      </c>
      <c r="G2082" s="3" t="s">
        <v>239</v>
      </c>
      <c r="H2082" s="2" t="s">
        <v>55</v>
      </c>
      <c r="I2082" s="2" t="s">
        <v>5914</v>
      </c>
      <c r="J2082" s="3" t="str">
        <f>HYPERLINK("https://www.boe.es/gazeta/dias/1809/04/02/pdfs/GMD-1809-92.pdf#page=1","Abrir facsímil")</f>
        <v>Abrir facsímil</v>
      </c>
      <c r="K2082" s="3" t="s">
        <v>57</v>
      </c>
    </row>
    <row r="2083" spans="1:11" ht="42" customHeight="1">
      <c r="A2083" s="2" t="s">
        <v>5915</v>
      </c>
      <c r="B2083" s="2" t="s">
        <v>5916</v>
      </c>
      <c r="C2083" s="2" t="s">
        <v>25</v>
      </c>
      <c r="D2083" s="2" t="s">
        <v>26</v>
      </c>
      <c r="E2083" s="3" t="s">
        <v>1954</v>
      </c>
      <c r="F2083" s="3" t="s">
        <v>1955</v>
      </c>
      <c r="G2083" s="3" t="s">
        <v>1956</v>
      </c>
      <c r="H2083" s="2" t="s">
        <v>55</v>
      </c>
      <c r="I2083" s="2" t="s">
        <v>5917</v>
      </c>
      <c r="J2083" s="3" t="str">
        <f>HYPERLINK("https://www.boe.es/gazeta/dias/1809/11/08/pdfs/GMD-1809-313.pdf#page=4","Abrir facsímil")</f>
        <v>Abrir facsímil</v>
      </c>
      <c r="K2083" s="3" t="s">
        <v>57</v>
      </c>
    </row>
    <row r="2084" spans="1:11" ht="42" customHeight="1">
      <c r="A2084" s="2" t="s">
        <v>5915</v>
      </c>
      <c r="B2084" s="2" t="s">
        <v>5916</v>
      </c>
      <c r="C2084" s="2" t="s">
        <v>25</v>
      </c>
      <c r="D2084" s="2" t="s">
        <v>40</v>
      </c>
      <c r="E2084" s="3" t="s">
        <v>216</v>
      </c>
      <c r="F2084" s="3" t="s">
        <v>217</v>
      </c>
      <c r="G2084" s="3" t="s">
        <v>439</v>
      </c>
      <c r="H2084" s="2" t="s">
        <v>55</v>
      </c>
      <c r="I2084" s="2" t="s">
        <v>5918</v>
      </c>
      <c r="J2084" s="3" t="str">
        <f>HYPERLINK("https://www.boe.es/gazeta/dias/1809/12/05/pdfs/GGB-H-1809-542.pdf#page=7","Abrir facsímil")</f>
        <v>Abrir facsímil</v>
      </c>
      <c r="K2084" s="3" t="s">
        <v>57</v>
      </c>
    </row>
    <row r="2085" spans="1:11" ht="42" customHeight="1">
      <c r="A2085" s="2" t="s">
        <v>5919</v>
      </c>
      <c r="B2085" s="2" t="s">
        <v>5920</v>
      </c>
      <c r="C2085" s="2" t="s">
        <v>17</v>
      </c>
      <c r="D2085" s="2" t="s">
        <v>18</v>
      </c>
      <c r="E2085" s="3" t="s">
        <v>33</v>
      </c>
      <c r="F2085" s="3" t="s">
        <v>34</v>
      </c>
      <c r="G2085" s="3" t="s">
        <v>595</v>
      </c>
      <c r="H2085" s="2" t="s">
        <v>55</v>
      </c>
      <c r="I2085" s="2" t="s">
        <v>5921</v>
      </c>
      <c r="J2085" s="3" t="str">
        <f>HYPERLINK("https://www.boe.es/gazeta/dias/1809/12/19/pdfs/GGB-1809-602.pdf#page=7","Abrir facsímil")</f>
        <v>Abrir facsímil</v>
      </c>
      <c r="K2085" s="3" t="s">
        <v>57</v>
      </c>
    </row>
    <row r="2086" spans="1:11" ht="42" customHeight="1">
      <c r="A2086" s="2" t="s">
        <v>5922</v>
      </c>
      <c r="B2086" s="2" t="s">
        <v>5922</v>
      </c>
      <c r="C2086" s="2" t="s">
        <v>25</v>
      </c>
      <c r="D2086" s="2" t="s">
        <v>18</v>
      </c>
      <c r="E2086" s="3" t="s">
        <v>1011</v>
      </c>
      <c r="F2086" s="3" t="s">
        <v>1511</v>
      </c>
      <c r="G2086" s="3" t="s">
        <v>154</v>
      </c>
      <c r="H2086" s="2" t="s">
        <v>55</v>
      </c>
      <c r="I2086" s="2" t="s">
        <v>5923</v>
      </c>
      <c r="J2086" s="3" t="str">
        <f>HYPERLINK("https://www.boe.es/gazeta/dias/1809/08/01/pdfs/GMD-1809-214.pdf#page=4","Abrir facsímil")</f>
        <v>Abrir facsímil</v>
      </c>
      <c r="K2086" s="3" t="s">
        <v>57</v>
      </c>
    </row>
    <row r="2087" spans="1:11" ht="42" customHeight="1">
      <c r="A2087" s="2" t="s">
        <v>5924</v>
      </c>
      <c r="B2087" s="2" t="s">
        <v>5924</v>
      </c>
      <c r="C2087" s="2" t="s">
        <v>25</v>
      </c>
      <c r="D2087" s="2" t="s">
        <v>26</v>
      </c>
      <c r="E2087" s="3" t="s">
        <v>730</v>
      </c>
      <c r="F2087" s="3" t="s">
        <v>3423</v>
      </c>
      <c r="G2087" s="3" t="s">
        <v>265</v>
      </c>
      <c r="H2087" s="2" t="s">
        <v>55</v>
      </c>
      <c r="I2087" s="2" t="s">
        <v>5925</v>
      </c>
      <c r="J2087" s="3" t="str">
        <f>HYPERLINK("https://www.boe.es/gazeta/dias/1809/06/23/pdfs/GGB-1809-39.pdf#page=2","Abrir facsímil")</f>
        <v>Abrir facsímil</v>
      </c>
      <c r="K2087" s="3" t="s">
        <v>57</v>
      </c>
    </row>
    <row r="2088" spans="1:11" ht="42" customHeight="1">
      <c r="A2088" s="2" t="s">
        <v>5926</v>
      </c>
      <c r="B2088" s="2" t="s">
        <v>5926</v>
      </c>
      <c r="C2088" s="2" t="s">
        <v>17</v>
      </c>
      <c r="D2088" s="2" t="s">
        <v>18</v>
      </c>
      <c r="E2088" s="3" t="s">
        <v>314</v>
      </c>
      <c r="F2088" s="3" t="s">
        <v>315</v>
      </c>
      <c r="G2088" s="3" t="s">
        <v>374</v>
      </c>
      <c r="H2088" s="2" t="s">
        <v>55</v>
      </c>
      <c r="I2088" s="2" t="s">
        <v>5927</v>
      </c>
      <c r="J2088" s="3" t="str">
        <f>HYPERLINK("https://www.boe.es/gazeta/dias/1809/12/11/pdfs/GMD-1809-346.pdf#page=2","Abrir facsímil")</f>
        <v>Abrir facsímil</v>
      </c>
      <c r="K2088" s="3" t="s">
        <v>57</v>
      </c>
    </row>
    <row r="2089" spans="1:11" ht="42" customHeight="1">
      <c r="A2089" s="2" t="s">
        <v>5928</v>
      </c>
      <c r="B2089" s="2" t="s">
        <v>5928</v>
      </c>
      <c r="C2089" s="2" t="s">
        <v>25</v>
      </c>
      <c r="D2089" s="2" t="s">
        <v>18</v>
      </c>
      <c r="E2089" s="3" t="s">
        <v>1667</v>
      </c>
      <c r="F2089" s="3" t="s">
        <v>1668</v>
      </c>
      <c r="G2089" s="3" t="s">
        <v>5929</v>
      </c>
      <c r="H2089" s="2" t="s">
        <v>55</v>
      </c>
      <c r="I2089" s="2" t="s">
        <v>5930</v>
      </c>
      <c r="J2089" s="3" t="str">
        <f>HYPERLINK("https://www.boe.es/gazeta/dias/1809/02/21/pdfs/GMD-1809-52.pdf#page=5","Abrir facsímil")</f>
        <v>Abrir facsímil</v>
      </c>
      <c r="K2089" s="3" t="s">
        <v>57</v>
      </c>
    </row>
    <row r="2090" spans="1:11" ht="42" customHeight="1">
      <c r="A2090" s="2" t="s">
        <v>5931</v>
      </c>
      <c r="B2090" s="2" t="s">
        <v>5932</v>
      </c>
      <c r="C2090" s="2" t="s">
        <v>25</v>
      </c>
      <c r="D2090" s="2" t="s">
        <v>18</v>
      </c>
      <c r="E2090" s="3" t="s">
        <v>1736</v>
      </c>
      <c r="F2090" s="3" t="s">
        <v>1737</v>
      </c>
      <c r="G2090" s="3" t="s">
        <v>3028</v>
      </c>
      <c r="H2090" s="2" t="s">
        <v>55</v>
      </c>
      <c r="I2090" s="2" t="s">
        <v>5933</v>
      </c>
      <c r="J2090" s="3" t="str">
        <f>HYPERLINK("https://www.boe.es/gazeta/dias/1809/02/28/pdfs/GMD-1809-59.pdf#page=4","Abrir facsímil")</f>
        <v>Abrir facsímil</v>
      </c>
      <c r="K2090" s="3" t="s">
        <v>57</v>
      </c>
    </row>
    <row r="2091" spans="1:11" ht="42" customHeight="1">
      <c r="A2091" s="2" t="s">
        <v>5934</v>
      </c>
      <c r="B2091" s="2" t="s">
        <v>5934</v>
      </c>
      <c r="C2091" s="2" t="s">
        <v>25</v>
      </c>
      <c r="D2091" s="2" t="s">
        <v>107</v>
      </c>
      <c r="E2091" s="3" t="s">
        <v>464</v>
      </c>
      <c r="F2091" s="3" t="s">
        <v>465</v>
      </c>
      <c r="G2091" s="3" t="s">
        <v>861</v>
      </c>
      <c r="H2091" s="2" t="s">
        <v>55</v>
      </c>
      <c r="I2091" s="2" t="s">
        <v>5935</v>
      </c>
      <c r="J2091" s="3" t="str">
        <f>HYPERLINK("https://www.boe.es/gazeta/dias/1809/07/05/pdfs/GMD-1809-186.pdf#page=2","Abrir facsímil")</f>
        <v>Abrir facsímil</v>
      </c>
      <c r="K2091" s="3" t="s">
        <v>57</v>
      </c>
    </row>
    <row r="2092" spans="1:11" ht="42" customHeight="1">
      <c r="A2092" s="2" t="s">
        <v>5936</v>
      </c>
      <c r="B2092" s="2" t="s">
        <v>5937</v>
      </c>
      <c r="C2092" s="2" t="s">
        <v>25</v>
      </c>
      <c r="D2092" s="2" t="s">
        <v>26</v>
      </c>
      <c r="E2092" s="3" t="s">
        <v>108</v>
      </c>
      <c r="F2092" s="3" t="s">
        <v>109</v>
      </c>
      <c r="G2092" s="3" t="s">
        <v>110</v>
      </c>
      <c r="H2092" s="2" t="s">
        <v>55</v>
      </c>
      <c r="I2092" s="2" t="s">
        <v>5938</v>
      </c>
      <c r="J2092" s="3" t="str">
        <f>HYPERLINK("https://www.boe.es/gazeta/dias/1809/09/08/pdfs/GMD-1809-252.pdf#page=2","Abrir facsímil")</f>
        <v>Abrir facsímil</v>
      </c>
      <c r="K2092" s="3" t="s">
        <v>57</v>
      </c>
    </row>
    <row r="2093" spans="1:11" ht="42" customHeight="1">
      <c r="A2093" s="2" t="s">
        <v>5939</v>
      </c>
      <c r="B2093" s="2" t="s">
        <v>5940</v>
      </c>
      <c r="C2093" s="2" t="s">
        <v>17</v>
      </c>
      <c r="D2093" s="2" t="s">
        <v>18</v>
      </c>
      <c r="E2093" s="3" t="s">
        <v>33</v>
      </c>
      <c r="F2093" s="3" t="s">
        <v>34</v>
      </c>
      <c r="G2093" s="3" t="s">
        <v>595</v>
      </c>
      <c r="H2093" s="2" t="s">
        <v>55</v>
      </c>
      <c r="I2093" s="2" t="s">
        <v>5941</v>
      </c>
      <c r="J2093" s="3" t="str">
        <f>HYPERLINK("https://www.boe.es/gazeta/dias/1809/12/19/pdfs/GGB-1809-602.pdf#page=7","Abrir facsímil")</f>
        <v>Abrir facsímil</v>
      </c>
      <c r="K2093" s="3" t="s">
        <v>57</v>
      </c>
    </row>
    <row r="2094" spans="1:11" ht="42" customHeight="1">
      <c r="A2094" s="2" t="s">
        <v>5942</v>
      </c>
      <c r="B2094" s="2" t="s">
        <v>5943</v>
      </c>
      <c r="C2094" s="2" t="s">
        <v>17</v>
      </c>
      <c r="D2094" s="2" t="s">
        <v>18</v>
      </c>
      <c r="E2094" s="3" t="s">
        <v>712</v>
      </c>
      <c r="F2094" s="3" t="s">
        <v>713</v>
      </c>
      <c r="G2094" s="3" t="s">
        <v>154</v>
      </c>
      <c r="H2094" s="2" t="s">
        <v>55</v>
      </c>
      <c r="I2094" s="2" t="s">
        <v>5944</v>
      </c>
      <c r="J2094" s="3" t="str">
        <f>HYPERLINK("https://www.boe.es/gazeta/dias/1809/09/10/pdfs/GMD-1809-254.pdf#page=3","Abrir facsímil")</f>
        <v>Abrir facsímil</v>
      </c>
      <c r="K2094" s="3" t="s">
        <v>57</v>
      </c>
    </row>
    <row r="2095" spans="1:11" ht="42" customHeight="1">
      <c r="A2095" s="2" t="s">
        <v>5942</v>
      </c>
      <c r="B2095" s="2" t="s">
        <v>5943</v>
      </c>
      <c r="C2095" s="2" t="s">
        <v>17</v>
      </c>
      <c r="D2095" s="2" t="s">
        <v>18</v>
      </c>
      <c r="E2095" s="3" t="s">
        <v>102</v>
      </c>
      <c r="F2095" s="3" t="s">
        <v>103</v>
      </c>
      <c r="G2095" s="3" t="s">
        <v>1706</v>
      </c>
      <c r="H2095" s="2" t="s">
        <v>55</v>
      </c>
      <c r="I2095" s="2" t="s">
        <v>5945</v>
      </c>
      <c r="J2095" s="3" t="str">
        <f>HYPERLINK("https://www.boe.es/gazeta/dias/1809/09/28/pdfs/GGB-1809-252.pdf#page=5","Abrir facsímil")</f>
        <v>Abrir facsímil</v>
      </c>
      <c r="K2095" s="3" t="s">
        <v>57</v>
      </c>
    </row>
    <row r="2096" spans="1:11" ht="42" customHeight="1">
      <c r="A2096" s="2" t="s">
        <v>5946</v>
      </c>
      <c r="B2096" s="2" t="s">
        <v>5947</v>
      </c>
      <c r="C2096" s="2" t="s">
        <v>17</v>
      </c>
      <c r="D2096" s="2" t="s">
        <v>40</v>
      </c>
      <c r="E2096" s="3" t="s">
        <v>102</v>
      </c>
      <c r="F2096" s="3" t="s">
        <v>1095</v>
      </c>
      <c r="G2096" s="3" t="s">
        <v>75</v>
      </c>
      <c r="H2096" s="2" t="s">
        <v>55</v>
      </c>
      <c r="I2096" s="2" t="s">
        <v>5948</v>
      </c>
      <c r="J2096" s="3" t="str">
        <f>HYPERLINK("https://www.boe.es/gazeta/dias/1809/09/28/pdfs/GMD-1809-272.pdf#page=2","Abrir facsímil")</f>
        <v>Abrir facsímil</v>
      </c>
      <c r="K2096" s="3" t="s">
        <v>57</v>
      </c>
    </row>
    <row r="2097" spans="1:11" ht="42" customHeight="1">
      <c r="A2097" s="2" t="s">
        <v>5949</v>
      </c>
      <c r="B2097" s="2" t="s">
        <v>5949</v>
      </c>
      <c r="C2097" s="2" t="s">
        <v>25</v>
      </c>
      <c r="D2097" s="2" t="s">
        <v>26</v>
      </c>
      <c r="E2097" s="3" t="s">
        <v>327</v>
      </c>
      <c r="F2097" s="3" t="s">
        <v>2138</v>
      </c>
      <c r="G2097" s="3" t="s">
        <v>2139</v>
      </c>
      <c r="H2097" s="2" t="s">
        <v>55</v>
      </c>
      <c r="I2097" s="2" t="s">
        <v>5950</v>
      </c>
      <c r="J2097" s="3" t="str">
        <f>HYPERLINK("https://www.boe.es/gazeta/dias/1809/09/14/pdfs/GMD-1809-258.pdf#page=1","Abrir facsímil")</f>
        <v>Abrir facsímil</v>
      </c>
      <c r="K2097" s="3" t="s">
        <v>57</v>
      </c>
    </row>
    <row r="2098" spans="1:11" ht="42" customHeight="1">
      <c r="A2098" s="2" t="s">
        <v>5951</v>
      </c>
      <c r="B2098" s="2" t="s">
        <v>5952</v>
      </c>
      <c r="C2098" s="2" t="s">
        <v>17</v>
      </c>
      <c r="D2098" s="2" t="s">
        <v>72</v>
      </c>
      <c r="E2098" s="3" t="s">
        <v>53</v>
      </c>
      <c r="F2098" s="3" t="s">
        <v>1456</v>
      </c>
      <c r="G2098" s="3" t="s">
        <v>120</v>
      </c>
      <c r="H2098" s="2" t="s">
        <v>55</v>
      </c>
      <c r="I2098" s="2" t="s">
        <v>5953</v>
      </c>
      <c r="J2098" s="3" t="str">
        <f>HYPERLINK("https://www.boe.es/gazeta/dias/1809/03/03/pdfs/GGB-G-1809-10.pdf#page=7","Abrir facsímil")</f>
        <v>Abrir facsímil</v>
      </c>
      <c r="K2098" s="3" t="s">
        <v>57</v>
      </c>
    </row>
    <row r="2099" spans="1:11" ht="42" customHeight="1">
      <c r="A2099" s="2" t="s">
        <v>5954</v>
      </c>
      <c r="B2099" s="2" t="s">
        <v>5954</v>
      </c>
      <c r="C2099" s="2" t="s">
        <v>17</v>
      </c>
      <c r="D2099" s="2" t="s">
        <v>18</v>
      </c>
      <c r="E2099" s="3" t="s">
        <v>724</v>
      </c>
      <c r="F2099" s="3" t="s">
        <v>725</v>
      </c>
      <c r="G2099" s="3" t="s">
        <v>726</v>
      </c>
      <c r="H2099" s="2" t="s">
        <v>55</v>
      </c>
      <c r="I2099" s="2" t="s">
        <v>5955</v>
      </c>
      <c r="J2099" s="3" t="str">
        <f>HYPERLINK("https://www.boe.es/gazeta/dias/1809/11/19/pdfs/GMD-1809-324.pdf#page=3","Abrir facsímil")</f>
        <v>Abrir facsímil</v>
      </c>
      <c r="K2099" s="3" t="s">
        <v>57</v>
      </c>
    </row>
    <row r="2100" spans="1:11" ht="42" customHeight="1">
      <c r="A2100" s="2" t="s">
        <v>5956</v>
      </c>
      <c r="B2100" s="2" t="s">
        <v>5956</v>
      </c>
      <c r="C2100" s="2" t="s">
        <v>25</v>
      </c>
      <c r="D2100" s="2" t="s">
        <v>72</v>
      </c>
      <c r="E2100" s="3" t="s">
        <v>258</v>
      </c>
      <c r="F2100" s="3" t="s">
        <v>1673</v>
      </c>
      <c r="G2100" s="3" t="s">
        <v>129</v>
      </c>
      <c r="H2100" s="2" t="s">
        <v>55</v>
      </c>
      <c r="I2100" s="2" t="s">
        <v>5957</v>
      </c>
      <c r="J2100" s="3" t="str">
        <f>HYPERLINK("https://www.boe.es/gazeta/dias/1809/03/17/pdfs/GGB-G-1809-12.pdf#page=2","Abrir facsímil")</f>
        <v>Abrir facsímil</v>
      </c>
      <c r="K2100" s="3" t="s">
        <v>57</v>
      </c>
    </row>
    <row r="2101" spans="1:11" ht="42" customHeight="1">
      <c r="A2101" s="2" t="s">
        <v>5958</v>
      </c>
      <c r="B2101" s="2" t="s">
        <v>5958</v>
      </c>
      <c r="C2101" s="2" t="s">
        <v>25</v>
      </c>
      <c r="D2101" s="2" t="s">
        <v>26</v>
      </c>
      <c r="E2101" s="3" t="s">
        <v>1288</v>
      </c>
      <c r="F2101" s="3" t="s">
        <v>1289</v>
      </c>
      <c r="G2101" s="3" t="s">
        <v>5230</v>
      </c>
      <c r="H2101" s="2" t="s">
        <v>55</v>
      </c>
      <c r="I2101" s="2" t="s">
        <v>5959</v>
      </c>
      <c r="J2101" s="3" t="str">
        <f>HYPERLINK("https://www.boe.es/gazeta/dias/1809/07/28/pdfs/GGB-1809-49.pdf#page=5","Abrir facsímil")</f>
        <v>Abrir facsímil</v>
      </c>
      <c r="K2101" s="3" t="s">
        <v>57</v>
      </c>
    </row>
    <row r="2102" spans="1:11" ht="42" customHeight="1">
      <c r="A2102" s="2" t="s">
        <v>5960</v>
      </c>
      <c r="B2102" s="2" t="s">
        <v>5961</v>
      </c>
      <c r="C2102" s="2" t="s">
        <v>47</v>
      </c>
      <c r="D2102" s="2" t="s">
        <v>72</v>
      </c>
      <c r="E2102" s="3" t="s">
        <v>147</v>
      </c>
      <c r="F2102" s="3" t="s">
        <v>562</v>
      </c>
      <c r="G2102" s="3" t="s">
        <v>5962</v>
      </c>
      <c r="H2102" s="2" t="s">
        <v>55</v>
      </c>
      <c r="I2102" s="2" t="s">
        <v>5963</v>
      </c>
      <c r="J2102" s="3" t="str">
        <f>HYPERLINK("https://www.boe.es/gazeta/dias/1809/10/07/pdfs/GGB-H-1809-292.pdf#page=7","Abrir facsímil")</f>
        <v>Abrir facsímil</v>
      </c>
      <c r="K2102" s="3" t="s">
        <v>57</v>
      </c>
    </row>
    <row r="2103" spans="1:11" ht="42" customHeight="1">
      <c r="A2103" s="2" t="s">
        <v>5964</v>
      </c>
      <c r="B2103" s="2" t="s">
        <v>5965</v>
      </c>
      <c r="C2103" s="2" t="s">
        <v>25</v>
      </c>
      <c r="D2103" s="2" t="s">
        <v>26</v>
      </c>
      <c r="E2103" s="3" t="s">
        <v>108</v>
      </c>
      <c r="F2103" s="3" t="s">
        <v>109</v>
      </c>
      <c r="G2103" s="3" t="s">
        <v>110</v>
      </c>
      <c r="H2103" s="2" t="s">
        <v>55</v>
      </c>
      <c r="I2103" s="2" t="s">
        <v>5966</v>
      </c>
      <c r="J2103" s="3" t="str">
        <f>HYPERLINK("https://www.boe.es/gazeta/dias/1809/09/08/pdfs/GMD-1809-252.pdf#page=2","Abrir facsímil")</f>
        <v>Abrir facsímil</v>
      </c>
      <c r="K2103" s="3" t="s">
        <v>57</v>
      </c>
    </row>
    <row r="2104" spans="1:11" ht="42" customHeight="1">
      <c r="A2104" s="2" t="s">
        <v>5967</v>
      </c>
      <c r="B2104" s="2" t="s">
        <v>5967</v>
      </c>
      <c r="C2104" s="2" t="s">
        <v>17</v>
      </c>
      <c r="D2104" s="2" t="s">
        <v>18</v>
      </c>
      <c r="E2104" s="3" t="s">
        <v>211</v>
      </c>
      <c r="F2104" s="3" t="s">
        <v>212</v>
      </c>
      <c r="G2104" s="3" t="s">
        <v>29</v>
      </c>
      <c r="H2104" s="2" t="s">
        <v>55</v>
      </c>
      <c r="I2104" s="2" t="s">
        <v>5968</v>
      </c>
      <c r="J2104" s="3" t="str">
        <f>HYPERLINK("https://www.boe.es/gazeta/dias/1809/10/27/pdfs/GMD-1809-301.pdf#page=3","Abrir facsímil")</f>
        <v>Abrir facsímil</v>
      </c>
      <c r="K2104" s="3" t="s">
        <v>57</v>
      </c>
    </row>
    <row r="2105" spans="1:11" ht="42" customHeight="1">
      <c r="A2105" s="2" t="s">
        <v>5969</v>
      </c>
      <c r="B2105" s="2" t="s">
        <v>5969</v>
      </c>
      <c r="C2105" s="2" t="s">
        <v>369</v>
      </c>
      <c r="D2105" s="2" t="s">
        <v>72</v>
      </c>
      <c r="E2105" s="3" t="s">
        <v>1640</v>
      </c>
      <c r="F2105" s="3" t="s">
        <v>1641</v>
      </c>
      <c r="G2105" s="3" t="s">
        <v>225</v>
      </c>
      <c r="H2105" s="2" t="s">
        <v>55</v>
      </c>
      <c r="I2105" s="2" t="s">
        <v>5970</v>
      </c>
      <c r="J2105" s="3" t="str">
        <f>HYPERLINK("https://www.boe.es/gazeta/dias/1809/01/06/pdfs/GGB-G-1809-1.pdf#page=4","Abrir facsímil")</f>
        <v>Abrir facsímil</v>
      </c>
      <c r="K2105" s="3" t="s">
        <v>57</v>
      </c>
    </row>
    <row r="2106" spans="1:11" ht="42" customHeight="1">
      <c r="A2106" s="2" t="s">
        <v>5969</v>
      </c>
      <c r="B2106" s="2" t="s">
        <v>5969</v>
      </c>
      <c r="C2106" s="2" t="s">
        <v>369</v>
      </c>
      <c r="D2106" s="2" t="s">
        <v>72</v>
      </c>
      <c r="E2106" s="3" t="s">
        <v>1123</v>
      </c>
      <c r="F2106" s="3" t="s">
        <v>1641</v>
      </c>
      <c r="G2106" s="3" t="s">
        <v>225</v>
      </c>
      <c r="H2106" s="2" t="s">
        <v>55</v>
      </c>
      <c r="I2106" s="2" t="s">
        <v>5970</v>
      </c>
      <c r="J2106" s="3" t="str">
        <f>HYPERLINK("https://www.boe.es/gazeta/dias/1809/01/08/pdfs/GGB-G-1809-1.pdf#page=4","Abrir facsímil")</f>
        <v>Abrir facsímil</v>
      </c>
      <c r="K2106" s="3" t="s">
        <v>57</v>
      </c>
    </row>
    <row r="2107" spans="1:11" ht="42" customHeight="1">
      <c r="A2107" s="2" t="s">
        <v>5969</v>
      </c>
      <c r="B2107" s="2" t="s">
        <v>5969</v>
      </c>
      <c r="C2107" s="2" t="s">
        <v>17</v>
      </c>
      <c r="D2107" s="2" t="s">
        <v>18</v>
      </c>
      <c r="E2107" s="3" t="s">
        <v>283</v>
      </c>
      <c r="F2107" s="3" t="s">
        <v>284</v>
      </c>
      <c r="G2107" s="3" t="s">
        <v>21</v>
      </c>
      <c r="H2107" s="2" t="s">
        <v>55</v>
      </c>
      <c r="I2107" s="2" t="s">
        <v>5971</v>
      </c>
      <c r="J2107" s="3" t="str">
        <f>HYPERLINK("https://www.boe.es/gazeta/dias/1809/02/09/pdfs/GMD-1809-40.pdf#page=4","Abrir facsímil")</f>
        <v>Abrir facsímil</v>
      </c>
      <c r="K2107" s="3" t="s">
        <v>57</v>
      </c>
    </row>
    <row r="2108" spans="1:11" ht="42" customHeight="1">
      <c r="A2108" s="2" t="s">
        <v>5969</v>
      </c>
      <c r="B2108" s="2" t="s">
        <v>5969</v>
      </c>
      <c r="C2108" s="2" t="s">
        <v>25</v>
      </c>
      <c r="D2108" s="2" t="s">
        <v>26</v>
      </c>
      <c r="E2108" s="3" t="s">
        <v>163</v>
      </c>
      <c r="F2108" s="3" t="s">
        <v>164</v>
      </c>
      <c r="G2108" s="3" t="s">
        <v>21</v>
      </c>
      <c r="H2108" s="2" t="s">
        <v>55</v>
      </c>
      <c r="I2108" s="2" t="s">
        <v>5972</v>
      </c>
      <c r="J2108" s="3" t="str">
        <f>HYPERLINK("https://www.boe.es/gazeta/dias/1809/03/10/pdfs/GGB-H-1809-11.pdf#page=8","Abrir facsímil")</f>
        <v>Abrir facsímil</v>
      </c>
      <c r="K2108" s="3" t="s">
        <v>57</v>
      </c>
    </row>
    <row r="2109" spans="1:11" ht="42" customHeight="1">
      <c r="A2109" s="2" t="s">
        <v>5969</v>
      </c>
      <c r="B2109" s="2" t="s">
        <v>5969</v>
      </c>
      <c r="C2109" s="2" t="s">
        <v>17</v>
      </c>
      <c r="D2109" s="2" t="s">
        <v>72</v>
      </c>
      <c r="E2109" s="3" t="s">
        <v>2244</v>
      </c>
      <c r="F2109" s="3" t="s">
        <v>2871</v>
      </c>
      <c r="G2109" s="3" t="s">
        <v>62</v>
      </c>
      <c r="H2109" s="2" t="s">
        <v>55</v>
      </c>
      <c r="I2109" s="2" t="s">
        <v>5973</v>
      </c>
      <c r="J2109" s="3" t="str">
        <f>HYPERLINK("https://www.boe.es/gazeta/dias/1809/03/27/pdfs/GGB-G-1809-13B.pdf#page=3","Abrir facsímil")</f>
        <v>Abrir facsímil</v>
      </c>
      <c r="K2109" s="3" t="s">
        <v>57</v>
      </c>
    </row>
    <row r="2110" spans="1:11" ht="42" customHeight="1">
      <c r="A2110" s="2" t="s">
        <v>5969</v>
      </c>
      <c r="B2110" s="2" t="s">
        <v>5969</v>
      </c>
      <c r="C2110" s="2" t="s">
        <v>2176</v>
      </c>
      <c r="D2110" s="2" t="s">
        <v>18</v>
      </c>
      <c r="E2110" s="3" t="s">
        <v>5974</v>
      </c>
      <c r="F2110" s="3" t="s">
        <v>5975</v>
      </c>
      <c r="G2110" s="3" t="s">
        <v>5976</v>
      </c>
      <c r="H2110" s="2" t="s">
        <v>55</v>
      </c>
      <c r="I2110" s="2" t="s">
        <v>5977</v>
      </c>
      <c r="J2110" s="3" t="str">
        <f>HYPERLINK("https://www.boe.es/gazeta/dias/1809/05/21/pdfs/GMD-1809-141.pdf#page=3","Abrir facsímil")</f>
        <v>Abrir facsímil</v>
      </c>
      <c r="K2110" s="3" t="s">
        <v>57</v>
      </c>
    </row>
    <row r="2111" spans="1:11" ht="42" customHeight="1">
      <c r="A2111" s="2" t="s">
        <v>5969</v>
      </c>
      <c r="B2111" s="2" t="s">
        <v>5969</v>
      </c>
      <c r="C2111" s="2" t="s">
        <v>17</v>
      </c>
      <c r="D2111" s="2" t="s">
        <v>18</v>
      </c>
      <c r="E2111" s="3" t="s">
        <v>299</v>
      </c>
      <c r="F2111" s="3" t="s">
        <v>300</v>
      </c>
      <c r="G2111" s="3" t="s">
        <v>693</v>
      </c>
      <c r="H2111" s="2" t="s">
        <v>55</v>
      </c>
      <c r="I2111" s="2" t="s">
        <v>5978</v>
      </c>
      <c r="J2111" s="3" t="str">
        <f>HYPERLINK("https://www.boe.es/gazeta/dias/1809/05/26/pdfs/GGB-1809-31.pdf#page=9","Abrir facsímil")</f>
        <v>Abrir facsímil</v>
      </c>
      <c r="K2111" s="3" t="s">
        <v>57</v>
      </c>
    </row>
    <row r="2112" spans="1:11" ht="42" customHeight="1">
      <c r="A2112" s="2" t="s">
        <v>5969</v>
      </c>
      <c r="B2112" s="2" t="s">
        <v>5969</v>
      </c>
      <c r="C2112" s="2" t="s">
        <v>17</v>
      </c>
      <c r="D2112" s="2" t="s">
        <v>18</v>
      </c>
      <c r="E2112" s="3" t="s">
        <v>2249</v>
      </c>
      <c r="F2112" s="3" t="s">
        <v>2250</v>
      </c>
      <c r="G2112" s="3" t="s">
        <v>2251</v>
      </c>
      <c r="H2112" s="2" t="s">
        <v>55</v>
      </c>
      <c r="I2112" s="2" t="s">
        <v>5979</v>
      </c>
      <c r="J2112" s="3" t="str">
        <f>HYPERLINK("https://www.boe.es/gazeta/dias/1809/06/08/pdfs/GMD-1809-159.pdf#page=4","Abrir facsímil")</f>
        <v>Abrir facsímil</v>
      </c>
      <c r="K2112" s="3" t="s">
        <v>57</v>
      </c>
    </row>
    <row r="2113" spans="1:11" ht="42" customHeight="1">
      <c r="A2113" s="2" t="s">
        <v>5969</v>
      </c>
      <c r="B2113" s="2" t="s">
        <v>5969</v>
      </c>
      <c r="C2113" s="2" t="s">
        <v>17</v>
      </c>
      <c r="D2113" s="2" t="s">
        <v>18</v>
      </c>
      <c r="E2113" s="3" t="s">
        <v>621</v>
      </c>
      <c r="F2113" s="3" t="s">
        <v>622</v>
      </c>
      <c r="G2113" s="3" t="s">
        <v>255</v>
      </c>
      <c r="H2113" s="2" t="s">
        <v>55</v>
      </c>
      <c r="I2113" s="2" t="s">
        <v>5980</v>
      </c>
      <c r="J2113" s="3" t="str">
        <f>HYPERLINK("https://www.boe.es/gazeta/dias/1809/07/04/pdfs/GGB-1809-42.pdf#page=5","Abrir facsímil")</f>
        <v>Abrir facsímil</v>
      </c>
      <c r="K2113" s="3" t="s">
        <v>57</v>
      </c>
    </row>
    <row r="2114" spans="1:11" ht="42" customHeight="1">
      <c r="A2114" s="2" t="s">
        <v>5969</v>
      </c>
      <c r="B2114" s="2" t="s">
        <v>5969</v>
      </c>
      <c r="C2114" s="2" t="s">
        <v>25</v>
      </c>
      <c r="D2114" s="2" t="s">
        <v>26</v>
      </c>
      <c r="E2114" s="3" t="s">
        <v>904</v>
      </c>
      <c r="F2114" s="3" t="s">
        <v>905</v>
      </c>
      <c r="G2114" s="3" t="s">
        <v>906</v>
      </c>
      <c r="H2114" s="2" t="s">
        <v>55</v>
      </c>
      <c r="I2114" s="2" t="s">
        <v>5981</v>
      </c>
      <c r="J2114" s="3" t="str">
        <f>HYPERLINK("https://www.boe.es/gazeta/dias/1809/07/07/pdfs/GGB-1809-43.pdf#page=8","Abrir facsímil")</f>
        <v>Abrir facsímil</v>
      </c>
      <c r="K2114" s="3" t="s">
        <v>57</v>
      </c>
    </row>
    <row r="2115" spans="1:11" ht="42" customHeight="1">
      <c r="A2115" s="2" t="s">
        <v>5969</v>
      </c>
      <c r="B2115" s="2" t="s">
        <v>5969</v>
      </c>
      <c r="C2115" s="2" t="s">
        <v>39</v>
      </c>
      <c r="D2115" s="2" t="s">
        <v>18</v>
      </c>
      <c r="E2115" s="3" t="s">
        <v>530</v>
      </c>
      <c r="F2115" s="3" t="s">
        <v>531</v>
      </c>
      <c r="G2115" s="3" t="s">
        <v>532</v>
      </c>
      <c r="H2115" s="2" t="s">
        <v>55</v>
      </c>
      <c r="I2115" s="2" t="s">
        <v>5982</v>
      </c>
      <c r="J2115" s="3" t="str">
        <f>HYPERLINK("https://www.boe.es/gazeta/dias/1809/07/10/pdfs/GMD-1809-191.pdf#page=4","Abrir facsímil")</f>
        <v>Abrir facsímil</v>
      </c>
      <c r="K2115" s="3" t="s">
        <v>57</v>
      </c>
    </row>
    <row r="2116" spans="1:11" ht="42" customHeight="1">
      <c r="A2116" s="2" t="s">
        <v>5969</v>
      </c>
      <c r="B2116" s="2" t="s">
        <v>5969</v>
      </c>
      <c r="C2116" s="2" t="s">
        <v>39</v>
      </c>
      <c r="D2116" s="2" t="s">
        <v>80</v>
      </c>
      <c r="E2116" s="3" t="s">
        <v>248</v>
      </c>
      <c r="F2116" s="3" t="s">
        <v>249</v>
      </c>
      <c r="G2116" s="3" t="s">
        <v>169</v>
      </c>
      <c r="H2116" s="2" t="s">
        <v>55</v>
      </c>
      <c r="I2116" s="2" t="s">
        <v>5983</v>
      </c>
      <c r="J2116" s="3" t="str">
        <f>HYPERLINK("https://www.boe.es/gazeta/dias/1809/07/26/pdfs/GGB-1809-48E.pdf#page=11","Abrir facsímil")</f>
        <v>Abrir facsímil</v>
      </c>
      <c r="K2116" s="3" t="s">
        <v>57</v>
      </c>
    </row>
    <row r="2117" spans="1:11" ht="42" customHeight="1">
      <c r="A2117" s="2" t="s">
        <v>5969</v>
      </c>
      <c r="B2117" s="2" t="s">
        <v>5969</v>
      </c>
      <c r="C2117" s="2" t="s">
        <v>17</v>
      </c>
      <c r="D2117" s="2" t="s">
        <v>18</v>
      </c>
      <c r="E2117" s="3" t="s">
        <v>1011</v>
      </c>
      <c r="F2117" s="3" t="s">
        <v>1012</v>
      </c>
      <c r="G2117" s="3" t="s">
        <v>270</v>
      </c>
      <c r="H2117" s="2" t="s">
        <v>55</v>
      </c>
      <c r="I2117" s="2" t="s">
        <v>5984</v>
      </c>
      <c r="J2117" s="3" t="str">
        <f>HYPERLINK("https://www.boe.es/gazeta/dias/1809/08/01/pdfs/GGB-1809-50.pdf#page=8","Abrir facsímil")</f>
        <v>Abrir facsímil</v>
      </c>
      <c r="K2117" s="3" t="s">
        <v>57</v>
      </c>
    </row>
    <row r="2118" spans="1:11" ht="42" customHeight="1">
      <c r="A2118" s="2" t="s">
        <v>5969</v>
      </c>
      <c r="B2118" s="2" t="s">
        <v>5969</v>
      </c>
      <c r="C2118" s="2" t="s">
        <v>25</v>
      </c>
      <c r="D2118" s="2" t="s">
        <v>26</v>
      </c>
      <c r="E2118" s="3" t="s">
        <v>809</v>
      </c>
      <c r="F2118" s="3" t="s">
        <v>1402</v>
      </c>
      <c r="G2118" s="3" t="s">
        <v>5985</v>
      </c>
      <c r="H2118" s="2" t="s">
        <v>55</v>
      </c>
      <c r="I2118" s="2" t="s">
        <v>5986</v>
      </c>
      <c r="J2118" s="3" t="str">
        <f>HYPERLINK("https://www.boe.es/gazeta/dias/1809/08/19/pdfs/GGB-1809-82.pdf#page=6","Abrir facsímil")</f>
        <v>Abrir facsímil</v>
      </c>
      <c r="K2118" s="3" t="s">
        <v>57</v>
      </c>
    </row>
    <row r="2119" spans="1:11" ht="42" customHeight="1">
      <c r="A2119" s="2" t="s">
        <v>5969</v>
      </c>
      <c r="B2119" s="2" t="s">
        <v>5969</v>
      </c>
      <c r="C2119" s="2" t="s">
        <v>25</v>
      </c>
      <c r="D2119" s="2" t="s">
        <v>26</v>
      </c>
      <c r="E2119" s="3" t="s">
        <v>108</v>
      </c>
      <c r="F2119" s="3" t="s">
        <v>109</v>
      </c>
      <c r="G2119" s="3" t="s">
        <v>110</v>
      </c>
      <c r="H2119" s="2" t="s">
        <v>55</v>
      </c>
      <c r="I2119" s="2" t="s">
        <v>5987</v>
      </c>
      <c r="J2119" s="3" t="str">
        <f>HYPERLINK("https://www.boe.es/gazeta/dias/1809/09/08/pdfs/GMD-1809-252.pdf#page=2","Abrir facsímil")</f>
        <v>Abrir facsímil</v>
      </c>
      <c r="K2119" s="3" t="s">
        <v>57</v>
      </c>
    </row>
    <row r="2120" spans="1:11" ht="42" customHeight="1">
      <c r="A2120" s="2" t="s">
        <v>5969</v>
      </c>
      <c r="B2120" s="2" t="s">
        <v>5969</v>
      </c>
      <c r="C2120" s="2" t="s">
        <v>17</v>
      </c>
      <c r="D2120" s="2" t="s">
        <v>18</v>
      </c>
      <c r="E2120" s="3" t="s">
        <v>1635</v>
      </c>
      <c r="F2120" s="3" t="s">
        <v>1636</v>
      </c>
      <c r="G2120" s="3" t="s">
        <v>914</v>
      </c>
      <c r="H2120" s="2" t="s">
        <v>55</v>
      </c>
      <c r="I2120" s="2" t="s">
        <v>5988</v>
      </c>
      <c r="J2120" s="3" t="str">
        <f>HYPERLINK("https://www.boe.es/gazeta/dias/1809/09/15/pdfs/GMD-1809-259.pdf#page=4","Abrir facsímil")</f>
        <v>Abrir facsímil</v>
      </c>
      <c r="K2120" s="3" t="s">
        <v>57</v>
      </c>
    </row>
    <row r="2121" spans="1:11" ht="42" customHeight="1">
      <c r="A2121" s="2" t="s">
        <v>5969</v>
      </c>
      <c r="B2121" s="2" t="s">
        <v>5969</v>
      </c>
      <c r="C2121" s="2" t="s">
        <v>17</v>
      </c>
      <c r="D2121" s="2" t="s">
        <v>18</v>
      </c>
      <c r="E2121" s="3" t="s">
        <v>102</v>
      </c>
      <c r="F2121" s="3" t="s">
        <v>1095</v>
      </c>
      <c r="G2121" s="3" t="s">
        <v>29</v>
      </c>
      <c r="H2121" s="2" t="s">
        <v>55</v>
      </c>
      <c r="I2121" s="2" t="s">
        <v>5989</v>
      </c>
      <c r="J2121" s="3" t="str">
        <f>HYPERLINK("https://www.boe.es/gazeta/dias/1809/09/28/pdfs/GMD-1809-272.pdf#page=3","Abrir facsímil")</f>
        <v>Abrir facsímil</v>
      </c>
      <c r="K2121" s="3" t="s">
        <v>57</v>
      </c>
    </row>
    <row r="2122" spans="1:11" ht="42" customHeight="1">
      <c r="A2122" s="2" t="s">
        <v>5969</v>
      </c>
      <c r="B2122" s="2" t="s">
        <v>5969</v>
      </c>
      <c r="C2122" s="2" t="s">
        <v>25</v>
      </c>
      <c r="D2122" s="2" t="s">
        <v>18</v>
      </c>
      <c r="E2122" s="3" t="s">
        <v>294</v>
      </c>
      <c r="F2122" s="3" t="s">
        <v>1360</v>
      </c>
      <c r="G2122" s="3" t="s">
        <v>2517</v>
      </c>
      <c r="H2122" s="2" t="s">
        <v>55</v>
      </c>
      <c r="I2122" s="2" t="s">
        <v>5990</v>
      </c>
      <c r="J2122" s="3" t="str">
        <f>HYPERLINK("https://www.boe.es/gazeta/dias/1809/09/30/pdfs/GGB-1809-262.pdf#page=2","Abrir facsímil")</f>
        <v>Abrir facsímil</v>
      </c>
      <c r="K2122" s="3" t="s">
        <v>57</v>
      </c>
    </row>
    <row r="2123" spans="1:11" ht="42" customHeight="1">
      <c r="A2123" s="2" t="s">
        <v>5969</v>
      </c>
      <c r="B2123" s="2" t="s">
        <v>5969</v>
      </c>
      <c r="C2123" s="2" t="s">
        <v>47</v>
      </c>
      <c r="D2123" s="2" t="s">
        <v>18</v>
      </c>
      <c r="E2123" s="3" t="s">
        <v>211</v>
      </c>
      <c r="F2123" s="3" t="s">
        <v>212</v>
      </c>
      <c r="G2123" s="3" t="s">
        <v>872</v>
      </c>
      <c r="H2123" s="2" t="s">
        <v>55</v>
      </c>
      <c r="I2123" s="2" t="s">
        <v>5991</v>
      </c>
      <c r="J2123" s="3" t="str">
        <f>HYPERLINK("https://www.boe.es/gazeta/dias/1809/10/27/pdfs/GMD-1809-301.pdf#page=1","Abrir facsímil")</f>
        <v>Abrir facsímil</v>
      </c>
      <c r="K2123" s="3" t="s">
        <v>57</v>
      </c>
    </row>
    <row r="2124" spans="1:11" ht="42" customHeight="1">
      <c r="A2124" s="2" t="s">
        <v>5969</v>
      </c>
      <c r="B2124" s="2" t="s">
        <v>5969</v>
      </c>
      <c r="C2124" s="2" t="s">
        <v>25</v>
      </c>
      <c r="D2124" s="2" t="s">
        <v>18</v>
      </c>
      <c r="E2124" s="3" t="s">
        <v>893</v>
      </c>
      <c r="F2124" s="3" t="s">
        <v>894</v>
      </c>
      <c r="G2124" s="3" t="s">
        <v>225</v>
      </c>
      <c r="H2124" s="2" t="s">
        <v>55</v>
      </c>
      <c r="I2124" s="2" t="s">
        <v>5992</v>
      </c>
      <c r="J2124" s="3" t="str">
        <f>HYPERLINK("https://www.boe.es/gazeta/dias/1809/11/02/pdfs/GMD-1809-307.pdf#page=4","Abrir facsímil")</f>
        <v>Abrir facsímil</v>
      </c>
      <c r="K2124" s="3" t="s">
        <v>57</v>
      </c>
    </row>
    <row r="2125" spans="1:11" ht="42" customHeight="1">
      <c r="A2125" s="2" t="s">
        <v>5969</v>
      </c>
      <c r="B2125" s="2" t="s">
        <v>5969</v>
      </c>
      <c r="C2125" s="2" t="s">
        <v>25</v>
      </c>
      <c r="D2125" s="2" t="s">
        <v>18</v>
      </c>
      <c r="E2125" s="3" t="s">
        <v>2414</v>
      </c>
      <c r="F2125" s="3" t="s">
        <v>4556</v>
      </c>
      <c r="G2125" s="3" t="s">
        <v>239</v>
      </c>
      <c r="H2125" s="2" t="s">
        <v>55</v>
      </c>
      <c r="I2125" s="2" t="s">
        <v>5993</v>
      </c>
      <c r="J2125" s="3" t="str">
        <f>HYPERLINK("https://www.boe.es/gazeta/dias/1809/11/18/pdfs/GGB-1809-472.pdf#page=6","Abrir facsímil")</f>
        <v>Abrir facsímil</v>
      </c>
      <c r="K2125" s="3" t="s">
        <v>57</v>
      </c>
    </row>
    <row r="2126" spans="1:11" ht="42" customHeight="1">
      <c r="A2126" s="2" t="s">
        <v>5969</v>
      </c>
      <c r="B2126" s="2" t="s">
        <v>5969</v>
      </c>
      <c r="C2126" s="2" t="s">
        <v>47</v>
      </c>
      <c r="D2126" s="2" t="s">
        <v>18</v>
      </c>
      <c r="E2126" s="3" t="s">
        <v>263</v>
      </c>
      <c r="F2126" s="3" t="s">
        <v>264</v>
      </c>
      <c r="G2126" s="3" t="s">
        <v>2056</v>
      </c>
      <c r="H2126" s="2" t="s">
        <v>55</v>
      </c>
      <c r="I2126" s="2" t="s">
        <v>5994</v>
      </c>
      <c r="J2126" s="3" t="str">
        <f>HYPERLINK("https://www.boe.es/gazeta/dias/1809/11/21/pdfs/GGB-1809-482.pdf#page=3","Abrir facsímil")</f>
        <v>Abrir facsímil</v>
      </c>
      <c r="K2126" s="3" t="s">
        <v>57</v>
      </c>
    </row>
    <row r="2127" spans="1:11" ht="42" customHeight="1">
      <c r="A2127" s="2" t="s">
        <v>5969</v>
      </c>
      <c r="B2127" s="2" t="s">
        <v>5969</v>
      </c>
      <c r="C2127" s="2" t="s">
        <v>25</v>
      </c>
      <c r="D2127" s="2" t="s">
        <v>26</v>
      </c>
      <c r="E2127" s="3" t="s">
        <v>216</v>
      </c>
      <c r="F2127" s="3" t="s">
        <v>217</v>
      </c>
      <c r="G2127" s="3" t="s">
        <v>270</v>
      </c>
      <c r="H2127" s="2" t="s">
        <v>55</v>
      </c>
      <c r="I2127" s="2" t="s">
        <v>5995</v>
      </c>
      <c r="J2127" s="3" t="str">
        <f>HYPERLINK("https://www.boe.es/gazeta/dias/1809/12/05/pdfs/GGB-H-1809-542.pdf#page=3","Abrir facsímil")</f>
        <v>Abrir facsímil</v>
      </c>
      <c r="K2127" s="3" t="s">
        <v>57</v>
      </c>
    </row>
    <row r="2128" spans="1:11" ht="42" customHeight="1">
      <c r="A2128" s="2" t="s">
        <v>5969</v>
      </c>
      <c r="B2128" s="2" t="s">
        <v>5969</v>
      </c>
      <c r="C2128" s="2" t="s">
        <v>79</v>
      </c>
      <c r="D2128" s="2" t="s">
        <v>18</v>
      </c>
      <c r="E2128" s="3" t="s">
        <v>1439</v>
      </c>
      <c r="F2128" s="3" t="s">
        <v>1440</v>
      </c>
      <c r="G2128" s="3" t="s">
        <v>1441</v>
      </c>
      <c r="H2128" s="2" t="s">
        <v>55</v>
      </c>
      <c r="I2128" s="2" t="s">
        <v>5996</v>
      </c>
      <c r="J2128" s="3" t="str">
        <f>HYPERLINK("https://www.boe.es/gazeta/dias/1809/12/06/pdfs/GMD-1809-341.pdf#page=2","Abrir facsímil")</f>
        <v>Abrir facsímil</v>
      </c>
      <c r="K2128" s="3" t="s">
        <v>57</v>
      </c>
    </row>
    <row r="2129" spans="1:11" ht="42" customHeight="1">
      <c r="A2129" s="2" t="s">
        <v>5969</v>
      </c>
      <c r="B2129" s="2" t="s">
        <v>5969</v>
      </c>
      <c r="C2129" s="2" t="s">
        <v>17</v>
      </c>
      <c r="D2129" s="2" t="s">
        <v>18</v>
      </c>
      <c r="E2129" s="3" t="s">
        <v>33</v>
      </c>
      <c r="F2129" s="3" t="s">
        <v>34</v>
      </c>
      <c r="G2129" s="3" t="s">
        <v>595</v>
      </c>
      <c r="H2129" s="2" t="s">
        <v>55</v>
      </c>
      <c r="I2129" s="2" t="s">
        <v>5997</v>
      </c>
      <c r="J2129" s="3" t="str">
        <f>HYPERLINK("https://www.boe.es/gazeta/dias/1809/12/19/pdfs/GGB-1809-602.pdf#page=7","Abrir facsímil")</f>
        <v>Abrir facsímil</v>
      </c>
      <c r="K2129" s="3" t="s">
        <v>57</v>
      </c>
    </row>
    <row r="2130" spans="1:11" ht="42" customHeight="1">
      <c r="A2130" s="2" t="s">
        <v>5969</v>
      </c>
      <c r="B2130" s="2" t="s">
        <v>5969</v>
      </c>
      <c r="C2130" s="2" t="s">
        <v>25</v>
      </c>
      <c r="D2130" s="2" t="s">
        <v>18</v>
      </c>
      <c r="E2130" s="3" t="s">
        <v>883</v>
      </c>
      <c r="F2130" s="3" t="s">
        <v>884</v>
      </c>
      <c r="G2130" s="3" t="s">
        <v>21</v>
      </c>
      <c r="H2130" s="2" t="s">
        <v>55</v>
      </c>
      <c r="I2130" s="2" t="s">
        <v>5998</v>
      </c>
      <c r="J2130" s="3" t="str">
        <f>HYPERLINK("https://www.boe.es/gazeta/dias/1809/12/21/pdfs/GMD-1809-356.pdf#page=3","Abrir facsímil")</f>
        <v>Abrir facsímil</v>
      </c>
      <c r="K2130" s="3" t="s">
        <v>57</v>
      </c>
    </row>
    <row r="2131" spans="1:11" ht="42" customHeight="1">
      <c r="A2131" s="2" t="s">
        <v>5999</v>
      </c>
      <c r="B2131" s="2" t="s">
        <v>6000</v>
      </c>
      <c r="C2131" s="2" t="s">
        <v>17</v>
      </c>
      <c r="D2131" s="2" t="s">
        <v>72</v>
      </c>
      <c r="E2131" s="3" t="s">
        <v>394</v>
      </c>
      <c r="F2131" s="3" t="s">
        <v>395</v>
      </c>
      <c r="G2131" s="3" t="s">
        <v>396</v>
      </c>
      <c r="H2131" s="2" t="s">
        <v>55</v>
      </c>
      <c r="I2131" s="2" t="s">
        <v>6001</v>
      </c>
      <c r="J2131" s="3" t="str">
        <f>HYPERLINK("https://www.boe.es/gazeta/dias/1809/12/14/pdfs/GGB-H-1809-582.pdf#page=2","Abrir facsímil")</f>
        <v>Abrir facsímil</v>
      </c>
      <c r="K2131" s="3" t="s">
        <v>57</v>
      </c>
    </row>
    <row r="2132" spans="1:11" ht="42" customHeight="1">
      <c r="A2132" s="2" t="s">
        <v>6002</v>
      </c>
      <c r="B2132" s="2" t="s">
        <v>6003</v>
      </c>
      <c r="C2132" s="2" t="s">
        <v>25</v>
      </c>
      <c r="D2132" s="2" t="s">
        <v>26</v>
      </c>
      <c r="E2132" s="3" t="s">
        <v>248</v>
      </c>
      <c r="F2132" s="3" t="s">
        <v>249</v>
      </c>
      <c r="G2132" s="3" t="s">
        <v>265</v>
      </c>
      <c r="H2132" s="2" t="s">
        <v>22</v>
      </c>
      <c r="I2132" s="2" t="s">
        <v>6004</v>
      </c>
      <c r="J2132" s="3" t="str">
        <f>HYPERLINK("https://www.boe.es/gazeta/dias/1809/07/26/pdfs/GGB-1809-48E.pdf#page=1","Abrir facsímil")</f>
        <v>Abrir facsímil</v>
      </c>
      <c r="K2132" s="3" t="s">
        <v>24</v>
      </c>
    </row>
    <row r="2133" spans="1:11" ht="42" customHeight="1">
      <c r="A2133" s="2" t="s">
        <v>6005</v>
      </c>
      <c r="B2133" s="2" t="s">
        <v>6006</v>
      </c>
      <c r="C2133" s="2" t="s">
        <v>369</v>
      </c>
      <c r="D2133" s="2" t="s">
        <v>18</v>
      </c>
      <c r="E2133" s="3" t="s">
        <v>755</v>
      </c>
      <c r="F2133" s="3" t="s">
        <v>756</v>
      </c>
      <c r="G2133" s="3" t="s">
        <v>6007</v>
      </c>
      <c r="H2133" s="2" t="s">
        <v>22</v>
      </c>
      <c r="I2133" s="2" t="s">
        <v>6008</v>
      </c>
      <c r="J2133" s="3" t="str">
        <f>HYPERLINK("https://www.boe.es/gazeta/dias/1809/05/20/pdfs/GMD-1809-140.pdf#page=1","Abrir facsímil")</f>
        <v>Abrir facsímil</v>
      </c>
      <c r="K2133" s="3" t="s">
        <v>24</v>
      </c>
    </row>
    <row r="2134" spans="1:11" ht="42" customHeight="1">
      <c r="A2134" s="2" t="s">
        <v>6005</v>
      </c>
      <c r="B2134" s="2" t="s">
        <v>6006</v>
      </c>
      <c r="C2134" s="2" t="s">
        <v>25</v>
      </c>
      <c r="D2134" s="2" t="s">
        <v>26</v>
      </c>
      <c r="E2134" s="3" t="s">
        <v>207</v>
      </c>
      <c r="F2134" s="3" t="s">
        <v>208</v>
      </c>
      <c r="G2134" s="3" t="s">
        <v>654</v>
      </c>
      <c r="H2134" s="2" t="s">
        <v>22</v>
      </c>
      <c r="I2134" s="2" t="s">
        <v>6009</v>
      </c>
      <c r="J2134" s="3" t="str">
        <f>HYPERLINK("https://www.boe.es/gazeta/dias/1809/09/16/pdfs/GMD-1809-260.pdf#page=3","Abrir facsímil")</f>
        <v>Abrir facsímil</v>
      </c>
      <c r="K2134" s="3" t="s">
        <v>24</v>
      </c>
    </row>
    <row r="2135" spans="1:11" ht="42" customHeight="1">
      <c r="A2135" s="2" t="s">
        <v>6010</v>
      </c>
      <c r="B2135" s="2" t="s">
        <v>6010</v>
      </c>
      <c r="C2135" s="2" t="s">
        <v>25</v>
      </c>
      <c r="D2135" s="2" t="s">
        <v>18</v>
      </c>
      <c r="E2135" s="3" t="s">
        <v>1123</v>
      </c>
      <c r="F2135" s="3" t="s">
        <v>1124</v>
      </c>
      <c r="G2135" s="3" t="s">
        <v>75</v>
      </c>
      <c r="H2135" s="2" t="s">
        <v>55</v>
      </c>
      <c r="I2135" s="2" t="s">
        <v>6011</v>
      </c>
      <c r="J2135" s="3" t="str">
        <f>HYPERLINK("https://www.boe.es/gazeta/dias/1809/01/08/pdfs/GMD-1809-8.pdf#page=7","Abrir facsímil")</f>
        <v>Abrir facsímil</v>
      </c>
      <c r="K2135" s="3" t="s">
        <v>57</v>
      </c>
    </row>
    <row r="2136" spans="1:11" ht="42" customHeight="1">
      <c r="A2136" s="2" t="s">
        <v>6010</v>
      </c>
      <c r="B2136" s="2" t="s">
        <v>6010</v>
      </c>
      <c r="C2136" s="2" t="s">
        <v>25</v>
      </c>
      <c r="D2136" s="2" t="s">
        <v>26</v>
      </c>
      <c r="E2136" s="3" t="s">
        <v>243</v>
      </c>
      <c r="F2136" s="3" t="s">
        <v>352</v>
      </c>
      <c r="G2136" s="3" t="s">
        <v>353</v>
      </c>
      <c r="H2136" s="2" t="s">
        <v>55</v>
      </c>
      <c r="I2136" s="2" t="s">
        <v>6012</v>
      </c>
      <c r="J2136" s="3" t="str">
        <f>HYPERLINK("https://www.boe.es/gazeta/dias/1809/02/17/pdfs/GMD-1809-48.pdf#page=3","Abrir facsímil")</f>
        <v>Abrir facsímil</v>
      </c>
      <c r="K2136" s="3" t="s">
        <v>57</v>
      </c>
    </row>
    <row r="2137" spans="1:11" ht="42" customHeight="1">
      <c r="A2137" s="2" t="s">
        <v>6010</v>
      </c>
      <c r="B2137" s="2" t="s">
        <v>6010</v>
      </c>
      <c r="C2137" s="2" t="s">
        <v>25</v>
      </c>
      <c r="D2137" s="2" t="s">
        <v>18</v>
      </c>
      <c r="E2137" s="3" t="s">
        <v>1667</v>
      </c>
      <c r="F2137" s="3" t="s">
        <v>1668</v>
      </c>
      <c r="G2137" s="3" t="s">
        <v>21</v>
      </c>
      <c r="H2137" s="2" t="s">
        <v>55</v>
      </c>
      <c r="I2137" s="2" t="s">
        <v>6013</v>
      </c>
      <c r="J2137" s="3" t="str">
        <f>HYPERLINK("https://www.boe.es/gazeta/dias/1809/02/21/pdfs/GMD-1809-52.pdf#page=4","Abrir facsímil")</f>
        <v>Abrir facsímil</v>
      </c>
      <c r="K2137" s="3" t="s">
        <v>57</v>
      </c>
    </row>
    <row r="2138" spans="1:11" ht="42" customHeight="1">
      <c r="A2138" s="2" t="s">
        <v>6010</v>
      </c>
      <c r="B2138" s="2" t="s">
        <v>6010</v>
      </c>
      <c r="C2138" s="2" t="s">
        <v>25</v>
      </c>
      <c r="D2138" s="2" t="s">
        <v>18</v>
      </c>
      <c r="E2138" s="3" t="s">
        <v>1141</v>
      </c>
      <c r="F2138" s="3" t="s">
        <v>1142</v>
      </c>
      <c r="G2138" s="3" t="s">
        <v>125</v>
      </c>
      <c r="H2138" s="2" t="s">
        <v>55</v>
      </c>
      <c r="I2138" s="2" t="s">
        <v>6014</v>
      </c>
      <c r="J2138" s="3" t="str">
        <f>HYPERLINK("https://www.boe.es/gazeta/dias/1809/03/02/pdfs/GMD-1809-61.pdf#page=3","Abrir facsímil")</f>
        <v>Abrir facsímil</v>
      </c>
      <c r="K2138" s="3" t="s">
        <v>57</v>
      </c>
    </row>
    <row r="2139" spans="1:11" ht="42" customHeight="1">
      <c r="A2139" s="2" t="s">
        <v>6010</v>
      </c>
      <c r="B2139" s="2" t="s">
        <v>6010</v>
      </c>
      <c r="C2139" s="2" t="s">
        <v>25</v>
      </c>
      <c r="D2139" s="2" t="s">
        <v>26</v>
      </c>
      <c r="E2139" s="3" t="s">
        <v>1652</v>
      </c>
      <c r="F2139" s="3" t="s">
        <v>1653</v>
      </c>
      <c r="G2139" s="3" t="s">
        <v>6015</v>
      </c>
      <c r="H2139" s="2" t="s">
        <v>55</v>
      </c>
      <c r="I2139" s="2" t="s">
        <v>6016</v>
      </c>
      <c r="J2139" s="3" t="str">
        <f>HYPERLINK("https://www.boe.es/gazeta/dias/1809/07/25/pdfs/GGB-1809-48.pdf#page=7","Abrir facsímil")</f>
        <v>Abrir facsímil</v>
      </c>
      <c r="K2139" s="3" t="s">
        <v>57</v>
      </c>
    </row>
    <row r="2140" spans="1:11" ht="42" customHeight="1">
      <c r="A2140" s="2" t="s">
        <v>6010</v>
      </c>
      <c r="B2140" s="2" t="s">
        <v>6010</v>
      </c>
      <c r="C2140" s="2" t="s">
        <v>25</v>
      </c>
      <c r="D2140" s="2" t="s">
        <v>18</v>
      </c>
      <c r="E2140" s="3" t="s">
        <v>933</v>
      </c>
      <c r="F2140" s="3" t="s">
        <v>1363</v>
      </c>
      <c r="G2140" s="3" t="s">
        <v>6017</v>
      </c>
      <c r="H2140" s="2" t="s">
        <v>55</v>
      </c>
      <c r="I2140" s="2" t="s">
        <v>6018</v>
      </c>
      <c r="J2140" s="3" t="str">
        <f>HYPERLINK("https://www.boe.es/gazeta/dias/1809/10/28/pdfs/GGB-1809-382.pdf#page=6","Abrir facsímil")</f>
        <v>Abrir facsímil</v>
      </c>
      <c r="K2140" s="3" t="s">
        <v>57</v>
      </c>
    </row>
    <row r="2141" spans="1:11" ht="42" customHeight="1">
      <c r="A2141" s="2" t="s">
        <v>6019</v>
      </c>
      <c r="B2141" s="2" t="s">
        <v>6019</v>
      </c>
      <c r="C2141" s="2" t="s">
        <v>131</v>
      </c>
      <c r="D2141" s="2" t="s">
        <v>18</v>
      </c>
      <c r="E2141" s="3" t="s">
        <v>2473</v>
      </c>
      <c r="F2141" s="3" t="s">
        <v>2474</v>
      </c>
      <c r="G2141" s="3" t="s">
        <v>29</v>
      </c>
      <c r="H2141" s="2" t="s">
        <v>55</v>
      </c>
      <c r="I2141" s="2" t="s">
        <v>6020</v>
      </c>
      <c r="J2141" s="3" t="str">
        <f>HYPERLINK("https://www.boe.es/gazeta/dias/1809/02/16/pdfs/GMD-1809-47.pdf#page=3","Abrir facsímil")</f>
        <v>Abrir facsímil</v>
      </c>
      <c r="K2141" s="3" t="s">
        <v>57</v>
      </c>
    </row>
    <row r="2142" spans="1:11" ht="42" customHeight="1">
      <c r="A2142" s="2" t="s">
        <v>6019</v>
      </c>
      <c r="B2142" s="2" t="s">
        <v>6019</v>
      </c>
      <c r="C2142" s="2" t="s">
        <v>131</v>
      </c>
      <c r="D2142" s="2" t="s">
        <v>18</v>
      </c>
      <c r="E2142" s="3" t="s">
        <v>278</v>
      </c>
      <c r="F2142" s="3" t="s">
        <v>279</v>
      </c>
      <c r="G2142" s="3" t="s">
        <v>1680</v>
      </c>
      <c r="H2142" s="2" t="s">
        <v>55</v>
      </c>
      <c r="I2142" s="2" t="s">
        <v>6021</v>
      </c>
      <c r="J2142" s="3" t="str">
        <f>HYPERLINK("https://www.boe.es/gazeta/dias/1809/03/26/pdfs/GMD-1809-85.pdf#page=4","Abrir facsímil")</f>
        <v>Abrir facsímil</v>
      </c>
      <c r="K2142" s="3" t="s">
        <v>57</v>
      </c>
    </row>
    <row r="2143" spans="1:11" ht="42" customHeight="1">
      <c r="A2143" s="2" t="s">
        <v>6019</v>
      </c>
      <c r="B2143" s="2" t="s">
        <v>6019</v>
      </c>
      <c r="C2143" s="2" t="s">
        <v>25</v>
      </c>
      <c r="D2143" s="2" t="s">
        <v>26</v>
      </c>
      <c r="E2143" s="3" t="s">
        <v>1608</v>
      </c>
      <c r="F2143" s="3" t="s">
        <v>1609</v>
      </c>
      <c r="G2143" s="3" t="s">
        <v>120</v>
      </c>
      <c r="H2143" s="2" t="s">
        <v>55</v>
      </c>
      <c r="I2143" s="2" t="s">
        <v>6022</v>
      </c>
      <c r="J2143" s="3" t="str">
        <f>HYPERLINK("https://www.boe.es/gazeta/dias/1809/04/15/pdfs/GGB-1809-18E.pdf#page=5","Abrir facsímil")</f>
        <v>Abrir facsímil</v>
      </c>
      <c r="K2143" s="3" t="s">
        <v>57</v>
      </c>
    </row>
    <row r="2144" spans="1:11" ht="42" customHeight="1">
      <c r="A2144" s="2" t="s">
        <v>6019</v>
      </c>
      <c r="B2144" s="2" t="s">
        <v>6019</v>
      </c>
      <c r="C2144" s="2" t="s">
        <v>47</v>
      </c>
      <c r="D2144" s="2" t="s">
        <v>107</v>
      </c>
      <c r="E2144" s="3" t="s">
        <v>232</v>
      </c>
      <c r="F2144" s="3" t="s">
        <v>233</v>
      </c>
      <c r="G2144" s="3" t="s">
        <v>6023</v>
      </c>
      <c r="H2144" s="2" t="s">
        <v>55</v>
      </c>
      <c r="I2144" s="2" t="s">
        <v>6024</v>
      </c>
      <c r="J2144" s="3" t="str">
        <f>HYPERLINK("https://www.boe.es/gazeta/dias/1809/06/04/pdfs/GMD-1809-155.pdf#page=2","Abrir facsímil")</f>
        <v>Abrir facsímil</v>
      </c>
      <c r="K2144" s="3" t="s">
        <v>57</v>
      </c>
    </row>
    <row r="2145" spans="1:11" ht="42" customHeight="1">
      <c r="A2145" s="2" t="s">
        <v>6019</v>
      </c>
      <c r="B2145" s="2" t="s">
        <v>6019</v>
      </c>
      <c r="C2145" s="2" t="s">
        <v>47</v>
      </c>
      <c r="D2145" s="2" t="s">
        <v>18</v>
      </c>
      <c r="E2145" s="3" t="s">
        <v>432</v>
      </c>
      <c r="F2145" s="3" t="s">
        <v>433</v>
      </c>
      <c r="G2145" s="3" t="s">
        <v>129</v>
      </c>
      <c r="H2145" s="2" t="s">
        <v>55</v>
      </c>
      <c r="I2145" s="2" t="s">
        <v>6025</v>
      </c>
      <c r="J2145" s="3" t="str">
        <f>HYPERLINK("https://www.boe.es/gazeta/dias/1809/07/11/pdfs/GMD-1809-192.pdf#page=2","Abrir facsímil")</f>
        <v>Abrir facsímil</v>
      </c>
      <c r="K2145" s="3" t="s">
        <v>57</v>
      </c>
    </row>
    <row r="2146" spans="1:11" ht="42" customHeight="1">
      <c r="A2146" s="2" t="s">
        <v>6019</v>
      </c>
      <c r="B2146" s="2" t="s">
        <v>6019</v>
      </c>
      <c r="C2146" s="2" t="s">
        <v>25</v>
      </c>
      <c r="D2146" s="2" t="s">
        <v>18</v>
      </c>
      <c r="E2146" s="3" t="s">
        <v>294</v>
      </c>
      <c r="F2146" s="3" t="s">
        <v>1360</v>
      </c>
      <c r="G2146" s="3" t="s">
        <v>830</v>
      </c>
      <c r="H2146" s="2" t="s">
        <v>55</v>
      </c>
      <c r="I2146" s="2" t="s">
        <v>6026</v>
      </c>
      <c r="J2146" s="3" t="str">
        <f>HYPERLINK("https://www.boe.es/gazeta/dias/1809/09/30/pdfs/GGB-1809-262.pdf#page=4","Abrir facsímil")</f>
        <v>Abrir facsímil</v>
      </c>
      <c r="K2146" s="3" t="s">
        <v>57</v>
      </c>
    </row>
    <row r="2147" spans="1:11" ht="42" customHeight="1">
      <c r="A2147" s="2" t="s">
        <v>6019</v>
      </c>
      <c r="B2147" s="2" t="s">
        <v>6019</v>
      </c>
      <c r="C2147" s="2" t="s">
        <v>17</v>
      </c>
      <c r="D2147" s="2" t="s">
        <v>18</v>
      </c>
      <c r="E2147" s="3" t="s">
        <v>2840</v>
      </c>
      <c r="F2147" s="3" t="s">
        <v>2841</v>
      </c>
      <c r="G2147" s="3" t="s">
        <v>62</v>
      </c>
      <c r="H2147" s="2" t="s">
        <v>55</v>
      </c>
      <c r="I2147" s="2" t="s">
        <v>6027</v>
      </c>
      <c r="J2147" s="3" t="str">
        <f>HYPERLINK("https://www.boe.es/gazeta/dias/1809/11/30/pdfs/GMD-1809-335.pdf#page=4","Abrir facsímil")</f>
        <v>Abrir facsímil</v>
      </c>
      <c r="K2147" s="3" t="s">
        <v>57</v>
      </c>
    </row>
    <row r="2148" spans="1:11" ht="42" customHeight="1">
      <c r="A2148" s="2" t="s">
        <v>6028</v>
      </c>
      <c r="B2148" s="2" t="s">
        <v>6028</v>
      </c>
      <c r="C2148" s="2" t="s">
        <v>47</v>
      </c>
      <c r="D2148" s="2" t="s">
        <v>107</v>
      </c>
      <c r="E2148" s="3" t="s">
        <v>2166</v>
      </c>
      <c r="F2148" s="3" t="s">
        <v>2167</v>
      </c>
      <c r="G2148" s="3" t="s">
        <v>1441</v>
      </c>
      <c r="H2148" s="2" t="s">
        <v>55</v>
      </c>
      <c r="I2148" s="2" t="s">
        <v>6029</v>
      </c>
      <c r="J2148" s="3" t="str">
        <f>HYPERLINK("https://www.boe.es/gazeta/dias/1809/01/20/pdfs/GGB-1809-4.pdf#page=1","Abrir facsímil")</f>
        <v>Abrir facsímil</v>
      </c>
      <c r="K2148" s="3" t="s">
        <v>57</v>
      </c>
    </row>
    <row r="2149" spans="1:11" ht="42" customHeight="1">
      <c r="A2149" s="2" t="s">
        <v>6028</v>
      </c>
      <c r="B2149" s="2" t="s">
        <v>6028</v>
      </c>
      <c r="C2149" s="2" t="s">
        <v>39</v>
      </c>
      <c r="D2149" s="2" t="s">
        <v>107</v>
      </c>
      <c r="E2149" s="3" t="s">
        <v>2166</v>
      </c>
      <c r="F2149" s="3" t="s">
        <v>2167</v>
      </c>
      <c r="G2149" s="3" t="s">
        <v>154</v>
      </c>
      <c r="H2149" s="2" t="s">
        <v>55</v>
      </c>
      <c r="I2149" s="2" t="s">
        <v>6030</v>
      </c>
      <c r="J2149" s="3" t="str">
        <f>HYPERLINK("https://www.boe.es/gazeta/dias/1809/01/20/pdfs/GGB-1809-4.pdf#page=4","Abrir facsímil")</f>
        <v>Abrir facsímil</v>
      </c>
      <c r="K2149" s="3" t="s">
        <v>57</v>
      </c>
    </row>
    <row r="2150" spans="1:11" ht="42" customHeight="1">
      <c r="A2150" s="2" t="s">
        <v>6028</v>
      </c>
      <c r="B2150" s="2" t="s">
        <v>6028</v>
      </c>
      <c r="C2150" s="2" t="s">
        <v>17</v>
      </c>
      <c r="D2150" s="2" t="s">
        <v>18</v>
      </c>
      <c r="E2150" s="3" t="s">
        <v>2244</v>
      </c>
      <c r="F2150" s="3" t="s">
        <v>2245</v>
      </c>
      <c r="G2150" s="3" t="s">
        <v>1880</v>
      </c>
      <c r="H2150" s="2" t="s">
        <v>55</v>
      </c>
      <c r="I2150" s="2" t="s">
        <v>6031</v>
      </c>
      <c r="J2150" s="3" t="str">
        <f>HYPERLINK("https://www.boe.es/gazeta/dias/1809/03/27/pdfs/GGB-1809-13B.pdf#page=5","Abrir facsímil")</f>
        <v>Abrir facsímil</v>
      </c>
      <c r="K2150" s="3" t="s">
        <v>57</v>
      </c>
    </row>
    <row r="2151" spans="1:11" ht="42" customHeight="1">
      <c r="A2151" s="2" t="s">
        <v>6028</v>
      </c>
      <c r="B2151" s="2" t="s">
        <v>6028</v>
      </c>
      <c r="C2151" s="2" t="s">
        <v>288</v>
      </c>
      <c r="D2151" s="2" t="s">
        <v>72</v>
      </c>
      <c r="E2151" s="3" t="s">
        <v>1974</v>
      </c>
      <c r="F2151" s="3" t="s">
        <v>1975</v>
      </c>
      <c r="G2151" s="3" t="s">
        <v>120</v>
      </c>
      <c r="H2151" s="2" t="s">
        <v>55</v>
      </c>
      <c r="I2151" s="2" t="s">
        <v>6032</v>
      </c>
      <c r="J2151" s="3" t="str">
        <f>HYPERLINK("https://www.boe.es/gazeta/dias/1809/05/03/pdfs/GMD-E-1809-123.pdf#page=2","Abrir facsímil")</f>
        <v>Abrir facsímil</v>
      </c>
      <c r="K2151" s="3" t="s">
        <v>57</v>
      </c>
    </row>
    <row r="2152" spans="1:11" ht="42" customHeight="1">
      <c r="A2152" s="2" t="s">
        <v>6028</v>
      </c>
      <c r="B2152" s="2" t="s">
        <v>6028</v>
      </c>
      <c r="C2152" s="2" t="s">
        <v>47</v>
      </c>
      <c r="D2152" s="2" t="s">
        <v>18</v>
      </c>
      <c r="E2152" s="3" t="s">
        <v>739</v>
      </c>
      <c r="F2152" s="3" t="s">
        <v>1137</v>
      </c>
      <c r="G2152" s="3" t="s">
        <v>582</v>
      </c>
      <c r="H2152" s="2" t="s">
        <v>55</v>
      </c>
      <c r="I2152" s="2" t="s">
        <v>6033</v>
      </c>
      <c r="J2152" s="3" t="str">
        <f>HYPERLINK("https://www.boe.es/gazeta/dias/1809/05/08/pdfs/GGB-1809-25.pdf#page=2","Abrir facsímil")</f>
        <v>Abrir facsímil</v>
      </c>
      <c r="K2152" s="3" t="s">
        <v>57</v>
      </c>
    </row>
    <row r="2153" spans="1:11" ht="42" customHeight="1">
      <c r="A2153" s="2" t="s">
        <v>6028</v>
      </c>
      <c r="B2153" s="2" t="s">
        <v>6028</v>
      </c>
      <c r="C2153" s="2" t="s">
        <v>25</v>
      </c>
      <c r="D2153" s="2" t="s">
        <v>107</v>
      </c>
      <c r="E2153" s="3" t="s">
        <v>289</v>
      </c>
      <c r="F2153" s="3" t="s">
        <v>290</v>
      </c>
      <c r="G2153" s="3" t="s">
        <v>29</v>
      </c>
      <c r="H2153" s="2" t="s">
        <v>55</v>
      </c>
      <c r="I2153" s="2" t="s">
        <v>6034</v>
      </c>
      <c r="J2153" s="3" t="str">
        <f>HYPERLINK("https://www.boe.es/gazeta/dias/1809/05/15/pdfs/GMD-1809-135.pdf#page=3","Abrir facsímil")</f>
        <v>Abrir facsímil</v>
      </c>
      <c r="K2153" s="3" t="s">
        <v>57</v>
      </c>
    </row>
    <row r="2154" spans="1:11" ht="42" customHeight="1">
      <c r="A2154" s="2" t="s">
        <v>6028</v>
      </c>
      <c r="B2154" s="2" t="s">
        <v>6028</v>
      </c>
      <c r="C2154" s="2" t="s">
        <v>47</v>
      </c>
      <c r="D2154" s="2" t="s">
        <v>107</v>
      </c>
      <c r="E2154" s="3" t="s">
        <v>5974</v>
      </c>
      <c r="F2154" s="3" t="s">
        <v>5975</v>
      </c>
      <c r="G2154" s="3" t="s">
        <v>5976</v>
      </c>
      <c r="H2154" s="2" t="s">
        <v>55</v>
      </c>
      <c r="I2154" s="2" t="s">
        <v>6035</v>
      </c>
      <c r="J2154" s="3" t="str">
        <f>HYPERLINK("https://www.boe.es/gazeta/dias/1809/05/21/pdfs/GMD-1809-141.pdf#page=3","Abrir facsímil")</f>
        <v>Abrir facsímil</v>
      </c>
      <c r="K2154" s="3" t="s">
        <v>57</v>
      </c>
    </row>
    <row r="2155" spans="1:11" ht="42" customHeight="1">
      <c r="A2155" s="2" t="s">
        <v>6028</v>
      </c>
      <c r="B2155" s="2" t="s">
        <v>6028</v>
      </c>
      <c r="C2155" s="2" t="s">
        <v>288</v>
      </c>
      <c r="D2155" s="2" t="s">
        <v>18</v>
      </c>
      <c r="E2155" s="3" t="s">
        <v>5350</v>
      </c>
      <c r="F2155" s="3" t="s">
        <v>5351</v>
      </c>
      <c r="G2155" s="3" t="s">
        <v>110</v>
      </c>
      <c r="H2155" s="2" t="s">
        <v>55</v>
      </c>
      <c r="I2155" s="2" t="s">
        <v>6036</v>
      </c>
      <c r="J2155" s="3" t="str">
        <f>HYPERLINK("https://www.boe.es/gazeta/dias/1809/05/25/pdfs/GMD-1809-145.pdf#page=4","Abrir facsímil")</f>
        <v>Abrir facsímil</v>
      </c>
      <c r="K2155" s="3" t="s">
        <v>57</v>
      </c>
    </row>
    <row r="2156" spans="1:11" ht="42" customHeight="1">
      <c r="A2156" s="2" t="s">
        <v>6028</v>
      </c>
      <c r="B2156" s="2" t="s">
        <v>6028</v>
      </c>
      <c r="C2156" s="2" t="s">
        <v>25</v>
      </c>
      <c r="D2156" s="2" t="s">
        <v>26</v>
      </c>
      <c r="E2156" s="3" t="s">
        <v>1581</v>
      </c>
      <c r="F2156" s="3" t="s">
        <v>1582</v>
      </c>
      <c r="G2156" s="3" t="s">
        <v>1152</v>
      </c>
      <c r="H2156" s="2" t="s">
        <v>55</v>
      </c>
      <c r="I2156" s="2" t="s">
        <v>6037</v>
      </c>
      <c r="J2156" s="3" t="str">
        <f>HYPERLINK("https://www.boe.es/gazeta/dias/1809/05/30/pdfs/GMD-1809-150.pdf#page=2","Abrir facsímil")</f>
        <v>Abrir facsímil</v>
      </c>
      <c r="K2156" s="3" t="s">
        <v>57</v>
      </c>
    </row>
    <row r="2157" spans="1:11" ht="42" customHeight="1">
      <c r="A2157" s="2" t="s">
        <v>6028</v>
      </c>
      <c r="B2157" s="2" t="s">
        <v>6028</v>
      </c>
      <c r="C2157" s="2" t="s">
        <v>131</v>
      </c>
      <c r="D2157" s="2" t="s">
        <v>26</v>
      </c>
      <c r="E2157" s="3" t="s">
        <v>758</v>
      </c>
      <c r="F2157" s="3" t="s">
        <v>759</v>
      </c>
      <c r="G2157" s="3" t="s">
        <v>62</v>
      </c>
      <c r="H2157" s="2" t="s">
        <v>55</v>
      </c>
      <c r="I2157" s="2" t="s">
        <v>6038</v>
      </c>
      <c r="J2157" s="3" t="str">
        <f>HYPERLINK("https://www.boe.es/gazeta/dias/1809/06/01/pdfs/GMD-1809-152.pdf#page=2","Abrir facsímil")</f>
        <v>Abrir facsímil</v>
      </c>
      <c r="K2157" s="3" t="s">
        <v>57</v>
      </c>
    </row>
    <row r="2158" spans="1:11" ht="42" customHeight="1">
      <c r="A2158" s="2" t="s">
        <v>6028</v>
      </c>
      <c r="B2158" s="2" t="s">
        <v>6028</v>
      </c>
      <c r="C2158" s="2" t="s">
        <v>131</v>
      </c>
      <c r="D2158" s="2" t="s">
        <v>107</v>
      </c>
      <c r="E2158" s="3" t="s">
        <v>761</v>
      </c>
      <c r="F2158" s="3" t="s">
        <v>762</v>
      </c>
      <c r="G2158" s="3" t="s">
        <v>154</v>
      </c>
      <c r="H2158" s="2" t="s">
        <v>55</v>
      </c>
      <c r="I2158" s="2" t="s">
        <v>6039</v>
      </c>
      <c r="J2158" s="3" t="str">
        <f>HYPERLINK("https://www.boe.es/gazeta/dias/1809/06/02/pdfs/GMD-1809-153.pdf#page=1","Abrir facsímil")</f>
        <v>Abrir facsímil</v>
      </c>
      <c r="K2158" s="3" t="s">
        <v>57</v>
      </c>
    </row>
    <row r="2159" spans="1:11" ht="42" customHeight="1">
      <c r="A2159" s="2" t="s">
        <v>6028</v>
      </c>
      <c r="B2159" s="2" t="s">
        <v>6028</v>
      </c>
      <c r="C2159" s="2" t="s">
        <v>47</v>
      </c>
      <c r="D2159" s="2" t="s">
        <v>18</v>
      </c>
      <c r="E2159" s="3" t="s">
        <v>761</v>
      </c>
      <c r="F2159" s="3" t="s">
        <v>1218</v>
      </c>
      <c r="G2159" s="3" t="s">
        <v>29</v>
      </c>
      <c r="H2159" s="2" t="s">
        <v>55</v>
      </c>
      <c r="I2159" s="2" t="s">
        <v>6040</v>
      </c>
      <c r="J2159" s="3" t="str">
        <f>HYPERLINK("https://www.boe.es/gazeta/dias/1809/06/02/pdfs/GGB-1809-33.pdf#page=3","Abrir facsímil")</f>
        <v>Abrir facsímil</v>
      </c>
      <c r="K2159" s="3" t="s">
        <v>57</v>
      </c>
    </row>
    <row r="2160" spans="1:11" ht="42" customHeight="1">
      <c r="A2160" s="2" t="s">
        <v>6028</v>
      </c>
      <c r="B2160" s="2" t="s">
        <v>6028</v>
      </c>
      <c r="C2160" s="2" t="s">
        <v>47</v>
      </c>
      <c r="D2160" s="2" t="s">
        <v>18</v>
      </c>
      <c r="E2160" s="3" t="s">
        <v>2249</v>
      </c>
      <c r="F2160" s="3" t="s">
        <v>2250</v>
      </c>
      <c r="G2160" s="3" t="s">
        <v>29</v>
      </c>
      <c r="H2160" s="2" t="s">
        <v>55</v>
      </c>
      <c r="I2160" s="2" t="s">
        <v>6041</v>
      </c>
      <c r="J2160" s="3" t="str">
        <f>HYPERLINK("https://www.boe.es/gazeta/dias/1809/06/08/pdfs/GMD-1809-159.pdf#page=3","Abrir facsímil")</f>
        <v>Abrir facsímil</v>
      </c>
      <c r="K2160" s="3" t="s">
        <v>57</v>
      </c>
    </row>
    <row r="2161" spans="1:11" ht="42" customHeight="1">
      <c r="A2161" s="2" t="s">
        <v>6028</v>
      </c>
      <c r="B2161" s="2" t="s">
        <v>6028</v>
      </c>
      <c r="C2161" s="2" t="s">
        <v>25</v>
      </c>
      <c r="D2161" s="2" t="s">
        <v>107</v>
      </c>
      <c r="E2161" s="3" t="s">
        <v>2395</v>
      </c>
      <c r="F2161" s="3" t="s">
        <v>2396</v>
      </c>
      <c r="G2161" s="3" t="s">
        <v>3992</v>
      </c>
      <c r="H2161" s="2" t="s">
        <v>55</v>
      </c>
      <c r="I2161" s="2" t="s">
        <v>6042</v>
      </c>
      <c r="J2161" s="3" t="str">
        <f>HYPERLINK("https://www.boe.es/gazeta/dias/1809/07/14/pdfs/GMD-1809-195.pdf#page=3","Abrir facsímil")</f>
        <v>Abrir facsímil</v>
      </c>
      <c r="K2161" s="3" t="s">
        <v>57</v>
      </c>
    </row>
    <row r="2162" spans="1:11" ht="42" customHeight="1">
      <c r="A2162" s="2" t="s">
        <v>6028</v>
      </c>
      <c r="B2162" s="2" t="s">
        <v>6028</v>
      </c>
      <c r="C2162" s="2" t="s">
        <v>47</v>
      </c>
      <c r="D2162" s="2" t="s">
        <v>107</v>
      </c>
      <c r="E2162" s="3" t="s">
        <v>2395</v>
      </c>
      <c r="F2162" s="3" t="s">
        <v>2396</v>
      </c>
      <c r="G2162" s="3" t="s">
        <v>1152</v>
      </c>
      <c r="H2162" s="2" t="s">
        <v>55</v>
      </c>
      <c r="I2162" s="2" t="s">
        <v>6043</v>
      </c>
      <c r="J2162" s="3" t="str">
        <f>HYPERLINK("https://www.boe.es/gazeta/dias/1809/07/14/pdfs/GMD-1809-195.pdf#page=4","Abrir facsímil")</f>
        <v>Abrir facsímil</v>
      </c>
      <c r="K2162" s="3" t="s">
        <v>57</v>
      </c>
    </row>
    <row r="2163" spans="1:11" ht="42" customHeight="1">
      <c r="A2163" s="2" t="s">
        <v>6028</v>
      </c>
      <c r="B2163" s="2" t="s">
        <v>6028</v>
      </c>
      <c r="C2163" s="2" t="s">
        <v>25</v>
      </c>
      <c r="D2163" s="2" t="s">
        <v>26</v>
      </c>
      <c r="E2163" s="3" t="s">
        <v>1011</v>
      </c>
      <c r="F2163" s="3" t="s">
        <v>1012</v>
      </c>
      <c r="G2163" s="3" t="s">
        <v>120</v>
      </c>
      <c r="H2163" s="2" t="s">
        <v>55</v>
      </c>
      <c r="I2163" s="2" t="s">
        <v>6044</v>
      </c>
      <c r="J2163" s="3" t="str">
        <f>HYPERLINK("https://www.boe.es/gazeta/dias/1809/08/01/pdfs/GGB-1809-50.pdf#page=11","Abrir facsímil")</f>
        <v>Abrir facsímil</v>
      </c>
      <c r="K2163" s="3" t="s">
        <v>57</v>
      </c>
    </row>
    <row r="2164" spans="1:11" ht="42" customHeight="1">
      <c r="A2164" s="2" t="s">
        <v>6028</v>
      </c>
      <c r="B2164" s="2" t="s">
        <v>6028</v>
      </c>
      <c r="C2164" s="2" t="s">
        <v>47</v>
      </c>
      <c r="D2164" s="2" t="s">
        <v>18</v>
      </c>
      <c r="E2164" s="3" t="s">
        <v>1865</v>
      </c>
      <c r="F2164" s="3" t="s">
        <v>4138</v>
      </c>
      <c r="G2164" s="3" t="s">
        <v>4139</v>
      </c>
      <c r="H2164" s="2" t="s">
        <v>55</v>
      </c>
      <c r="I2164" s="2" t="s">
        <v>6045</v>
      </c>
      <c r="J2164" s="3" t="str">
        <f>HYPERLINK("https://www.boe.es/gazeta/dias/1809/08/08/pdfs/GMD-1809-221.pdf#page=2","Abrir facsímil")</f>
        <v>Abrir facsímil</v>
      </c>
      <c r="K2164" s="3" t="s">
        <v>57</v>
      </c>
    </row>
    <row r="2165" spans="1:11" ht="42" customHeight="1">
      <c r="A2165" s="2" t="s">
        <v>6028</v>
      </c>
      <c r="B2165" s="2" t="s">
        <v>6028</v>
      </c>
      <c r="C2165" s="2" t="s">
        <v>47</v>
      </c>
      <c r="D2165" s="2" t="s">
        <v>107</v>
      </c>
      <c r="E2165" s="3" t="s">
        <v>1129</v>
      </c>
      <c r="F2165" s="3" t="s">
        <v>1507</v>
      </c>
      <c r="G2165" s="3" t="s">
        <v>6046</v>
      </c>
      <c r="H2165" s="2" t="s">
        <v>55</v>
      </c>
      <c r="I2165" s="2" t="s">
        <v>6047</v>
      </c>
      <c r="J2165" s="3" t="str">
        <f>HYPERLINK("https://www.boe.es/gazeta/dias/1809/08/17/pdfs/GMD-1809-230.pdf#page=2","Abrir facsímil")</f>
        <v>Abrir facsímil</v>
      </c>
      <c r="K2165" s="3" t="s">
        <v>57</v>
      </c>
    </row>
    <row r="2166" spans="1:11" ht="42" customHeight="1">
      <c r="A2166" s="2" t="s">
        <v>6028</v>
      </c>
      <c r="B2166" s="2" t="s">
        <v>6028</v>
      </c>
      <c r="C2166" s="2" t="s">
        <v>25</v>
      </c>
      <c r="D2166" s="2" t="s">
        <v>107</v>
      </c>
      <c r="E2166" s="3" t="s">
        <v>2691</v>
      </c>
      <c r="F2166" s="3" t="s">
        <v>6048</v>
      </c>
      <c r="G2166" s="3" t="s">
        <v>6049</v>
      </c>
      <c r="H2166" s="2" t="s">
        <v>55</v>
      </c>
      <c r="I2166" s="2" t="s">
        <v>6050</v>
      </c>
      <c r="J2166" s="3" t="str">
        <f>HYPERLINK("https://www.boe.es/gazeta/dias/1809/08/27/pdfs/GGB-1809-112E.pdf#page=1","Abrir facsímil")</f>
        <v>Abrir facsímil</v>
      </c>
      <c r="K2166" s="3" t="s">
        <v>57</v>
      </c>
    </row>
    <row r="2167" spans="1:11" ht="42" customHeight="1">
      <c r="A2167" s="2" t="s">
        <v>6028</v>
      </c>
      <c r="B2167" s="2" t="s">
        <v>6028</v>
      </c>
      <c r="C2167" s="2" t="s">
        <v>17</v>
      </c>
      <c r="D2167" s="2" t="s">
        <v>18</v>
      </c>
      <c r="E2167" s="3" t="s">
        <v>864</v>
      </c>
      <c r="F2167" s="3" t="s">
        <v>865</v>
      </c>
      <c r="G2167" s="3" t="s">
        <v>225</v>
      </c>
      <c r="H2167" s="2" t="s">
        <v>55</v>
      </c>
      <c r="I2167" s="2" t="s">
        <v>6051</v>
      </c>
      <c r="J2167" s="3" t="str">
        <f>HYPERLINK("https://www.boe.es/gazeta/dias/1809/08/31/pdfs/GMD-1809-244.pdf#page=4","Abrir facsímil")</f>
        <v>Abrir facsímil</v>
      </c>
      <c r="K2167" s="3" t="s">
        <v>57</v>
      </c>
    </row>
    <row r="2168" spans="1:11" ht="42" customHeight="1">
      <c r="A2168" s="2" t="s">
        <v>6028</v>
      </c>
      <c r="B2168" s="2" t="s">
        <v>6028</v>
      </c>
      <c r="C2168" s="2" t="s">
        <v>47</v>
      </c>
      <c r="D2168" s="2" t="s">
        <v>18</v>
      </c>
      <c r="E2168" s="3" t="s">
        <v>442</v>
      </c>
      <c r="F2168" s="3" t="s">
        <v>2171</v>
      </c>
      <c r="G2168" s="3" t="s">
        <v>6052</v>
      </c>
      <c r="H2168" s="2" t="s">
        <v>55</v>
      </c>
      <c r="I2168" s="2" t="s">
        <v>6053</v>
      </c>
      <c r="J2168" s="3" t="str">
        <f>HYPERLINK("https://www.boe.es/gazeta/dias/1809/09/05/pdfs/GMD-1809-249.pdf#page=2","Abrir facsímil")</f>
        <v>Abrir facsímil</v>
      </c>
      <c r="K2168" s="3" t="s">
        <v>57</v>
      </c>
    </row>
    <row r="2169" spans="1:11" ht="42" customHeight="1">
      <c r="A2169" s="2" t="s">
        <v>6028</v>
      </c>
      <c r="B2169" s="2" t="s">
        <v>6028</v>
      </c>
      <c r="C2169" s="2" t="s">
        <v>47</v>
      </c>
      <c r="D2169" s="2" t="s">
        <v>107</v>
      </c>
      <c r="E2169" s="3" t="s">
        <v>3949</v>
      </c>
      <c r="F2169" s="3" t="s">
        <v>3950</v>
      </c>
      <c r="G2169" s="3" t="s">
        <v>154</v>
      </c>
      <c r="H2169" s="2" t="s">
        <v>55</v>
      </c>
      <c r="I2169" s="2" t="s">
        <v>6054</v>
      </c>
      <c r="J2169" s="3" t="str">
        <f>HYPERLINK("https://www.boe.es/gazeta/dias/1809/09/09/pdfs/GGB-1809-172.pdf#page=2","Abrir facsímil")</f>
        <v>Abrir facsímil</v>
      </c>
      <c r="K2169" s="3" t="s">
        <v>57</v>
      </c>
    </row>
    <row r="2170" spans="1:11" ht="42" customHeight="1">
      <c r="A2170" s="2" t="s">
        <v>6028</v>
      </c>
      <c r="B2170" s="2" t="s">
        <v>6028</v>
      </c>
      <c r="C2170" s="2" t="s">
        <v>25</v>
      </c>
      <c r="D2170" s="2" t="s">
        <v>18</v>
      </c>
      <c r="E2170" s="3" t="s">
        <v>3949</v>
      </c>
      <c r="F2170" s="3" t="s">
        <v>3950</v>
      </c>
      <c r="G2170" s="3" t="s">
        <v>234</v>
      </c>
      <c r="H2170" s="2" t="s">
        <v>55</v>
      </c>
      <c r="I2170" s="2" t="s">
        <v>6055</v>
      </c>
      <c r="J2170" s="3" t="str">
        <f>HYPERLINK("https://www.boe.es/gazeta/dias/1809/09/09/pdfs/GGB-1809-172.pdf#page=3","Abrir facsímil")</f>
        <v>Abrir facsímil</v>
      </c>
      <c r="K2170" s="3" t="s">
        <v>57</v>
      </c>
    </row>
    <row r="2171" spans="1:11" ht="42" customHeight="1">
      <c r="A2171" s="2" t="s">
        <v>6028</v>
      </c>
      <c r="B2171" s="2" t="s">
        <v>6028</v>
      </c>
      <c r="C2171" s="2" t="s">
        <v>25</v>
      </c>
      <c r="D2171" s="2" t="s">
        <v>18</v>
      </c>
      <c r="E2171" s="3" t="s">
        <v>1829</v>
      </c>
      <c r="F2171" s="3" t="s">
        <v>1830</v>
      </c>
      <c r="G2171" s="3" t="s">
        <v>1831</v>
      </c>
      <c r="H2171" s="2" t="s">
        <v>55</v>
      </c>
      <c r="I2171" s="2" t="s">
        <v>6056</v>
      </c>
      <c r="J2171" s="3" t="str">
        <f>HYPERLINK("https://www.boe.es/gazeta/dias/1809/09/17/pdfs/GMD-1809-261.pdf#page=1","Abrir facsímil")</f>
        <v>Abrir facsímil</v>
      </c>
      <c r="K2171" s="3" t="s">
        <v>57</v>
      </c>
    </row>
    <row r="2172" spans="1:11" ht="42" customHeight="1">
      <c r="A2172" s="2" t="s">
        <v>6028</v>
      </c>
      <c r="B2172" s="2" t="s">
        <v>6028</v>
      </c>
      <c r="C2172" s="2" t="s">
        <v>47</v>
      </c>
      <c r="D2172" s="2" t="s">
        <v>18</v>
      </c>
      <c r="E2172" s="3" t="s">
        <v>645</v>
      </c>
      <c r="F2172" s="3" t="s">
        <v>646</v>
      </c>
      <c r="G2172" s="3" t="s">
        <v>396</v>
      </c>
      <c r="H2172" s="2" t="s">
        <v>55</v>
      </c>
      <c r="I2172" s="2" t="s">
        <v>6057</v>
      </c>
      <c r="J2172" s="3" t="str">
        <f>HYPERLINK("https://www.boe.es/gazeta/dias/1809/10/04/pdfs/GMD-1809-278.pdf#page=2","Abrir facsímil")</f>
        <v>Abrir facsímil</v>
      </c>
      <c r="K2172" s="3" t="s">
        <v>57</v>
      </c>
    </row>
    <row r="2173" spans="1:11" ht="42" customHeight="1">
      <c r="A2173" s="2" t="s">
        <v>6028</v>
      </c>
      <c r="B2173" s="2" t="s">
        <v>6028</v>
      </c>
      <c r="C2173" s="2" t="s">
        <v>47</v>
      </c>
      <c r="D2173" s="2" t="s">
        <v>18</v>
      </c>
      <c r="E2173" s="3" t="s">
        <v>147</v>
      </c>
      <c r="F2173" s="3" t="s">
        <v>2411</v>
      </c>
      <c r="G2173" s="3" t="s">
        <v>62</v>
      </c>
      <c r="H2173" s="2" t="s">
        <v>55</v>
      </c>
      <c r="I2173" s="2" t="s">
        <v>6058</v>
      </c>
      <c r="J2173" s="3" t="str">
        <f>HYPERLINK("https://www.boe.es/gazeta/dias/1809/10/07/pdfs/GMD-1809-281.pdf#page=2","Abrir facsímil")</f>
        <v>Abrir facsímil</v>
      </c>
      <c r="K2173" s="3" t="s">
        <v>57</v>
      </c>
    </row>
    <row r="2174" spans="1:11" ht="42" customHeight="1">
      <c r="A2174" s="2" t="s">
        <v>6028</v>
      </c>
      <c r="B2174" s="2" t="s">
        <v>6028</v>
      </c>
      <c r="C2174" s="2" t="s">
        <v>25</v>
      </c>
      <c r="D2174" s="2" t="s">
        <v>107</v>
      </c>
      <c r="E2174" s="3" t="s">
        <v>449</v>
      </c>
      <c r="F2174" s="3" t="s">
        <v>640</v>
      </c>
      <c r="G2174" s="3" t="s">
        <v>89</v>
      </c>
      <c r="H2174" s="2" t="s">
        <v>55</v>
      </c>
      <c r="I2174" s="2" t="s">
        <v>6059</v>
      </c>
      <c r="J2174" s="3" t="str">
        <f>HYPERLINK("https://www.boe.es/gazeta/dias/1809/10/10/pdfs/GMD-1809-284.pdf#page=4","Abrir facsímil")</f>
        <v>Abrir facsímil</v>
      </c>
      <c r="K2174" s="3" t="s">
        <v>57</v>
      </c>
    </row>
    <row r="2175" spans="1:11" ht="42" customHeight="1">
      <c r="A2175" s="2" t="s">
        <v>6028</v>
      </c>
      <c r="B2175" s="2" t="s">
        <v>6028</v>
      </c>
      <c r="C2175" s="2" t="s">
        <v>25</v>
      </c>
      <c r="D2175" s="2" t="s">
        <v>107</v>
      </c>
      <c r="E2175" s="3" t="s">
        <v>190</v>
      </c>
      <c r="F2175" s="3" t="s">
        <v>191</v>
      </c>
      <c r="G2175" s="3" t="s">
        <v>6060</v>
      </c>
      <c r="H2175" s="2" t="s">
        <v>55</v>
      </c>
      <c r="I2175" s="2" t="s">
        <v>6061</v>
      </c>
      <c r="J2175" s="3" t="str">
        <f>HYPERLINK("https://www.boe.es/gazeta/dias/1809/10/14/pdfs/GGB-1809-322.pdf#page=3","Abrir facsímil")</f>
        <v>Abrir facsímil</v>
      </c>
      <c r="K2175" s="3" t="s">
        <v>57</v>
      </c>
    </row>
    <row r="2176" spans="1:11" ht="42" customHeight="1">
      <c r="A2176" s="2" t="s">
        <v>6028</v>
      </c>
      <c r="B2176" s="2" t="s">
        <v>6028</v>
      </c>
      <c r="C2176" s="2" t="s">
        <v>17</v>
      </c>
      <c r="D2176" s="2" t="s">
        <v>18</v>
      </c>
      <c r="E2176" s="3" t="s">
        <v>211</v>
      </c>
      <c r="F2176" s="3" t="s">
        <v>212</v>
      </c>
      <c r="G2176" s="3" t="s">
        <v>872</v>
      </c>
      <c r="H2176" s="2" t="s">
        <v>55</v>
      </c>
      <c r="I2176" s="2" t="s">
        <v>6062</v>
      </c>
      <c r="J2176" s="3" t="str">
        <f>HYPERLINK("https://www.boe.es/gazeta/dias/1809/10/27/pdfs/GMD-1809-301.pdf#page=1","Abrir facsímil")</f>
        <v>Abrir facsímil</v>
      </c>
      <c r="K2176" s="3" t="s">
        <v>57</v>
      </c>
    </row>
    <row r="2177" spans="1:11" ht="42" customHeight="1">
      <c r="A2177" s="2" t="s">
        <v>6028</v>
      </c>
      <c r="B2177" s="2" t="s">
        <v>6028</v>
      </c>
      <c r="C2177" s="2" t="s">
        <v>17</v>
      </c>
      <c r="D2177" s="2" t="s">
        <v>18</v>
      </c>
      <c r="E2177" s="3" t="s">
        <v>211</v>
      </c>
      <c r="F2177" s="3" t="s">
        <v>212</v>
      </c>
      <c r="G2177" s="3" t="s">
        <v>29</v>
      </c>
      <c r="H2177" s="2" t="s">
        <v>55</v>
      </c>
      <c r="I2177" s="2" t="s">
        <v>6063</v>
      </c>
      <c r="J2177" s="3" t="str">
        <f>HYPERLINK("https://www.boe.es/gazeta/dias/1809/10/27/pdfs/GMD-1809-301.pdf#page=3","Abrir facsímil")</f>
        <v>Abrir facsímil</v>
      </c>
      <c r="K2177" s="3" t="s">
        <v>57</v>
      </c>
    </row>
    <row r="2178" spans="1:11" ht="42" customHeight="1">
      <c r="A2178" s="2" t="s">
        <v>6028</v>
      </c>
      <c r="B2178" s="2" t="s">
        <v>6028</v>
      </c>
      <c r="C2178" s="2" t="s">
        <v>25</v>
      </c>
      <c r="D2178" s="2" t="s">
        <v>26</v>
      </c>
      <c r="E2178" s="3" t="s">
        <v>211</v>
      </c>
      <c r="F2178" s="3" t="s">
        <v>212</v>
      </c>
      <c r="G2178" s="3" t="s">
        <v>213</v>
      </c>
      <c r="H2178" s="2" t="s">
        <v>55</v>
      </c>
      <c r="I2178" s="2" t="s">
        <v>6064</v>
      </c>
      <c r="J2178" s="3" t="str">
        <f>HYPERLINK("https://www.boe.es/gazeta/dias/1809/10/27/pdfs/GMD-1809-301.pdf#page=4","Abrir facsímil")</f>
        <v>Abrir facsímil</v>
      </c>
      <c r="K2178" s="3" t="s">
        <v>57</v>
      </c>
    </row>
    <row r="2179" spans="1:11" ht="42" customHeight="1">
      <c r="A2179" s="2" t="s">
        <v>6028</v>
      </c>
      <c r="B2179" s="2" t="s">
        <v>6028</v>
      </c>
      <c r="C2179" s="2" t="s">
        <v>131</v>
      </c>
      <c r="D2179" s="2" t="s">
        <v>18</v>
      </c>
      <c r="E2179" s="3" t="s">
        <v>1954</v>
      </c>
      <c r="F2179" s="3" t="s">
        <v>1955</v>
      </c>
      <c r="G2179" s="3" t="s">
        <v>1956</v>
      </c>
      <c r="H2179" s="2" t="s">
        <v>55</v>
      </c>
      <c r="I2179" s="2" t="s">
        <v>6065</v>
      </c>
      <c r="J2179" s="3" t="str">
        <f>HYPERLINK("https://www.boe.es/gazeta/dias/1809/11/08/pdfs/GMD-1809-313.pdf#page=4","Abrir facsímil")</f>
        <v>Abrir facsímil</v>
      </c>
      <c r="K2179" s="3" t="s">
        <v>57</v>
      </c>
    </row>
    <row r="2180" spans="1:11" ht="42" customHeight="1">
      <c r="A2180" s="2" t="s">
        <v>6028</v>
      </c>
      <c r="B2180" s="2" t="s">
        <v>6028</v>
      </c>
      <c r="C2180" s="2" t="s">
        <v>25</v>
      </c>
      <c r="D2180" s="2" t="s">
        <v>107</v>
      </c>
      <c r="E2180" s="3" t="s">
        <v>6066</v>
      </c>
      <c r="F2180" s="3" t="s">
        <v>6067</v>
      </c>
      <c r="G2180" s="3" t="s">
        <v>260</v>
      </c>
      <c r="H2180" s="2" t="s">
        <v>55</v>
      </c>
      <c r="I2180" s="2" t="s">
        <v>6068</v>
      </c>
      <c r="J2180" s="3" t="str">
        <f>HYPERLINK("https://www.boe.es/gazeta/dias/1809/11/13/pdfs/GMD-1809-318.pdf#page=1","Abrir facsímil")</f>
        <v>Abrir facsímil</v>
      </c>
      <c r="K2180" s="3" t="s">
        <v>57</v>
      </c>
    </row>
    <row r="2181" spans="1:11" ht="42" customHeight="1">
      <c r="A2181" s="2" t="s">
        <v>6028</v>
      </c>
      <c r="B2181" s="2" t="s">
        <v>6028</v>
      </c>
      <c r="C2181" s="2" t="s">
        <v>131</v>
      </c>
      <c r="D2181" s="2" t="s">
        <v>26</v>
      </c>
      <c r="E2181" s="3" t="s">
        <v>2512</v>
      </c>
      <c r="F2181" s="3" t="s">
        <v>2513</v>
      </c>
      <c r="G2181" s="3" t="s">
        <v>439</v>
      </c>
      <c r="H2181" s="2" t="s">
        <v>55</v>
      </c>
      <c r="I2181" s="2" t="s">
        <v>6069</v>
      </c>
      <c r="J2181" s="3" t="str">
        <f>HYPERLINK("https://www.boe.es/gazeta/dias/1809/11/27/pdfs/GMD-1809-332.pdf#page=2","Abrir facsímil")</f>
        <v>Abrir facsímil</v>
      </c>
      <c r="K2181" s="3" t="s">
        <v>57</v>
      </c>
    </row>
    <row r="2182" spans="1:11" ht="42" customHeight="1">
      <c r="A2182" s="2" t="s">
        <v>6028</v>
      </c>
      <c r="B2182" s="2" t="s">
        <v>6028</v>
      </c>
      <c r="C2182" s="2" t="s">
        <v>25</v>
      </c>
      <c r="D2182" s="2" t="s">
        <v>26</v>
      </c>
      <c r="E2182" s="3" t="s">
        <v>5017</v>
      </c>
      <c r="F2182" s="3" t="s">
        <v>5018</v>
      </c>
      <c r="G2182" s="3" t="s">
        <v>62</v>
      </c>
      <c r="H2182" s="2" t="s">
        <v>55</v>
      </c>
      <c r="I2182" s="2" t="s">
        <v>6070</v>
      </c>
      <c r="J2182" s="3" t="str">
        <f>HYPERLINK("https://www.boe.es/gazeta/dias/1809/12/03/pdfs/GMD-1809-338.pdf#page=4","Abrir facsímil")</f>
        <v>Abrir facsímil</v>
      </c>
      <c r="K2182" s="3" t="s">
        <v>57</v>
      </c>
    </row>
    <row r="2183" spans="1:11" ht="42" customHeight="1">
      <c r="A2183" s="2" t="s">
        <v>6028</v>
      </c>
      <c r="B2183" s="2" t="s">
        <v>6028</v>
      </c>
      <c r="C2183" s="2" t="s">
        <v>17</v>
      </c>
      <c r="D2183" s="2" t="s">
        <v>72</v>
      </c>
      <c r="E2183" s="3" t="s">
        <v>216</v>
      </c>
      <c r="F2183" s="3" t="s">
        <v>217</v>
      </c>
      <c r="G2183" s="3" t="s">
        <v>154</v>
      </c>
      <c r="H2183" s="2" t="s">
        <v>55</v>
      </c>
      <c r="I2183" s="2" t="s">
        <v>6071</v>
      </c>
      <c r="J2183" s="3" t="str">
        <f>HYPERLINK("https://www.boe.es/gazeta/dias/1809/12/05/pdfs/GGB-H-1809-542.pdf#page=1","Abrir facsímil")</f>
        <v>Abrir facsímil</v>
      </c>
      <c r="K2183" s="3" t="s">
        <v>57</v>
      </c>
    </row>
    <row r="2184" spans="1:11" ht="42" customHeight="1">
      <c r="A2184" s="2" t="s">
        <v>6028</v>
      </c>
      <c r="B2184" s="2" t="s">
        <v>6028</v>
      </c>
      <c r="C2184" s="2" t="s">
        <v>25</v>
      </c>
      <c r="D2184" s="2" t="s">
        <v>40</v>
      </c>
      <c r="E2184" s="3" t="s">
        <v>216</v>
      </c>
      <c r="F2184" s="3" t="s">
        <v>217</v>
      </c>
      <c r="G2184" s="3" t="s">
        <v>75</v>
      </c>
      <c r="H2184" s="2" t="s">
        <v>55</v>
      </c>
      <c r="I2184" s="2" t="s">
        <v>6072</v>
      </c>
      <c r="J2184" s="3" t="str">
        <f>HYPERLINK("https://www.boe.es/gazeta/dias/1809/12/05/pdfs/GGB-H-1809-542.pdf#page=2","Abrir facsímil")</f>
        <v>Abrir facsímil</v>
      </c>
      <c r="K2184" s="3" t="s">
        <v>57</v>
      </c>
    </row>
    <row r="2185" spans="1:11" ht="42" customHeight="1">
      <c r="A2185" s="2" t="s">
        <v>6028</v>
      </c>
      <c r="B2185" s="2" t="s">
        <v>6028</v>
      </c>
      <c r="C2185" s="2" t="s">
        <v>25</v>
      </c>
      <c r="D2185" s="2" t="s">
        <v>26</v>
      </c>
      <c r="E2185" s="3" t="s">
        <v>216</v>
      </c>
      <c r="F2185" s="3" t="s">
        <v>217</v>
      </c>
      <c r="G2185" s="3" t="s">
        <v>587</v>
      </c>
      <c r="H2185" s="2" t="s">
        <v>55</v>
      </c>
      <c r="I2185" s="2" t="s">
        <v>6073</v>
      </c>
      <c r="J2185" s="3" t="str">
        <f>HYPERLINK("https://www.boe.es/gazeta/dias/1809/12/05/pdfs/GGB-H-1809-542.pdf#page=4","Abrir facsímil")</f>
        <v>Abrir facsímil</v>
      </c>
      <c r="K2185" s="3" t="s">
        <v>57</v>
      </c>
    </row>
    <row r="2186" spans="1:11" ht="42" customHeight="1">
      <c r="A2186" s="2" t="s">
        <v>6028</v>
      </c>
      <c r="B2186" s="2" t="s">
        <v>6028</v>
      </c>
      <c r="C2186" s="2" t="s">
        <v>25</v>
      </c>
      <c r="D2186" s="2" t="s">
        <v>72</v>
      </c>
      <c r="E2186" s="3" t="s">
        <v>216</v>
      </c>
      <c r="F2186" s="3" t="s">
        <v>217</v>
      </c>
      <c r="G2186" s="3" t="s">
        <v>94</v>
      </c>
      <c r="H2186" s="2" t="s">
        <v>55</v>
      </c>
      <c r="I2186" s="2" t="s">
        <v>6074</v>
      </c>
      <c r="J2186" s="3" t="str">
        <f>HYPERLINK("https://www.boe.es/gazeta/dias/1809/12/05/pdfs/GGB-H-1809-542.pdf#page=5","Abrir facsímil")</f>
        <v>Abrir facsímil</v>
      </c>
      <c r="K2186" s="3" t="s">
        <v>57</v>
      </c>
    </row>
    <row r="2187" spans="1:11" ht="42" customHeight="1">
      <c r="A2187" s="2" t="s">
        <v>6028</v>
      </c>
      <c r="B2187" s="2" t="s">
        <v>6028</v>
      </c>
      <c r="C2187" s="2" t="s">
        <v>47</v>
      </c>
      <c r="D2187" s="2" t="s">
        <v>107</v>
      </c>
      <c r="E2187" s="3" t="s">
        <v>814</v>
      </c>
      <c r="F2187" s="3" t="s">
        <v>815</v>
      </c>
      <c r="G2187" s="3" t="s">
        <v>6075</v>
      </c>
      <c r="H2187" s="2" t="s">
        <v>55</v>
      </c>
      <c r="I2187" s="2" t="s">
        <v>6076</v>
      </c>
      <c r="J2187" s="3" t="str">
        <f>HYPERLINK("https://www.boe.es/gazeta/dias/1809/12/09/pdfs/GGB-1809-562.pdf#page=2","Abrir facsímil")</f>
        <v>Abrir facsímil</v>
      </c>
      <c r="K2187" s="3" t="s">
        <v>57</v>
      </c>
    </row>
    <row r="2188" spans="1:11" ht="42" customHeight="1">
      <c r="A2188" s="2" t="s">
        <v>6028</v>
      </c>
      <c r="B2188" s="2" t="s">
        <v>6028</v>
      </c>
      <c r="C2188" s="2" t="s">
        <v>25</v>
      </c>
      <c r="D2188" s="2" t="s">
        <v>18</v>
      </c>
      <c r="E2188" s="3" t="s">
        <v>220</v>
      </c>
      <c r="F2188" s="3" t="s">
        <v>221</v>
      </c>
      <c r="G2188" s="3" t="s">
        <v>154</v>
      </c>
      <c r="H2188" s="2" t="s">
        <v>55</v>
      </c>
      <c r="I2188" s="2" t="s">
        <v>6077</v>
      </c>
      <c r="J2188" s="3" t="str">
        <f>HYPERLINK("https://www.boe.es/gazeta/dias/1809/12/13/pdfs/GMD-1809-348.pdf#page=4","Abrir facsímil")</f>
        <v>Abrir facsímil</v>
      </c>
      <c r="K2188" s="3" t="s">
        <v>57</v>
      </c>
    </row>
    <row r="2189" spans="1:11" ht="42" customHeight="1">
      <c r="A2189" s="2" t="s">
        <v>6028</v>
      </c>
      <c r="B2189" s="2" t="s">
        <v>6028</v>
      </c>
      <c r="C2189" s="2" t="s">
        <v>47</v>
      </c>
      <c r="D2189" s="2" t="s">
        <v>18</v>
      </c>
      <c r="E2189" s="3" t="s">
        <v>635</v>
      </c>
      <c r="F2189" s="3" t="s">
        <v>636</v>
      </c>
      <c r="G2189" s="3" t="s">
        <v>6078</v>
      </c>
      <c r="H2189" s="2" t="s">
        <v>55</v>
      </c>
      <c r="I2189" s="2" t="s">
        <v>6079</v>
      </c>
      <c r="J2189" s="3" t="str">
        <f>HYPERLINK("https://www.boe.es/gazeta/dias/1809/12/16/pdfs/GGB-1809-592.pdf#page=8","Abrir facsímil")</f>
        <v>Abrir facsímil</v>
      </c>
      <c r="K2189" s="3" t="s">
        <v>57</v>
      </c>
    </row>
    <row r="2190" spans="1:11" ht="42" customHeight="1">
      <c r="A2190" s="2" t="s">
        <v>6028</v>
      </c>
      <c r="B2190" s="2" t="s">
        <v>6028</v>
      </c>
      <c r="C2190" s="2" t="s">
        <v>25</v>
      </c>
      <c r="D2190" s="2" t="s">
        <v>18</v>
      </c>
      <c r="E2190" s="3" t="s">
        <v>223</v>
      </c>
      <c r="F2190" s="3" t="s">
        <v>224</v>
      </c>
      <c r="G2190" s="3" t="s">
        <v>75</v>
      </c>
      <c r="H2190" s="2" t="s">
        <v>55</v>
      </c>
      <c r="I2190" s="2" t="s">
        <v>6080</v>
      </c>
      <c r="J2190" s="3" t="str">
        <f>HYPERLINK("https://www.boe.es/gazeta/dias/1809/12/17/pdfs/GMD-1809-352.pdf#page=3","Abrir facsímil")</f>
        <v>Abrir facsímil</v>
      </c>
      <c r="K2190" s="3" t="s">
        <v>57</v>
      </c>
    </row>
    <row r="2191" spans="1:11" ht="42" customHeight="1">
      <c r="A2191" s="2" t="s">
        <v>6028</v>
      </c>
      <c r="B2191" s="2" t="s">
        <v>6028</v>
      </c>
      <c r="C2191" s="2" t="s">
        <v>17</v>
      </c>
      <c r="D2191" s="2" t="s">
        <v>18</v>
      </c>
      <c r="E2191" s="3" t="s">
        <v>223</v>
      </c>
      <c r="F2191" s="3" t="s">
        <v>224</v>
      </c>
      <c r="G2191" s="3" t="s">
        <v>225</v>
      </c>
      <c r="H2191" s="2" t="s">
        <v>55</v>
      </c>
      <c r="I2191" s="2" t="s">
        <v>6081</v>
      </c>
      <c r="J2191" s="3" t="str">
        <f>HYPERLINK("https://www.boe.es/gazeta/dias/1809/12/17/pdfs/GMD-1809-352.pdf#page=4","Abrir facsímil")</f>
        <v>Abrir facsímil</v>
      </c>
      <c r="K2191" s="3" t="s">
        <v>57</v>
      </c>
    </row>
    <row r="2192" spans="1:11" ht="42" customHeight="1">
      <c r="A2192" s="2" t="s">
        <v>6028</v>
      </c>
      <c r="B2192" s="2" t="s">
        <v>6028</v>
      </c>
      <c r="C2192" s="2" t="s">
        <v>47</v>
      </c>
      <c r="D2192" s="2" t="s">
        <v>18</v>
      </c>
      <c r="E2192" s="3" t="s">
        <v>883</v>
      </c>
      <c r="F2192" s="3" t="s">
        <v>5874</v>
      </c>
      <c r="G2192" s="3" t="s">
        <v>5875</v>
      </c>
      <c r="H2192" s="2" t="s">
        <v>55</v>
      </c>
      <c r="I2192" s="2" t="s">
        <v>6082</v>
      </c>
      <c r="J2192" s="3" t="str">
        <f>HYPERLINK("https://www.boe.es/gazeta/dias/1809/12/21/pdfs/GGB-1809-612.pdf#page=4","Abrir facsímil")</f>
        <v>Abrir facsímil</v>
      </c>
      <c r="K2192" s="3" t="s">
        <v>57</v>
      </c>
    </row>
    <row r="2193" spans="1:11" ht="42" customHeight="1">
      <c r="A2193" s="2" t="s">
        <v>6028</v>
      </c>
      <c r="B2193" s="2" t="s">
        <v>6028</v>
      </c>
      <c r="C2193" s="2" t="s">
        <v>25</v>
      </c>
      <c r="D2193" s="2" t="s">
        <v>26</v>
      </c>
      <c r="E2193" s="3" t="s">
        <v>473</v>
      </c>
      <c r="F2193" s="3" t="s">
        <v>474</v>
      </c>
      <c r="G2193" s="3" t="s">
        <v>62</v>
      </c>
      <c r="H2193" s="2" t="s">
        <v>55</v>
      </c>
      <c r="I2193" s="2" t="s">
        <v>6083</v>
      </c>
      <c r="J2193" s="3" t="str">
        <f>HYPERLINK("https://www.boe.es/gazeta/dias/1809/12/28/pdfs/GMD-1809-363.pdf#page=2","Abrir facsímil")</f>
        <v>Abrir facsímil</v>
      </c>
      <c r="K2193" s="3" t="s">
        <v>57</v>
      </c>
    </row>
    <row r="2194" spans="1:11" ht="42" customHeight="1">
      <c r="A2194" s="2" t="s">
        <v>6028</v>
      </c>
      <c r="B2194" s="2" t="s">
        <v>6028</v>
      </c>
      <c r="C2194" s="2" t="s">
        <v>25</v>
      </c>
      <c r="D2194" s="2" t="s">
        <v>26</v>
      </c>
      <c r="E2194" s="3" t="s">
        <v>473</v>
      </c>
      <c r="F2194" s="3" t="s">
        <v>1182</v>
      </c>
      <c r="G2194" s="3" t="s">
        <v>6084</v>
      </c>
      <c r="H2194" s="2" t="s">
        <v>55</v>
      </c>
      <c r="I2194" s="2" t="s">
        <v>6085</v>
      </c>
      <c r="J2194" s="3" t="str">
        <f>HYPERLINK("https://www.boe.es/gazeta/dias/1809/12/28/pdfs/GGB-1809-642.pdf#page=1","Abrir facsímil")</f>
        <v>Abrir facsímil</v>
      </c>
      <c r="K2194" s="3" t="s">
        <v>57</v>
      </c>
    </row>
    <row r="2195" spans="1:11" ht="42" customHeight="1">
      <c r="A2195" s="2" t="s">
        <v>6028</v>
      </c>
      <c r="B2195" s="2" t="s">
        <v>6028</v>
      </c>
      <c r="C2195" s="2" t="s">
        <v>25</v>
      </c>
      <c r="D2195" s="2" t="s">
        <v>26</v>
      </c>
      <c r="E2195" s="3" t="s">
        <v>66</v>
      </c>
      <c r="F2195" s="3" t="s">
        <v>67</v>
      </c>
      <c r="G2195" s="3" t="s">
        <v>316</v>
      </c>
      <c r="H2195" s="2" t="s">
        <v>55</v>
      </c>
      <c r="I2195" s="2" t="s">
        <v>6086</v>
      </c>
      <c r="J2195" s="3" t="str">
        <f>HYPERLINK("https://www.boe.es/gazeta/dias/1809/12/30/pdfs/GGB-1809-652.pdf#page=2","Abrir facsímil")</f>
        <v>Abrir facsímil</v>
      </c>
      <c r="K2195" s="3" t="s">
        <v>57</v>
      </c>
    </row>
    <row r="2196" spans="1:11" ht="42" customHeight="1">
      <c r="A2196" s="2" t="s">
        <v>6087</v>
      </c>
      <c r="B2196" s="2" t="s">
        <v>6088</v>
      </c>
      <c r="C2196" s="2" t="s">
        <v>25</v>
      </c>
      <c r="D2196" s="2" t="s">
        <v>26</v>
      </c>
      <c r="E2196" s="3" t="s">
        <v>394</v>
      </c>
      <c r="F2196" s="3" t="s">
        <v>2563</v>
      </c>
      <c r="G2196" s="3" t="s">
        <v>110</v>
      </c>
      <c r="H2196" s="2" t="s">
        <v>55</v>
      </c>
      <c r="I2196" s="2" t="s">
        <v>6089</v>
      </c>
      <c r="J2196" s="3" t="str">
        <f>HYPERLINK("https://www.boe.es/gazeta/dias/1809/12/14/pdfs/GMD-1809-349.pdf#page=3","Abrir facsímil")</f>
        <v>Abrir facsímil</v>
      </c>
      <c r="K2196" s="3" t="s">
        <v>57</v>
      </c>
    </row>
    <row r="2197" spans="1:11" ht="42" customHeight="1">
      <c r="A2197" s="2" t="s">
        <v>6090</v>
      </c>
      <c r="B2197" s="2" t="s">
        <v>6091</v>
      </c>
      <c r="C2197" s="2" t="s">
        <v>131</v>
      </c>
      <c r="D2197" s="2" t="s">
        <v>26</v>
      </c>
      <c r="E2197" s="3" t="s">
        <v>3714</v>
      </c>
      <c r="F2197" s="3" t="s">
        <v>3715</v>
      </c>
      <c r="G2197" s="3" t="s">
        <v>225</v>
      </c>
      <c r="H2197" s="2" t="s">
        <v>55</v>
      </c>
      <c r="I2197" s="2" t="s">
        <v>6092</v>
      </c>
      <c r="J2197" s="3" t="str">
        <f>HYPERLINK("https://www.boe.es/gazeta/dias/1809/12/07/pdfs/GMD-1809-342.pdf#page=4","Abrir facsímil")</f>
        <v>Abrir facsímil</v>
      </c>
      <c r="K2197" s="3" t="s">
        <v>57</v>
      </c>
    </row>
    <row r="2198" spans="1:11" ht="42" customHeight="1">
      <c r="A2198" s="2" t="s">
        <v>6093</v>
      </c>
      <c r="B2198" s="2" t="s">
        <v>6094</v>
      </c>
      <c r="C2198" s="2" t="s">
        <v>131</v>
      </c>
      <c r="D2198" s="2" t="s">
        <v>18</v>
      </c>
      <c r="E2198" s="3" t="s">
        <v>515</v>
      </c>
      <c r="F2198" s="3" t="s">
        <v>516</v>
      </c>
      <c r="G2198" s="3" t="s">
        <v>1380</v>
      </c>
      <c r="H2198" s="2" t="s">
        <v>55</v>
      </c>
      <c r="I2198" s="2" t="s">
        <v>6095</v>
      </c>
      <c r="J2198" s="3" t="str">
        <f>HYPERLINK("https://www.boe.es/gazeta/dias/1809/09/02/pdfs/GMD-1809-246.pdf#page=3","Abrir facsímil")</f>
        <v>Abrir facsímil</v>
      </c>
      <c r="K2198" s="3" t="s">
        <v>57</v>
      </c>
    </row>
    <row r="2199" spans="1:11" ht="42" customHeight="1">
      <c r="A2199" s="2" t="s">
        <v>6096</v>
      </c>
      <c r="B2199" s="2" t="s">
        <v>6097</v>
      </c>
      <c r="C2199" s="2" t="s">
        <v>17</v>
      </c>
      <c r="D2199" s="2" t="s">
        <v>40</v>
      </c>
      <c r="E2199" s="3" t="s">
        <v>102</v>
      </c>
      <c r="F2199" s="3" t="s">
        <v>103</v>
      </c>
      <c r="G2199" s="3" t="s">
        <v>104</v>
      </c>
      <c r="H2199" s="2" t="s">
        <v>55</v>
      </c>
      <c r="I2199" s="2" t="s">
        <v>6098</v>
      </c>
      <c r="J2199" s="3" t="str">
        <f>HYPERLINK("https://www.boe.es/gazeta/dias/1809/09/28/pdfs/GGB-1809-252.pdf#page=8","Abrir facsímil")</f>
        <v>Abrir facsímil</v>
      </c>
      <c r="K2199" s="3" t="s">
        <v>57</v>
      </c>
    </row>
    <row r="2200" spans="1:11" ht="42" customHeight="1">
      <c r="A2200" s="2" t="s">
        <v>6099</v>
      </c>
      <c r="B2200" s="2" t="s">
        <v>6099</v>
      </c>
      <c r="C2200" s="2" t="s">
        <v>25</v>
      </c>
      <c r="D2200" s="2" t="s">
        <v>18</v>
      </c>
      <c r="E2200" s="3" t="s">
        <v>6100</v>
      </c>
      <c r="F2200" s="3" t="s">
        <v>6101</v>
      </c>
      <c r="G2200" s="3" t="s">
        <v>225</v>
      </c>
      <c r="H2200" s="2" t="s">
        <v>55</v>
      </c>
      <c r="I2200" s="2" t="s">
        <v>6102</v>
      </c>
      <c r="J2200" s="3" t="str">
        <f>HYPERLINK("https://www.boe.es/gazeta/dias/1809/01/21/pdfs/GMD-1809-21.pdf#page=4","Abrir facsímil")</f>
        <v>Abrir facsímil</v>
      </c>
      <c r="K2200" s="3" t="s">
        <v>57</v>
      </c>
    </row>
    <row r="2201" spans="1:11" ht="42" customHeight="1">
      <c r="A2201" s="2" t="s">
        <v>6103</v>
      </c>
      <c r="B2201" s="2" t="s">
        <v>6103</v>
      </c>
      <c r="C2201" s="2" t="s">
        <v>25</v>
      </c>
      <c r="D2201" s="2" t="s">
        <v>26</v>
      </c>
      <c r="E2201" s="3" t="s">
        <v>273</v>
      </c>
      <c r="F2201" s="3" t="s">
        <v>274</v>
      </c>
      <c r="G2201" s="3" t="s">
        <v>260</v>
      </c>
      <c r="H2201" s="2" t="s">
        <v>55</v>
      </c>
      <c r="I2201" s="2" t="s">
        <v>6104</v>
      </c>
      <c r="J2201" s="3" t="str">
        <f>HYPERLINK("https://www.boe.es/gazeta/dias/1809/08/13/pdfs/GMD-1809-226.pdf#page=2","Abrir facsímil")</f>
        <v>Abrir facsímil</v>
      </c>
      <c r="K2201" s="3" t="s">
        <v>57</v>
      </c>
    </row>
    <row r="2202" spans="1:11" ht="42" customHeight="1">
      <c r="A2202" s="2" t="s">
        <v>6105</v>
      </c>
      <c r="B2202" s="2" t="s">
        <v>6105</v>
      </c>
      <c r="C2202" s="2" t="s">
        <v>25</v>
      </c>
      <c r="D2202" s="2" t="s">
        <v>18</v>
      </c>
      <c r="E2202" s="3" t="s">
        <v>1594</v>
      </c>
      <c r="F2202" s="3" t="s">
        <v>1595</v>
      </c>
      <c r="G2202" s="3" t="s">
        <v>270</v>
      </c>
      <c r="H2202" s="2" t="s">
        <v>55</v>
      </c>
      <c r="I2202" s="2" t="s">
        <v>6106</v>
      </c>
      <c r="J2202" s="3" t="str">
        <f>HYPERLINK("https://www.boe.es/gazeta/dias/1809/05/31/pdfs/GMD-1809-151.pdf#page=1","Abrir facsímil")</f>
        <v>Abrir facsímil</v>
      </c>
      <c r="K2202" s="3" t="s">
        <v>57</v>
      </c>
    </row>
    <row r="2203" spans="1:11" ht="42" customHeight="1">
      <c r="A2203" s="2" t="s">
        <v>6107</v>
      </c>
      <c r="B2203" s="2" t="s">
        <v>6107</v>
      </c>
      <c r="C2203" s="2" t="s">
        <v>25</v>
      </c>
      <c r="D2203" s="2" t="s">
        <v>18</v>
      </c>
      <c r="E2203" s="3" t="s">
        <v>1667</v>
      </c>
      <c r="F2203" s="3" t="s">
        <v>1668</v>
      </c>
      <c r="G2203" s="3" t="s">
        <v>129</v>
      </c>
      <c r="H2203" s="2" t="s">
        <v>55</v>
      </c>
      <c r="I2203" s="2" t="s">
        <v>6108</v>
      </c>
      <c r="J2203" s="3" t="str">
        <f>HYPERLINK("https://www.boe.es/gazeta/dias/1809/02/21/pdfs/GMD-1809-52.pdf#page=2","Abrir facsímil")</f>
        <v>Abrir facsímil</v>
      </c>
      <c r="K2203" s="3" t="s">
        <v>57</v>
      </c>
    </row>
    <row r="2204" spans="1:11" ht="42" customHeight="1">
      <c r="A2204" s="2" t="s">
        <v>6107</v>
      </c>
      <c r="B2204" s="2" t="s">
        <v>6107</v>
      </c>
      <c r="C2204" s="2" t="s">
        <v>25</v>
      </c>
      <c r="D2204" s="2" t="s">
        <v>26</v>
      </c>
      <c r="E2204" s="3" t="s">
        <v>804</v>
      </c>
      <c r="F2204" s="3" t="s">
        <v>805</v>
      </c>
      <c r="G2204" s="3" t="s">
        <v>21</v>
      </c>
      <c r="H2204" s="2" t="s">
        <v>55</v>
      </c>
      <c r="I2204" s="2" t="s">
        <v>6109</v>
      </c>
      <c r="J2204" s="3" t="str">
        <f>HYPERLINK("https://www.boe.es/gazeta/dias/1809/03/08/pdfs/GMD-1809-67.pdf#page=2","Abrir facsímil")</f>
        <v>Abrir facsímil</v>
      </c>
      <c r="K2204" s="3" t="s">
        <v>57</v>
      </c>
    </row>
    <row r="2205" spans="1:11" ht="42" customHeight="1">
      <c r="A2205" s="2" t="s">
        <v>6107</v>
      </c>
      <c r="B2205" s="2" t="s">
        <v>6107</v>
      </c>
      <c r="C2205" s="2" t="s">
        <v>25</v>
      </c>
      <c r="D2205" s="2" t="s">
        <v>107</v>
      </c>
      <c r="E2205" s="3" t="s">
        <v>804</v>
      </c>
      <c r="F2205" s="3" t="s">
        <v>805</v>
      </c>
      <c r="G2205" s="3" t="s">
        <v>270</v>
      </c>
      <c r="H2205" s="2" t="s">
        <v>55</v>
      </c>
      <c r="I2205" s="2" t="s">
        <v>6110</v>
      </c>
      <c r="J2205" s="3" t="str">
        <f>HYPERLINK("https://www.boe.es/gazeta/dias/1809/03/08/pdfs/GMD-1809-67.pdf#page=3","Abrir facsímil")</f>
        <v>Abrir facsímil</v>
      </c>
      <c r="K2205" s="3" t="s">
        <v>57</v>
      </c>
    </row>
    <row r="2206" spans="1:11" ht="42" customHeight="1">
      <c r="A2206" s="2" t="s">
        <v>6107</v>
      </c>
      <c r="B2206" s="2" t="s">
        <v>6107</v>
      </c>
      <c r="C2206" s="2" t="s">
        <v>25</v>
      </c>
      <c r="D2206" s="2" t="s">
        <v>18</v>
      </c>
      <c r="E2206" s="3" t="s">
        <v>933</v>
      </c>
      <c r="F2206" s="3" t="s">
        <v>934</v>
      </c>
      <c r="G2206" s="3" t="s">
        <v>439</v>
      </c>
      <c r="H2206" s="2" t="s">
        <v>55</v>
      </c>
      <c r="I2206" s="2" t="s">
        <v>6111</v>
      </c>
      <c r="J2206" s="3" t="str">
        <f>HYPERLINK("https://www.boe.es/gazeta/dias/1809/10/28/pdfs/GMD-1809-302.pdf#page=2","Abrir facsímil")</f>
        <v>Abrir facsímil</v>
      </c>
      <c r="K2206" s="3" t="s">
        <v>57</v>
      </c>
    </row>
    <row r="2207" spans="1:11" ht="42" customHeight="1">
      <c r="A2207" s="2" t="s">
        <v>6112</v>
      </c>
      <c r="B2207" s="2" t="s">
        <v>6112</v>
      </c>
      <c r="C2207" s="2" t="s">
        <v>25</v>
      </c>
      <c r="D2207" s="2" t="s">
        <v>18</v>
      </c>
      <c r="E2207" s="3" t="s">
        <v>207</v>
      </c>
      <c r="F2207" s="3" t="s">
        <v>2864</v>
      </c>
      <c r="G2207" s="3" t="s">
        <v>6113</v>
      </c>
      <c r="H2207" s="2" t="s">
        <v>55</v>
      </c>
      <c r="I2207" s="2" t="s">
        <v>6114</v>
      </c>
      <c r="J2207" s="3" t="str">
        <f>HYPERLINK("https://www.boe.es/gazeta/dias/1809/09/16/pdfs/GGB-1809-202.pdf#page=3","Abrir facsímil")</f>
        <v>Abrir facsímil</v>
      </c>
      <c r="K2207" s="3" t="s">
        <v>57</v>
      </c>
    </row>
    <row r="2208" spans="1:11" ht="42" customHeight="1">
      <c r="A2208" s="2" t="s">
        <v>6115</v>
      </c>
      <c r="B2208" s="2" t="s">
        <v>6115</v>
      </c>
      <c r="C2208" s="2" t="s">
        <v>17</v>
      </c>
      <c r="D2208" s="2" t="s">
        <v>72</v>
      </c>
      <c r="E2208" s="3" t="s">
        <v>2599</v>
      </c>
      <c r="F2208" s="3" t="s">
        <v>3377</v>
      </c>
      <c r="G2208" s="3" t="s">
        <v>75</v>
      </c>
      <c r="H2208" s="2" t="s">
        <v>55</v>
      </c>
      <c r="I2208" s="2" t="s">
        <v>6116</v>
      </c>
      <c r="J2208" s="3" t="str">
        <f>HYPERLINK("https://www.boe.es/gazeta/dias/1809/05/11/pdfs/GMD-E-1809-131.pdf#page=2","Abrir facsímil")</f>
        <v>Abrir facsímil</v>
      </c>
      <c r="K2208" s="3" t="s">
        <v>57</v>
      </c>
    </row>
    <row r="2209" spans="1:11" ht="42" customHeight="1">
      <c r="A2209" s="2" t="s">
        <v>6117</v>
      </c>
      <c r="B2209" s="2" t="s">
        <v>6118</v>
      </c>
      <c r="C2209" s="2" t="s">
        <v>17</v>
      </c>
      <c r="D2209" s="2" t="s">
        <v>18</v>
      </c>
      <c r="E2209" s="3" t="s">
        <v>347</v>
      </c>
      <c r="F2209" s="3" t="s">
        <v>348</v>
      </c>
      <c r="G2209" s="3" t="s">
        <v>270</v>
      </c>
      <c r="H2209" s="2" t="s">
        <v>55</v>
      </c>
      <c r="I2209" s="2" t="s">
        <v>6119</v>
      </c>
      <c r="J2209" s="3" t="str">
        <f>HYPERLINK("https://www.boe.es/gazeta/dias/1809/03/07/pdfs/GMD-1809-66.pdf#page=4","Abrir facsímil")</f>
        <v>Abrir facsímil</v>
      </c>
      <c r="K2209" s="3" t="s">
        <v>57</v>
      </c>
    </row>
    <row r="2210" spans="1:11" ht="42" customHeight="1">
      <c r="A2210" s="2" t="s">
        <v>6120</v>
      </c>
      <c r="B2210" s="2" t="s">
        <v>6121</v>
      </c>
      <c r="C2210" s="2" t="s">
        <v>25</v>
      </c>
      <c r="D2210" s="2" t="s">
        <v>26</v>
      </c>
      <c r="E2210" s="3" t="s">
        <v>1761</v>
      </c>
      <c r="F2210" s="3" t="s">
        <v>1762</v>
      </c>
      <c r="G2210" s="3" t="s">
        <v>1152</v>
      </c>
      <c r="H2210" s="2" t="s">
        <v>55</v>
      </c>
      <c r="I2210" s="2" t="s">
        <v>6122</v>
      </c>
      <c r="J2210" s="3" t="str">
        <f>HYPERLINK("https://www.boe.es/gazeta/dias/1809/10/18/pdfs/GMD-1809-292.pdf#page=4","Abrir facsímil")</f>
        <v>Abrir facsímil</v>
      </c>
      <c r="K2210" s="3" t="s">
        <v>57</v>
      </c>
    </row>
    <row r="2211" spans="1:11" ht="42" customHeight="1">
      <c r="A2211" s="2" t="s">
        <v>6123</v>
      </c>
      <c r="B2211" s="2" t="s">
        <v>6123</v>
      </c>
      <c r="C2211" s="2" t="s">
        <v>25</v>
      </c>
      <c r="D2211" s="2" t="s">
        <v>26</v>
      </c>
      <c r="E2211" s="3" t="s">
        <v>41</v>
      </c>
      <c r="F2211" s="3" t="s">
        <v>42</v>
      </c>
      <c r="G2211" s="3" t="s">
        <v>6124</v>
      </c>
      <c r="H2211" s="2" t="s">
        <v>55</v>
      </c>
      <c r="I2211" s="2" t="s">
        <v>6125</v>
      </c>
      <c r="J2211" s="3" t="str">
        <f>HYPERLINK("https://www.boe.es/gazeta/dias/1809/03/11/pdfs/GMD-1809-70.pdf#page=2","Abrir facsímil")</f>
        <v>Abrir facsímil</v>
      </c>
      <c r="K2211" s="3" t="s">
        <v>57</v>
      </c>
    </row>
    <row r="2212" spans="1:11" ht="42" customHeight="1">
      <c r="A2212" s="2" t="s">
        <v>6126</v>
      </c>
      <c r="B2212" s="2" t="s">
        <v>6126</v>
      </c>
      <c r="C2212" s="2" t="s">
        <v>25</v>
      </c>
      <c r="D2212" s="2" t="s">
        <v>18</v>
      </c>
      <c r="E2212" s="3" t="s">
        <v>974</v>
      </c>
      <c r="F2212" s="3" t="s">
        <v>975</v>
      </c>
      <c r="G2212" s="3" t="s">
        <v>6127</v>
      </c>
      <c r="H2212" s="2" t="s">
        <v>55</v>
      </c>
      <c r="I2212" s="2" t="s">
        <v>6128</v>
      </c>
      <c r="J2212" s="3" t="str">
        <f>HYPERLINK("https://www.boe.es/gazeta/dias/1809/11/14/pdfs/GGB-1809-452.pdf#page=5","Abrir facsímil")</f>
        <v>Abrir facsímil</v>
      </c>
      <c r="K2212" s="3" t="s">
        <v>57</v>
      </c>
    </row>
    <row r="2213" spans="1:11" ht="42" customHeight="1">
      <c r="A2213" s="2" t="s">
        <v>6129</v>
      </c>
      <c r="B2213" s="2" t="s">
        <v>6130</v>
      </c>
      <c r="C2213" s="2" t="s">
        <v>25</v>
      </c>
      <c r="D2213" s="2" t="s">
        <v>18</v>
      </c>
      <c r="E2213" s="3" t="s">
        <v>163</v>
      </c>
      <c r="F2213" s="3" t="s">
        <v>478</v>
      </c>
      <c r="G2213" s="3" t="s">
        <v>1729</v>
      </c>
      <c r="H2213" s="2" t="s">
        <v>55</v>
      </c>
      <c r="I2213" s="2" t="s">
        <v>6131</v>
      </c>
      <c r="J2213" s="3" t="str">
        <f>HYPERLINK("https://www.boe.es/gazeta/dias/1809/03/10/pdfs/GGB-1809-11.pdf#page=13","Abrir facsímil")</f>
        <v>Abrir facsímil</v>
      </c>
      <c r="K2213" s="3" t="s">
        <v>57</v>
      </c>
    </row>
    <row r="2214" spans="1:11" ht="42" customHeight="1">
      <c r="A2214" s="2" t="s">
        <v>6132</v>
      </c>
      <c r="B2214" s="2" t="s">
        <v>6132</v>
      </c>
      <c r="C2214" s="2" t="s">
        <v>25</v>
      </c>
      <c r="D2214" s="2" t="s">
        <v>107</v>
      </c>
      <c r="E2214" s="3" t="s">
        <v>1053</v>
      </c>
      <c r="F2214" s="3" t="s">
        <v>1054</v>
      </c>
      <c r="G2214" s="3" t="s">
        <v>120</v>
      </c>
      <c r="H2214" s="2" t="s">
        <v>55</v>
      </c>
      <c r="I2214" s="2" t="s">
        <v>6133</v>
      </c>
      <c r="J2214" s="3" t="str">
        <f>HYPERLINK("https://www.boe.es/gazeta/dias/1809/05/13/pdfs/GMD-1809-133.pdf#page=1","Abrir facsímil")</f>
        <v>Abrir facsímil</v>
      </c>
      <c r="K2214" s="3" t="s">
        <v>57</v>
      </c>
    </row>
    <row r="2215" spans="1:11" ht="42" customHeight="1">
      <c r="A2215" s="2" t="s">
        <v>6134</v>
      </c>
      <c r="B2215" s="2" t="s">
        <v>6135</v>
      </c>
      <c r="C2215" s="2" t="s">
        <v>369</v>
      </c>
      <c r="D2215" s="2" t="s">
        <v>18</v>
      </c>
      <c r="E2215" s="3" t="s">
        <v>1954</v>
      </c>
      <c r="F2215" s="3" t="s">
        <v>1955</v>
      </c>
      <c r="G2215" s="3" t="s">
        <v>1956</v>
      </c>
      <c r="H2215" s="2" t="s">
        <v>55</v>
      </c>
      <c r="I2215" s="2" t="s">
        <v>6136</v>
      </c>
      <c r="J2215" s="3" t="str">
        <f>HYPERLINK("https://www.boe.es/gazeta/dias/1809/11/08/pdfs/GMD-1809-313.pdf#page=4","Abrir facsímil")</f>
        <v>Abrir facsímil</v>
      </c>
      <c r="K2215" s="3" t="s">
        <v>57</v>
      </c>
    </row>
    <row r="2216" spans="1:11" ht="42" customHeight="1">
      <c r="A2216" s="2" t="s">
        <v>6137</v>
      </c>
      <c r="B2216" s="2" t="s">
        <v>6137</v>
      </c>
      <c r="C2216" s="2" t="s">
        <v>25</v>
      </c>
      <c r="D2216" s="2" t="s">
        <v>26</v>
      </c>
      <c r="E2216" s="3" t="s">
        <v>776</v>
      </c>
      <c r="F2216" s="3" t="s">
        <v>6138</v>
      </c>
      <c r="G2216" s="3" t="s">
        <v>5377</v>
      </c>
      <c r="H2216" s="2" t="s">
        <v>55</v>
      </c>
      <c r="I2216" s="2" t="s">
        <v>6139</v>
      </c>
      <c r="J2216" s="3" t="str">
        <f>HYPERLINK("https://www.boe.es/gazeta/dias/1809/05/28/pdfs/GMD-1809-148.pdf#page=2","Abrir facsímil")</f>
        <v>Abrir facsímil</v>
      </c>
      <c r="K2216" s="3" t="s">
        <v>57</v>
      </c>
    </row>
    <row r="2217" spans="1:11" ht="42" customHeight="1">
      <c r="A2217" s="2" t="s">
        <v>6140</v>
      </c>
      <c r="B2217" s="2" t="s">
        <v>6140</v>
      </c>
      <c r="C2217" s="2" t="s">
        <v>17</v>
      </c>
      <c r="D2217" s="2" t="s">
        <v>18</v>
      </c>
      <c r="E2217" s="3" t="s">
        <v>6141</v>
      </c>
      <c r="F2217" s="3" t="s">
        <v>6142</v>
      </c>
      <c r="G2217" s="3" t="s">
        <v>75</v>
      </c>
      <c r="H2217" s="2" t="s">
        <v>55</v>
      </c>
      <c r="I2217" s="2" t="s">
        <v>6143</v>
      </c>
      <c r="J2217" s="3" t="str">
        <f>HYPERLINK("https://www.boe.es/gazeta/dias/1809/12/12/pdfs/GMD-1809-347.pdf#page=2","Abrir facsímil")</f>
        <v>Abrir facsímil</v>
      </c>
      <c r="K2217" s="3" t="s">
        <v>57</v>
      </c>
    </row>
    <row r="2218" spans="1:11" ht="42" customHeight="1">
      <c r="A2218" s="2" t="s">
        <v>6144</v>
      </c>
      <c r="B2218" s="2" t="s">
        <v>6144</v>
      </c>
      <c r="C2218" s="2" t="s">
        <v>17</v>
      </c>
      <c r="D2218" s="2" t="s">
        <v>18</v>
      </c>
      <c r="E2218" s="3" t="s">
        <v>864</v>
      </c>
      <c r="F2218" s="3" t="s">
        <v>865</v>
      </c>
      <c r="G2218" s="3" t="s">
        <v>225</v>
      </c>
      <c r="H2218" s="2" t="s">
        <v>55</v>
      </c>
      <c r="I2218" s="2" t="s">
        <v>6145</v>
      </c>
      <c r="J2218" s="3" t="str">
        <f>HYPERLINK("https://www.boe.es/gazeta/dias/1809/08/31/pdfs/GMD-1809-244.pdf#page=4","Abrir facsímil")</f>
        <v>Abrir facsímil</v>
      </c>
      <c r="K2218" s="3" t="s">
        <v>57</v>
      </c>
    </row>
    <row r="2219" spans="1:11" ht="42" customHeight="1">
      <c r="A2219" s="2" t="s">
        <v>6144</v>
      </c>
      <c r="B2219" s="2" t="s">
        <v>6144</v>
      </c>
      <c r="C2219" s="2" t="s">
        <v>25</v>
      </c>
      <c r="D2219" s="2" t="s">
        <v>18</v>
      </c>
      <c r="E2219" s="3" t="s">
        <v>473</v>
      </c>
      <c r="F2219" s="3" t="s">
        <v>474</v>
      </c>
      <c r="G2219" s="3" t="s">
        <v>234</v>
      </c>
      <c r="H2219" s="2" t="s">
        <v>55</v>
      </c>
      <c r="I2219" s="2" t="s">
        <v>6146</v>
      </c>
      <c r="J2219" s="3" t="str">
        <f>HYPERLINK("https://www.boe.es/gazeta/dias/1809/12/28/pdfs/GMD-1809-363.pdf#page=3","Abrir facsímil")</f>
        <v>Abrir facsímil</v>
      </c>
      <c r="K2219" s="3" t="s">
        <v>57</v>
      </c>
    </row>
    <row r="2220" spans="1:11" ht="42" customHeight="1">
      <c r="A2220" s="2" t="s">
        <v>6147</v>
      </c>
      <c r="B2220" s="2" t="s">
        <v>6148</v>
      </c>
      <c r="C2220" s="2" t="s">
        <v>25</v>
      </c>
      <c r="D2220" s="2" t="s">
        <v>72</v>
      </c>
      <c r="E2220" s="3" t="s">
        <v>143</v>
      </c>
      <c r="F2220" s="3" t="s">
        <v>705</v>
      </c>
      <c r="G2220" s="3" t="s">
        <v>225</v>
      </c>
      <c r="H2220" s="2" t="s">
        <v>22</v>
      </c>
      <c r="I2220" s="2" t="s">
        <v>6149</v>
      </c>
      <c r="J2220" s="3" t="str">
        <f>HYPERLINK("https://www.boe.es/gazeta/dias/1809/11/16/pdfs/GGB-H-1809-462.pdf#page=4","Abrir facsímil")</f>
        <v>Abrir facsímil</v>
      </c>
      <c r="K2220" s="3" t="s">
        <v>24</v>
      </c>
    </row>
    <row r="2221" spans="1:11" ht="42" customHeight="1">
      <c r="A2221" s="2" t="s">
        <v>6150</v>
      </c>
      <c r="B2221" s="2" t="s">
        <v>6151</v>
      </c>
      <c r="C2221" s="2" t="s">
        <v>369</v>
      </c>
      <c r="D2221" s="2" t="s">
        <v>40</v>
      </c>
      <c r="E2221" s="3" t="s">
        <v>1132</v>
      </c>
      <c r="F2221" s="3" t="s">
        <v>1133</v>
      </c>
      <c r="G2221" s="3" t="s">
        <v>1367</v>
      </c>
      <c r="H2221" s="2" t="s">
        <v>55</v>
      </c>
      <c r="I2221" s="2" t="s">
        <v>6152</v>
      </c>
      <c r="J2221" s="3" t="str">
        <f>HYPERLINK("https://www.boe.es/gazeta/dias/1809/11/11/pdfs/GGB-1809-442.pdf#page=8","Abrir facsímil")</f>
        <v>Abrir facsímil</v>
      </c>
      <c r="K2221" s="3" t="s">
        <v>57</v>
      </c>
    </row>
    <row r="2222" spans="1:11" ht="42" customHeight="1">
      <c r="A2222" s="2" t="s">
        <v>6153</v>
      </c>
      <c r="B2222" s="2" t="s">
        <v>6153</v>
      </c>
      <c r="C2222" s="2" t="s">
        <v>288</v>
      </c>
      <c r="D2222" s="2" t="s">
        <v>18</v>
      </c>
      <c r="E2222" s="3" t="s">
        <v>599</v>
      </c>
      <c r="F2222" s="3" t="s">
        <v>600</v>
      </c>
      <c r="G2222" s="3" t="s">
        <v>601</v>
      </c>
      <c r="H2222" s="2" t="s">
        <v>55</v>
      </c>
      <c r="I2222" s="2" t="s">
        <v>6154</v>
      </c>
      <c r="J2222" s="3" t="str">
        <f>HYPERLINK("https://www.boe.es/gazeta/dias/1809/01/19/pdfs/GMD-1809-19.pdf#page=4","Abrir facsímil")</f>
        <v>Abrir facsímil</v>
      </c>
      <c r="K2222" s="3" t="s">
        <v>57</v>
      </c>
    </row>
    <row r="2223" spans="1:11" ht="42" customHeight="1">
      <c r="A2223" s="2" t="s">
        <v>6155</v>
      </c>
      <c r="B2223" s="2" t="s">
        <v>6155</v>
      </c>
      <c r="C2223" s="2" t="s">
        <v>17</v>
      </c>
      <c r="D2223" s="2" t="s">
        <v>18</v>
      </c>
      <c r="E2223" s="3" t="s">
        <v>305</v>
      </c>
      <c r="F2223" s="3" t="s">
        <v>306</v>
      </c>
      <c r="G2223" s="3" t="s">
        <v>29</v>
      </c>
      <c r="H2223" s="2" t="s">
        <v>55</v>
      </c>
      <c r="I2223" s="2" t="s">
        <v>6156</v>
      </c>
      <c r="J2223" s="3" t="str">
        <f>HYPERLINK("https://www.boe.es/gazeta/dias/1809/10/20/pdfs/GMD-1809-294.pdf#page=3","Abrir facsímil")</f>
        <v>Abrir facsímil</v>
      </c>
      <c r="K2223" s="3" t="s">
        <v>57</v>
      </c>
    </row>
    <row r="2224" spans="1:11" ht="42" customHeight="1">
      <c r="A2224" s="2" t="s">
        <v>6157</v>
      </c>
      <c r="B2224" s="2" t="s">
        <v>6157</v>
      </c>
      <c r="C2224" s="2" t="s">
        <v>25</v>
      </c>
      <c r="D2224" s="2" t="s">
        <v>18</v>
      </c>
      <c r="E2224" s="3" t="s">
        <v>2808</v>
      </c>
      <c r="F2224" s="3" t="s">
        <v>2809</v>
      </c>
      <c r="G2224" s="3" t="s">
        <v>1424</v>
      </c>
      <c r="H2224" s="2" t="s">
        <v>55</v>
      </c>
      <c r="I2224" s="2" t="s">
        <v>6158</v>
      </c>
      <c r="J2224" s="3" t="str">
        <f>HYPERLINK("https://www.boe.es/gazeta/dias/1809/10/06/pdfs/GMD-1809-280.pdf#page=1","Abrir facsímil")</f>
        <v>Abrir facsímil</v>
      </c>
      <c r="K2224" s="3" t="s">
        <v>57</v>
      </c>
    </row>
    <row r="2225" spans="1:11" ht="42" customHeight="1">
      <c r="A2225" s="2" t="s">
        <v>6159</v>
      </c>
      <c r="B2225" s="2" t="s">
        <v>6159</v>
      </c>
      <c r="C2225" s="2" t="s">
        <v>25</v>
      </c>
      <c r="D2225" s="2" t="s">
        <v>18</v>
      </c>
      <c r="E2225" s="3" t="s">
        <v>370</v>
      </c>
      <c r="F2225" s="3" t="s">
        <v>371</v>
      </c>
      <c r="G2225" s="3" t="s">
        <v>239</v>
      </c>
      <c r="H2225" s="2" t="s">
        <v>55</v>
      </c>
      <c r="I2225" s="2" t="s">
        <v>6160</v>
      </c>
      <c r="J2225" s="3" t="str">
        <f>HYPERLINK("https://www.boe.es/gazeta/dias/1809/08/20/pdfs/GMD-1809-233.pdf#page=1","Abrir facsímil")</f>
        <v>Abrir facsímil</v>
      </c>
      <c r="K2225" s="3" t="s">
        <v>57</v>
      </c>
    </row>
    <row r="2226" spans="1:11" ht="42" customHeight="1">
      <c r="A2226" s="2" t="s">
        <v>6161</v>
      </c>
      <c r="B2226" s="2" t="s">
        <v>6161</v>
      </c>
      <c r="C2226" s="2" t="s">
        <v>131</v>
      </c>
      <c r="D2226" s="2" t="s">
        <v>18</v>
      </c>
      <c r="E2226" s="3" t="s">
        <v>464</v>
      </c>
      <c r="F2226" s="3" t="s">
        <v>465</v>
      </c>
      <c r="G2226" s="3" t="s">
        <v>3066</v>
      </c>
      <c r="H2226" s="2" t="s">
        <v>55</v>
      </c>
      <c r="I2226" s="2" t="s">
        <v>6162</v>
      </c>
      <c r="J2226" s="3" t="str">
        <f>HYPERLINK("https://www.boe.es/gazeta/dias/1809/07/05/pdfs/GMD-1809-186.pdf#page=1","Abrir facsímil")</f>
        <v>Abrir facsímil</v>
      </c>
      <c r="K2226" s="3" t="s">
        <v>57</v>
      </c>
    </row>
    <row r="2227" spans="1:11" ht="42" customHeight="1">
      <c r="A2227" s="2" t="s">
        <v>6163</v>
      </c>
      <c r="B2227" s="2" t="s">
        <v>6164</v>
      </c>
      <c r="C2227" s="2" t="s">
        <v>131</v>
      </c>
      <c r="D2227" s="2" t="s">
        <v>18</v>
      </c>
      <c r="E2227" s="3" t="s">
        <v>102</v>
      </c>
      <c r="F2227" s="3" t="s">
        <v>1095</v>
      </c>
      <c r="G2227" s="3" t="s">
        <v>75</v>
      </c>
      <c r="H2227" s="2" t="s">
        <v>55</v>
      </c>
      <c r="I2227" s="2" t="s">
        <v>6165</v>
      </c>
      <c r="J2227" s="3" t="str">
        <f>HYPERLINK("https://www.boe.es/gazeta/dias/1809/09/28/pdfs/GMD-1809-272.pdf#page=2","Abrir facsímil")</f>
        <v>Abrir facsímil</v>
      </c>
      <c r="K2227" s="3" t="s">
        <v>57</v>
      </c>
    </row>
    <row r="2228" spans="1:11" ht="42" customHeight="1">
      <c r="A2228" s="2" t="s">
        <v>6166</v>
      </c>
      <c r="B2228" s="2" t="s">
        <v>6166</v>
      </c>
      <c r="C2228" s="2" t="s">
        <v>25</v>
      </c>
      <c r="D2228" s="2" t="s">
        <v>18</v>
      </c>
      <c r="E2228" s="3" t="s">
        <v>381</v>
      </c>
      <c r="F2228" s="3" t="s">
        <v>382</v>
      </c>
      <c r="G2228" s="3" t="s">
        <v>75</v>
      </c>
      <c r="H2228" s="2" t="s">
        <v>55</v>
      </c>
      <c r="I2228" s="2" t="s">
        <v>6167</v>
      </c>
      <c r="J2228" s="3" t="str">
        <f>HYPERLINK("https://www.boe.es/gazeta/dias/1809/06/27/pdfs/GMD-1809-178.pdf#page=2","Abrir facsímil")</f>
        <v>Abrir facsímil</v>
      </c>
      <c r="K2228" s="3" t="s">
        <v>57</v>
      </c>
    </row>
    <row r="2229" spans="1:11" ht="42" customHeight="1">
      <c r="A2229" s="2" t="s">
        <v>6168</v>
      </c>
      <c r="B2229" s="2" t="s">
        <v>6168</v>
      </c>
      <c r="C2229" s="2" t="s">
        <v>25</v>
      </c>
      <c r="D2229" s="2" t="s">
        <v>26</v>
      </c>
      <c r="E2229" s="3" t="s">
        <v>163</v>
      </c>
      <c r="F2229" s="3" t="s">
        <v>164</v>
      </c>
      <c r="G2229" s="3" t="s">
        <v>21</v>
      </c>
      <c r="H2229" s="2" t="s">
        <v>55</v>
      </c>
      <c r="I2229" s="2" t="s">
        <v>6169</v>
      </c>
      <c r="J2229" s="3" t="str">
        <f>HYPERLINK("https://www.boe.es/gazeta/dias/1809/03/10/pdfs/GGB-H-1809-11.pdf#page=8","Abrir facsímil")</f>
        <v>Abrir facsímil</v>
      </c>
      <c r="K2229" s="3" t="s">
        <v>57</v>
      </c>
    </row>
    <row r="2230" spans="1:11" ht="42" customHeight="1">
      <c r="A2230" s="2" t="s">
        <v>6168</v>
      </c>
      <c r="B2230" s="2" t="s">
        <v>6168</v>
      </c>
      <c r="C2230" s="2" t="s">
        <v>25</v>
      </c>
      <c r="D2230" s="2" t="s">
        <v>26</v>
      </c>
      <c r="E2230" s="3" t="s">
        <v>196</v>
      </c>
      <c r="F2230" s="3" t="s">
        <v>197</v>
      </c>
      <c r="G2230" s="3" t="s">
        <v>374</v>
      </c>
      <c r="H2230" s="2" t="s">
        <v>55</v>
      </c>
      <c r="I2230" s="2" t="s">
        <v>6170</v>
      </c>
      <c r="J2230" s="3" t="str">
        <f>HYPERLINK("https://www.boe.es/gazeta/dias/1809/09/04/pdfs/GMD-1809-248.pdf#page=2","Abrir facsímil")</f>
        <v>Abrir facsímil</v>
      </c>
      <c r="K2230" s="3" t="s">
        <v>57</v>
      </c>
    </row>
    <row r="2231" spans="1:11" ht="42" customHeight="1">
      <c r="A2231" s="2" t="s">
        <v>6168</v>
      </c>
      <c r="B2231" s="2" t="s">
        <v>6168</v>
      </c>
      <c r="C2231" s="2" t="s">
        <v>25</v>
      </c>
      <c r="D2231" s="2" t="s">
        <v>18</v>
      </c>
      <c r="E2231" s="3" t="s">
        <v>211</v>
      </c>
      <c r="F2231" s="3" t="s">
        <v>212</v>
      </c>
      <c r="G2231" s="3" t="s">
        <v>29</v>
      </c>
      <c r="H2231" s="2" t="s">
        <v>55</v>
      </c>
      <c r="I2231" s="2" t="s">
        <v>6171</v>
      </c>
      <c r="J2231" s="3" t="str">
        <f>HYPERLINK("https://www.boe.es/gazeta/dias/1809/10/27/pdfs/GMD-1809-301.pdf#page=3","Abrir facsímil")</f>
        <v>Abrir facsímil</v>
      </c>
      <c r="K2231" s="3" t="s">
        <v>57</v>
      </c>
    </row>
    <row r="2232" spans="1:11" ht="42" customHeight="1">
      <c r="A2232" s="2" t="s">
        <v>6168</v>
      </c>
      <c r="B2232" s="2" t="s">
        <v>6168</v>
      </c>
      <c r="C2232" s="2" t="s">
        <v>25</v>
      </c>
      <c r="D2232" s="2" t="s">
        <v>26</v>
      </c>
      <c r="E2232" s="3" t="s">
        <v>216</v>
      </c>
      <c r="F2232" s="3" t="s">
        <v>217</v>
      </c>
      <c r="G2232" s="3" t="s">
        <v>587</v>
      </c>
      <c r="H2232" s="2" t="s">
        <v>55</v>
      </c>
      <c r="I2232" s="2" t="s">
        <v>6172</v>
      </c>
      <c r="J2232" s="3" t="str">
        <f>HYPERLINK("https://www.boe.es/gazeta/dias/1809/12/05/pdfs/GGB-H-1809-542.pdf#page=4","Abrir facsímil")</f>
        <v>Abrir facsímil</v>
      </c>
      <c r="K2232" s="3" t="s">
        <v>57</v>
      </c>
    </row>
    <row r="2233" spans="1:11" ht="42" customHeight="1">
      <c r="A2233" s="2" t="s">
        <v>6168</v>
      </c>
      <c r="B2233" s="2" t="s">
        <v>6168</v>
      </c>
      <c r="C2233" s="2" t="s">
        <v>25</v>
      </c>
      <c r="D2233" s="2" t="s">
        <v>26</v>
      </c>
      <c r="E2233" s="3" t="s">
        <v>216</v>
      </c>
      <c r="F2233" s="3" t="s">
        <v>217</v>
      </c>
      <c r="G2233" s="3" t="s">
        <v>94</v>
      </c>
      <c r="H2233" s="2" t="s">
        <v>55</v>
      </c>
      <c r="I2233" s="2" t="s">
        <v>6173</v>
      </c>
      <c r="J2233" s="3" t="str">
        <f>HYPERLINK("https://www.boe.es/gazeta/dias/1809/12/05/pdfs/GGB-H-1809-542.pdf#page=5","Abrir facsímil")</f>
        <v>Abrir facsímil</v>
      </c>
      <c r="K2233" s="3" t="s">
        <v>57</v>
      </c>
    </row>
    <row r="2234" spans="1:11" ht="42" customHeight="1">
      <c r="A2234" s="2" t="s">
        <v>6174</v>
      </c>
      <c r="B2234" s="2" t="s">
        <v>6174</v>
      </c>
      <c r="C2234" s="2" t="s">
        <v>25</v>
      </c>
      <c r="D2234" s="2" t="s">
        <v>107</v>
      </c>
      <c r="E2234" s="3" t="s">
        <v>2051</v>
      </c>
      <c r="F2234" s="3" t="s">
        <v>2052</v>
      </c>
      <c r="G2234" s="3" t="s">
        <v>75</v>
      </c>
      <c r="H2234" s="2" t="s">
        <v>55</v>
      </c>
      <c r="I2234" s="2" t="s">
        <v>6175</v>
      </c>
      <c r="J2234" s="3" t="str">
        <f>HYPERLINK("https://www.boe.es/gazeta/dias/1809/07/19/pdfs/GMD-1809-200.pdf#page=3","Abrir facsímil")</f>
        <v>Abrir facsímil</v>
      </c>
      <c r="K2234" s="3" t="s">
        <v>57</v>
      </c>
    </row>
    <row r="2235" spans="1:11" ht="42" customHeight="1">
      <c r="A2235" s="2" t="s">
        <v>6174</v>
      </c>
      <c r="B2235" s="2" t="s">
        <v>6174</v>
      </c>
      <c r="C2235" s="2" t="s">
        <v>25</v>
      </c>
      <c r="D2235" s="2" t="s">
        <v>26</v>
      </c>
      <c r="E2235" s="3" t="s">
        <v>118</v>
      </c>
      <c r="F2235" s="3" t="s">
        <v>119</v>
      </c>
      <c r="G2235" s="3" t="s">
        <v>120</v>
      </c>
      <c r="H2235" s="2" t="s">
        <v>55</v>
      </c>
      <c r="I2235" s="2" t="s">
        <v>6176</v>
      </c>
      <c r="J2235" s="3" t="str">
        <f>HYPERLINK("https://www.boe.es/gazeta/dias/1809/09/07/pdfs/GMD-1809-251.pdf#page=1","Abrir facsímil")</f>
        <v>Abrir facsímil</v>
      </c>
      <c r="K2235" s="3" t="s">
        <v>57</v>
      </c>
    </row>
    <row r="2236" spans="1:11" ht="42" customHeight="1">
      <c r="A2236" s="2" t="s">
        <v>6177</v>
      </c>
      <c r="B2236" s="2" t="s">
        <v>6178</v>
      </c>
      <c r="C2236" s="2" t="s">
        <v>17</v>
      </c>
      <c r="D2236" s="2" t="s">
        <v>80</v>
      </c>
      <c r="E2236" s="3" t="s">
        <v>1608</v>
      </c>
      <c r="F2236" s="3" t="s">
        <v>1609</v>
      </c>
      <c r="G2236" s="3" t="s">
        <v>2814</v>
      </c>
      <c r="H2236" s="2" t="s">
        <v>55</v>
      </c>
      <c r="I2236" s="2" t="s">
        <v>6179</v>
      </c>
      <c r="J2236" s="3" t="str">
        <f>HYPERLINK("https://www.boe.es/gazeta/dias/1809/04/15/pdfs/GGB-1809-18E.pdf#page=1","Abrir facsímil")</f>
        <v>Abrir facsímil</v>
      </c>
      <c r="K2236" s="3" t="s">
        <v>57</v>
      </c>
    </row>
    <row r="2237" spans="1:11" ht="42" customHeight="1">
      <c r="A2237" s="2" t="s">
        <v>6180</v>
      </c>
      <c r="B2237" s="2" t="s">
        <v>6181</v>
      </c>
      <c r="C2237" s="2" t="s">
        <v>17</v>
      </c>
      <c r="D2237" s="2" t="s">
        <v>18</v>
      </c>
      <c r="E2237" s="3" t="s">
        <v>1954</v>
      </c>
      <c r="F2237" s="3" t="s">
        <v>1955</v>
      </c>
      <c r="G2237" s="3" t="s">
        <v>1956</v>
      </c>
      <c r="H2237" s="2" t="s">
        <v>55</v>
      </c>
      <c r="I2237" s="2" t="s">
        <v>6182</v>
      </c>
      <c r="J2237" s="3" t="str">
        <f>HYPERLINK("https://www.boe.es/gazeta/dias/1809/11/08/pdfs/GMD-1809-313.pdf#page=4","Abrir facsímil")</f>
        <v>Abrir facsímil</v>
      </c>
      <c r="K2237" s="3" t="s">
        <v>57</v>
      </c>
    </row>
    <row r="2238" spans="1:11" ht="42" customHeight="1">
      <c r="A2238" s="2" t="s">
        <v>6183</v>
      </c>
      <c r="B2238" s="2" t="s">
        <v>6184</v>
      </c>
      <c r="C2238" s="2" t="s">
        <v>131</v>
      </c>
      <c r="D2238" s="2" t="s">
        <v>26</v>
      </c>
      <c r="E2238" s="3" t="s">
        <v>278</v>
      </c>
      <c r="F2238" s="3" t="s">
        <v>279</v>
      </c>
      <c r="G2238" s="3" t="s">
        <v>1680</v>
      </c>
      <c r="H2238" s="2" t="s">
        <v>55</v>
      </c>
      <c r="I2238" s="2" t="s">
        <v>6185</v>
      </c>
      <c r="J2238" s="3" t="str">
        <f>HYPERLINK("https://www.boe.es/gazeta/dias/1809/03/26/pdfs/GMD-1809-85.pdf#page=4","Abrir facsímil")</f>
        <v>Abrir facsímil</v>
      </c>
      <c r="K2238" s="3" t="s">
        <v>57</v>
      </c>
    </row>
    <row r="2239" spans="1:11" ht="42" customHeight="1">
      <c r="A2239" s="2" t="s">
        <v>6186</v>
      </c>
      <c r="B2239" s="2" t="s">
        <v>6187</v>
      </c>
      <c r="C2239" s="2" t="s">
        <v>17</v>
      </c>
      <c r="D2239" s="2" t="s">
        <v>72</v>
      </c>
      <c r="E2239" s="3" t="s">
        <v>720</v>
      </c>
      <c r="F2239" s="3" t="s">
        <v>721</v>
      </c>
      <c r="G2239" s="3" t="s">
        <v>62</v>
      </c>
      <c r="H2239" s="2" t="s">
        <v>55</v>
      </c>
      <c r="I2239" s="2" t="s">
        <v>6188</v>
      </c>
      <c r="J2239" s="3" t="str">
        <f>HYPERLINK("https://www.boe.es/gazeta/dias/1809/01/27/pdfs/GGB-G-1809-5.pdf#page=8","Abrir facsímil")</f>
        <v>Abrir facsímil</v>
      </c>
      <c r="K2239" s="3" t="s">
        <v>57</v>
      </c>
    </row>
    <row r="2240" spans="1:11" ht="42" customHeight="1">
      <c r="A2240" s="2" t="s">
        <v>6189</v>
      </c>
      <c r="B2240" s="2" t="s">
        <v>6190</v>
      </c>
      <c r="C2240" s="2" t="s">
        <v>17</v>
      </c>
      <c r="D2240" s="2" t="s">
        <v>18</v>
      </c>
      <c r="E2240" s="3" t="s">
        <v>1468</v>
      </c>
      <c r="F2240" s="3" t="s">
        <v>1469</v>
      </c>
      <c r="G2240" s="3" t="s">
        <v>4249</v>
      </c>
      <c r="H2240" s="2" t="s">
        <v>55</v>
      </c>
      <c r="I2240" s="2" t="s">
        <v>6191</v>
      </c>
      <c r="J2240" s="3" t="str">
        <f>HYPERLINK("https://www.boe.es/gazeta/dias/1809/02/12/pdfs/GMD-1809-43.pdf#page=8","Abrir facsímil")</f>
        <v>Abrir facsímil</v>
      </c>
      <c r="K2240" s="3" t="s">
        <v>57</v>
      </c>
    </row>
    <row r="2241" spans="1:11" ht="42" customHeight="1">
      <c r="A2241" s="2" t="s">
        <v>6192</v>
      </c>
      <c r="B2241" s="2" t="s">
        <v>6193</v>
      </c>
      <c r="C2241" s="2" t="s">
        <v>369</v>
      </c>
      <c r="D2241" s="2" t="s">
        <v>18</v>
      </c>
      <c r="E2241" s="3" t="s">
        <v>278</v>
      </c>
      <c r="F2241" s="3" t="s">
        <v>279</v>
      </c>
      <c r="G2241" s="3" t="s">
        <v>1680</v>
      </c>
      <c r="H2241" s="2" t="s">
        <v>55</v>
      </c>
      <c r="I2241" s="2" t="s">
        <v>6194</v>
      </c>
      <c r="J2241" s="3" t="str">
        <f>HYPERLINK("https://www.boe.es/gazeta/dias/1809/03/26/pdfs/GMD-1809-85.pdf#page=4","Abrir facsímil")</f>
        <v>Abrir facsímil</v>
      </c>
      <c r="K2241" s="3" t="s">
        <v>57</v>
      </c>
    </row>
    <row r="2242" spans="1:11" ht="42" customHeight="1">
      <c r="A2242" s="2" t="s">
        <v>6195</v>
      </c>
      <c r="B2242" s="2" t="s">
        <v>6196</v>
      </c>
      <c r="C2242" s="2" t="s">
        <v>2176</v>
      </c>
      <c r="D2242" s="2" t="s">
        <v>18</v>
      </c>
      <c r="E2242" s="3" t="s">
        <v>33</v>
      </c>
      <c r="F2242" s="3" t="s">
        <v>34</v>
      </c>
      <c r="G2242" s="3" t="s">
        <v>35</v>
      </c>
      <c r="H2242" s="2" t="s">
        <v>55</v>
      </c>
      <c r="I2242" s="2" t="s">
        <v>6197</v>
      </c>
      <c r="J2242" s="3" t="str">
        <f>HYPERLINK("https://www.boe.es/gazeta/dias/1809/12/19/pdfs/GGB-1809-602.pdf#page=5","Abrir facsímil")</f>
        <v>Abrir facsímil</v>
      </c>
      <c r="K2242" s="3" t="s">
        <v>57</v>
      </c>
    </row>
    <row r="2243" spans="1:11" ht="42" customHeight="1">
      <c r="A2243" s="2" t="s">
        <v>6198</v>
      </c>
      <c r="B2243" s="2" t="s">
        <v>6199</v>
      </c>
      <c r="C2243" s="2" t="s">
        <v>17</v>
      </c>
      <c r="D2243" s="2" t="s">
        <v>18</v>
      </c>
      <c r="E2243" s="3" t="s">
        <v>33</v>
      </c>
      <c r="F2243" s="3" t="s">
        <v>34</v>
      </c>
      <c r="G2243" s="3" t="s">
        <v>595</v>
      </c>
      <c r="H2243" s="2" t="s">
        <v>55</v>
      </c>
      <c r="I2243" s="2" t="s">
        <v>6200</v>
      </c>
      <c r="J2243" s="3" t="str">
        <f>HYPERLINK("https://www.boe.es/gazeta/dias/1809/12/19/pdfs/GGB-1809-602.pdf#page=7","Abrir facsímil")</f>
        <v>Abrir facsímil</v>
      </c>
      <c r="K2243" s="3" t="s">
        <v>57</v>
      </c>
    </row>
    <row r="2244" spans="1:11" ht="42" customHeight="1">
      <c r="A2244" s="2" t="s">
        <v>6201</v>
      </c>
      <c r="B2244" s="2" t="s">
        <v>6202</v>
      </c>
      <c r="C2244" s="2" t="s">
        <v>17</v>
      </c>
      <c r="D2244" s="2" t="s">
        <v>18</v>
      </c>
      <c r="E2244" s="3" t="s">
        <v>1011</v>
      </c>
      <c r="F2244" s="3" t="s">
        <v>1012</v>
      </c>
      <c r="G2244" s="3" t="s">
        <v>5805</v>
      </c>
      <c r="H2244" s="2" t="s">
        <v>55</v>
      </c>
      <c r="I2244" s="2" t="s">
        <v>6203</v>
      </c>
      <c r="J2244" s="3" t="str">
        <f>HYPERLINK("https://www.boe.es/gazeta/dias/1809/08/01/pdfs/GGB-1809-50.pdf#page=12","Abrir facsímil")</f>
        <v>Abrir facsímil</v>
      </c>
      <c r="K2244" s="3" t="s">
        <v>57</v>
      </c>
    </row>
    <row r="2245" spans="1:11" ht="42" customHeight="1">
      <c r="A2245" s="2" t="s">
        <v>6204</v>
      </c>
      <c r="B2245" s="2" t="s">
        <v>6205</v>
      </c>
      <c r="C2245" s="2" t="s">
        <v>17</v>
      </c>
      <c r="D2245" s="2" t="s">
        <v>18</v>
      </c>
      <c r="E2245" s="3" t="s">
        <v>60</v>
      </c>
      <c r="F2245" s="3" t="s">
        <v>61</v>
      </c>
      <c r="G2245" s="3" t="s">
        <v>29</v>
      </c>
      <c r="H2245" s="2" t="s">
        <v>55</v>
      </c>
      <c r="I2245" s="2" t="s">
        <v>6206</v>
      </c>
      <c r="J2245" s="3" t="str">
        <f>HYPERLINK("https://www.boe.es/gazeta/dias/1809/02/07/pdfs/GMD-1809-38.pdf#page=3","Abrir facsímil")</f>
        <v>Abrir facsímil</v>
      </c>
      <c r="K2245" s="3" t="s">
        <v>57</v>
      </c>
    </row>
    <row r="2246" spans="1:11" ht="42" customHeight="1">
      <c r="A2246" s="2" t="s">
        <v>6207</v>
      </c>
      <c r="B2246" s="2" t="s">
        <v>6208</v>
      </c>
      <c r="C2246" s="2" t="s">
        <v>369</v>
      </c>
      <c r="D2246" s="2" t="s">
        <v>18</v>
      </c>
      <c r="E2246" s="3" t="s">
        <v>1110</v>
      </c>
      <c r="F2246" s="3" t="s">
        <v>1111</v>
      </c>
      <c r="G2246" s="3" t="s">
        <v>1112</v>
      </c>
      <c r="H2246" s="2" t="s">
        <v>55</v>
      </c>
      <c r="I2246" s="2" t="s">
        <v>6209</v>
      </c>
      <c r="J2246" s="3" t="str">
        <f>HYPERLINK("https://www.boe.es/gazeta/dias/1809/06/20/pdfs/GMD-1809-171.pdf#page=3","Abrir facsímil")</f>
        <v>Abrir facsímil</v>
      </c>
      <c r="K2246" s="3" t="s">
        <v>57</v>
      </c>
    </row>
    <row r="2247" spans="1:11" ht="42" customHeight="1">
      <c r="A2247" s="2" t="s">
        <v>6210</v>
      </c>
      <c r="B2247" s="2" t="s">
        <v>6211</v>
      </c>
      <c r="C2247" s="2" t="s">
        <v>25</v>
      </c>
      <c r="D2247" s="2" t="s">
        <v>18</v>
      </c>
      <c r="E2247" s="3" t="s">
        <v>589</v>
      </c>
      <c r="F2247" s="3" t="s">
        <v>590</v>
      </c>
      <c r="G2247" s="3" t="s">
        <v>3102</v>
      </c>
      <c r="H2247" s="2" t="s">
        <v>55</v>
      </c>
      <c r="I2247" s="2" t="s">
        <v>6212</v>
      </c>
      <c r="J2247" s="3" t="str">
        <f>HYPERLINK("https://www.boe.es/gazeta/dias/1809/10/05/pdfs/GGB-1809-282.pdf#page=6","Abrir facsímil")</f>
        <v>Abrir facsímil</v>
      </c>
      <c r="K2247" s="3" t="s">
        <v>57</v>
      </c>
    </row>
    <row r="2248" spans="1:11" ht="42" customHeight="1">
      <c r="A2248" s="2" t="s">
        <v>6213</v>
      </c>
      <c r="B2248" s="2" t="s">
        <v>6214</v>
      </c>
      <c r="C2248" s="2" t="s">
        <v>131</v>
      </c>
      <c r="D2248" s="2" t="s">
        <v>18</v>
      </c>
      <c r="E2248" s="3" t="s">
        <v>666</v>
      </c>
      <c r="F2248" s="3" t="s">
        <v>6215</v>
      </c>
      <c r="G2248" s="3" t="s">
        <v>29</v>
      </c>
      <c r="H2248" s="2" t="s">
        <v>55</v>
      </c>
      <c r="I2248" s="2" t="s">
        <v>6216</v>
      </c>
      <c r="J2248" s="3" t="str">
        <f>HYPERLINK("https://www.boe.es/gazeta/dias/1809/08/29/pdfs/GMD-1809-242.pdf#page=3","Abrir facsímil")</f>
        <v>Abrir facsímil</v>
      </c>
      <c r="K2248" s="3" t="s">
        <v>57</v>
      </c>
    </row>
    <row r="2249" spans="1:11" ht="42" customHeight="1">
      <c r="A2249" s="2" t="s">
        <v>6217</v>
      </c>
      <c r="B2249" s="2" t="s">
        <v>6218</v>
      </c>
      <c r="C2249" s="2" t="s">
        <v>25</v>
      </c>
      <c r="D2249" s="2" t="s">
        <v>18</v>
      </c>
      <c r="E2249" s="3" t="s">
        <v>370</v>
      </c>
      <c r="F2249" s="3" t="s">
        <v>371</v>
      </c>
      <c r="G2249" s="3" t="s">
        <v>239</v>
      </c>
      <c r="H2249" s="2" t="s">
        <v>55</v>
      </c>
      <c r="I2249" s="2" t="s">
        <v>6219</v>
      </c>
      <c r="J2249" s="3" t="str">
        <f>HYPERLINK("https://www.boe.es/gazeta/dias/1809/08/20/pdfs/GMD-1809-233.pdf#page=3","Abrir facsímil")</f>
        <v>Abrir facsímil</v>
      </c>
      <c r="K2249" s="3" t="s">
        <v>57</v>
      </c>
    </row>
    <row r="2250" spans="1:11" ht="42" customHeight="1">
      <c r="A2250" s="2" t="s">
        <v>6217</v>
      </c>
      <c r="B2250" s="2" t="s">
        <v>6218</v>
      </c>
      <c r="C2250" s="2" t="s">
        <v>25</v>
      </c>
      <c r="D2250" s="2" t="s">
        <v>18</v>
      </c>
      <c r="E2250" s="3" t="s">
        <v>487</v>
      </c>
      <c r="F2250" s="3" t="s">
        <v>5579</v>
      </c>
      <c r="G2250" s="3" t="s">
        <v>120</v>
      </c>
      <c r="H2250" s="2" t="s">
        <v>55</v>
      </c>
      <c r="I2250" s="2" t="s">
        <v>6220</v>
      </c>
      <c r="J2250" s="3" t="str">
        <f>HYPERLINK("https://www.boe.es/gazeta/dias/1809/10/21/pdfs/GMD-1809-295.pdf#page=2","Abrir facsímil")</f>
        <v>Abrir facsímil</v>
      </c>
      <c r="K2250" s="3" t="s">
        <v>57</v>
      </c>
    </row>
    <row r="2251" spans="1:11" ht="42" customHeight="1">
      <c r="A2251" s="2" t="s">
        <v>6221</v>
      </c>
      <c r="B2251" s="2" t="s">
        <v>6222</v>
      </c>
      <c r="C2251" s="2" t="s">
        <v>17</v>
      </c>
      <c r="D2251" s="2" t="s">
        <v>72</v>
      </c>
      <c r="E2251" s="3" t="s">
        <v>243</v>
      </c>
      <c r="F2251" s="3" t="s">
        <v>244</v>
      </c>
      <c r="G2251" s="3" t="s">
        <v>110</v>
      </c>
      <c r="H2251" s="2" t="s">
        <v>55</v>
      </c>
      <c r="I2251" s="2" t="s">
        <v>6223</v>
      </c>
      <c r="J2251" s="3" t="str">
        <f>HYPERLINK("https://www.boe.es/gazeta/dias/1809/02/17/pdfs/GGB-G-1809-8.pdf#page=5","Abrir facsímil")</f>
        <v>Abrir facsímil</v>
      </c>
      <c r="K2251" s="3" t="s">
        <v>57</v>
      </c>
    </row>
    <row r="2252" spans="1:11" ht="42" customHeight="1">
      <c r="A2252" s="2" t="s">
        <v>6224</v>
      </c>
      <c r="B2252" s="2" t="s">
        <v>6225</v>
      </c>
      <c r="C2252" s="2" t="s">
        <v>47</v>
      </c>
      <c r="D2252" s="2" t="s">
        <v>18</v>
      </c>
      <c r="E2252" s="3" t="s">
        <v>102</v>
      </c>
      <c r="F2252" s="3" t="s">
        <v>103</v>
      </c>
      <c r="G2252" s="3" t="s">
        <v>1706</v>
      </c>
      <c r="H2252" s="2" t="s">
        <v>55</v>
      </c>
      <c r="I2252" s="2" t="s">
        <v>6226</v>
      </c>
      <c r="J2252" s="3" t="str">
        <f>HYPERLINK("https://www.boe.es/gazeta/dias/1809/09/28/pdfs/GGB-1809-252.pdf#page=5","Abrir facsímil")</f>
        <v>Abrir facsímil</v>
      </c>
      <c r="K2252" s="3" t="s">
        <v>57</v>
      </c>
    </row>
    <row r="2253" spans="1:11" ht="42" customHeight="1">
      <c r="A2253" s="2" t="s">
        <v>6227</v>
      </c>
      <c r="B2253" s="2" t="s">
        <v>6228</v>
      </c>
      <c r="C2253" s="2" t="s">
        <v>369</v>
      </c>
      <c r="D2253" s="2" t="s">
        <v>40</v>
      </c>
      <c r="E2253" s="3" t="s">
        <v>113</v>
      </c>
      <c r="F2253" s="3" t="s">
        <v>1982</v>
      </c>
      <c r="G2253" s="3" t="s">
        <v>260</v>
      </c>
      <c r="H2253" s="2" t="s">
        <v>55</v>
      </c>
      <c r="I2253" s="2" t="s">
        <v>6229</v>
      </c>
      <c r="J2253" s="3" t="str">
        <f>HYPERLINK("https://www.boe.es/gazeta/dias/1809/04/24/pdfs/GGB-1809-21.pdf#page=12","Abrir facsímil")</f>
        <v>Abrir facsímil</v>
      </c>
      <c r="K2253" s="3" t="s">
        <v>57</v>
      </c>
    </row>
    <row r="2254" spans="1:11" ht="42" customHeight="1">
      <c r="A2254" s="2" t="s">
        <v>6230</v>
      </c>
      <c r="B2254" s="2" t="s">
        <v>6231</v>
      </c>
      <c r="C2254" s="2" t="s">
        <v>47</v>
      </c>
      <c r="D2254" s="2" t="s">
        <v>18</v>
      </c>
      <c r="E2254" s="3" t="s">
        <v>102</v>
      </c>
      <c r="F2254" s="3" t="s">
        <v>103</v>
      </c>
      <c r="G2254" s="3" t="s">
        <v>104</v>
      </c>
      <c r="H2254" s="2" t="s">
        <v>55</v>
      </c>
      <c r="I2254" s="2" t="s">
        <v>6232</v>
      </c>
      <c r="J2254" s="3" t="str">
        <f>HYPERLINK("https://www.boe.es/gazeta/dias/1809/09/28/pdfs/GGB-1809-252.pdf#page=8","Abrir facsímil")</f>
        <v>Abrir facsímil</v>
      </c>
      <c r="K2254" s="3" t="s">
        <v>57</v>
      </c>
    </row>
    <row r="2255" spans="1:11" ht="42" customHeight="1">
      <c r="A2255" s="2" t="s">
        <v>6233</v>
      </c>
      <c r="B2255" s="2" t="s">
        <v>6234</v>
      </c>
      <c r="C2255" s="2" t="s">
        <v>25</v>
      </c>
      <c r="D2255" s="2" t="s">
        <v>26</v>
      </c>
      <c r="E2255" s="3" t="s">
        <v>1282</v>
      </c>
      <c r="F2255" s="3" t="s">
        <v>1743</v>
      </c>
      <c r="G2255" s="3" t="s">
        <v>234</v>
      </c>
      <c r="H2255" s="2" t="s">
        <v>55</v>
      </c>
      <c r="I2255" s="2" t="s">
        <v>6235</v>
      </c>
      <c r="J2255" s="3" t="str">
        <f>HYPERLINK("https://www.boe.es/gazeta/dias/1809/06/26/pdfs/GMD-1809-177.pdf#page=2","Abrir facsímil")</f>
        <v>Abrir facsímil</v>
      </c>
      <c r="K2255" s="3" t="s">
        <v>57</v>
      </c>
    </row>
    <row r="2256" spans="1:11" ht="42" customHeight="1">
      <c r="A2256" s="2" t="s">
        <v>6236</v>
      </c>
      <c r="B2256" s="2" t="s">
        <v>6236</v>
      </c>
      <c r="C2256" s="2" t="s">
        <v>25</v>
      </c>
      <c r="D2256" s="2" t="s">
        <v>26</v>
      </c>
      <c r="E2256" s="3" t="s">
        <v>1285</v>
      </c>
      <c r="F2256" s="3" t="s">
        <v>1286</v>
      </c>
      <c r="G2256" s="3" t="s">
        <v>234</v>
      </c>
      <c r="H2256" s="2" t="s">
        <v>55</v>
      </c>
      <c r="I2256" s="2" t="s">
        <v>6237</v>
      </c>
      <c r="J2256" s="3" t="str">
        <f>HYPERLINK("https://www.boe.es/gazeta/dias/1809/07/01/pdfs/GMD-1809-182.pdf#page=2","Abrir facsímil")</f>
        <v>Abrir facsímil</v>
      </c>
      <c r="K2256" s="3" t="s">
        <v>57</v>
      </c>
    </row>
    <row r="2257" spans="1:11" ht="42" customHeight="1">
      <c r="A2257" s="2" t="s">
        <v>6236</v>
      </c>
      <c r="B2257" s="2" t="s">
        <v>6236</v>
      </c>
      <c r="C2257" s="2" t="s">
        <v>25</v>
      </c>
      <c r="D2257" s="2" t="s">
        <v>26</v>
      </c>
      <c r="E2257" s="3" t="s">
        <v>6238</v>
      </c>
      <c r="F2257" s="3" t="s">
        <v>6239</v>
      </c>
      <c r="G2257" s="3" t="s">
        <v>426</v>
      </c>
      <c r="H2257" s="2" t="s">
        <v>55</v>
      </c>
      <c r="I2257" s="2" t="s">
        <v>6240</v>
      </c>
      <c r="J2257" s="3" t="str">
        <f>HYPERLINK("https://www.boe.es/gazeta/dias/1809/07/17/pdfs/GMD-1809-198.pdf#page=1","Abrir facsímil")</f>
        <v>Abrir facsímil</v>
      </c>
      <c r="K2257" s="3" t="s">
        <v>57</v>
      </c>
    </row>
    <row r="2258" spans="1:11" ht="42" customHeight="1">
      <c r="A2258" s="2" t="s">
        <v>6236</v>
      </c>
      <c r="B2258" s="2" t="s">
        <v>6236</v>
      </c>
      <c r="C2258" s="2" t="s">
        <v>25</v>
      </c>
      <c r="D2258" s="2" t="s">
        <v>26</v>
      </c>
      <c r="E2258" s="3" t="s">
        <v>3425</v>
      </c>
      <c r="F2258" s="3" t="s">
        <v>3426</v>
      </c>
      <c r="G2258" s="3" t="s">
        <v>6241</v>
      </c>
      <c r="H2258" s="2" t="s">
        <v>55</v>
      </c>
      <c r="I2258" s="2" t="s">
        <v>6242</v>
      </c>
      <c r="J2258" s="3" t="str">
        <f>HYPERLINK("https://www.boe.es/gazeta/dias/1809/07/23/pdfs/GMD-1809-204.pdf#page=1","Abrir facsímil")</f>
        <v>Abrir facsímil</v>
      </c>
      <c r="K2258" s="3" t="s">
        <v>57</v>
      </c>
    </row>
    <row r="2259" spans="1:11" ht="42" customHeight="1">
      <c r="A2259" s="2" t="s">
        <v>6236</v>
      </c>
      <c r="B2259" s="2" t="s">
        <v>6236</v>
      </c>
      <c r="C2259" s="2" t="s">
        <v>25</v>
      </c>
      <c r="D2259" s="2" t="s">
        <v>26</v>
      </c>
      <c r="E2259" s="3" t="s">
        <v>6243</v>
      </c>
      <c r="F2259" s="3" t="s">
        <v>6244</v>
      </c>
      <c r="G2259" s="3" t="s">
        <v>5805</v>
      </c>
      <c r="H2259" s="2" t="s">
        <v>55</v>
      </c>
      <c r="I2259" s="2" t="s">
        <v>6245</v>
      </c>
      <c r="J2259" s="3" t="str">
        <f>HYPERLINK("https://www.boe.es/gazeta/dias/1809/08/30/pdfs/GMD-1809-243.pdf#page=1","Abrir facsímil")</f>
        <v>Abrir facsímil</v>
      </c>
      <c r="K2259" s="3" t="s">
        <v>57</v>
      </c>
    </row>
    <row r="2260" spans="1:11" ht="42" customHeight="1">
      <c r="A2260" s="2" t="s">
        <v>6246</v>
      </c>
      <c r="B2260" s="2" t="s">
        <v>6246</v>
      </c>
      <c r="C2260" s="2" t="s">
        <v>25</v>
      </c>
      <c r="D2260" s="2" t="s">
        <v>26</v>
      </c>
      <c r="E2260" s="3" t="s">
        <v>2051</v>
      </c>
      <c r="F2260" s="3" t="s">
        <v>2052</v>
      </c>
      <c r="G2260" s="3" t="s">
        <v>6247</v>
      </c>
      <c r="H2260" s="2" t="s">
        <v>55</v>
      </c>
      <c r="I2260" s="2" t="s">
        <v>6248</v>
      </c>
      <c r="J2260" s="3" t="str">
        <f>HYPERLINK("https://www.boe.es/gazeta/dias/1809/07/19/pdfs/GMD-1809-200.pdf#page=1","Abrir facsímil")</f>
        <v>Abrir facsímil</v>
      </c>
      <c r="K2260" s="3" t="s">
        <v>57</v>
      </c>
    </row>
    <row r="2261" spans="1:11" ht="42" customHeight="1">
      <c r="A2261" s="2" t="s">
        <v>6249</v>
      </c>
      <c r="B2261" s="2" t="s">
        <v>6249</v>
      </c>
      <c r="C2261" s="2" t="s">
        <v>25</v>
      </c>
      <c r="D2261" s="2" t="s">
        <v>18</v>
      </c>
      <c r="E2261" s="3" t="s">
        <v>6250</v>
      </c>
      <c r="F2261" s="3" t="s">
        <v>6251</v>
      </c>
      <c r="G2261" s="3" t="s">
        <v>29</v>
      </c>
      <c r="H2261" s="2" t="s">
        <v>55</v>
      </c>
      <c r="I2261" s="2" t="s">
        <v>6252</v>
      </c>
      <c r="J2261" s="3" t="str">
        <f>HYPERLINK("https://www.boe.es/gazeta/dias/1809/03/15/pdfs/GMD-1809-74.pdf#page=3","Abrir facsímil")</f>
        <v>Abrir facsímil</v>
      </c>
      <c r="K2261" s="3" t="s">
        <v>57</v>
      </c>
    </row>
    <row r="2262" spans="1:11" ht="42" customHeight="1">
      <c r="A2262" s="2" t="s">
        <v>6253</v>
      </c>
      <c r="B2262" s="2" t="s">
        <v>6254</v>
      </c>
      <c r="C2262" s="2" t="s">
        <v>25</v>
      </c>
      <c r="D2262" s="2" t="s">
        <v>18</v>
      </c>
      <c r="E2262" s="3" t="s">
        <v>327</v>
      </c>
      <c r="F2262" s="3" t="s">
        <v>328</v>
      </c>
      <c r="G2262" s="3" t="s">
        <v>329</v>
      </c>
      <c r="H2262" s="2" t="s">
        <v>55</v>
      </c>
      <c r="I2262" s="2" t="s">
        <v>6255</v>
      </c>
      <c r="J2262" s="3" t="str">
        <f>HYPERLINK("https://www.boe.es/gazeta/dias/1809/09/14/pdfs/GGB-1809-192.pdf#page=8","Abrir facsímil")</f>
        <v>Abrir facsímil</v>
      </c>
      <c r="K2262" s="3" t="s">
        <v>57</v>
      </c>
    </row>
    <row r="2263" spans="1:11" ht="42" customHeight="1">
      <c r="A2263" s="2" t="s">
        <v>6256</v>
      </c>
      <c r="B2263" s="2" t="s">
        <v>6257</v>
      </c>
      <c r="C2263" s="2" t="s">
        <v>17</v>
      </c>
      <c r="D2263" s="2" t="s">
        <v>18</v>
      </c>
      <c r="E2263" s="3" t="s">
        <v>1468</v>
      </c>
      <c r="F2263" s="3" t="s">
        <v>1469</v>
      </c>
      <c r="G2263" s="3" t="s">
        <v>104</v>
      </c>
      <c r="H2263" s="2" t="s">
        <v>55</v>
      </c>
      <c r="I2263" s="2" t="s">
        <v>6258</v>
      </c>
      <c r="J2263" s="3" t="str">
        <f>HYPERLINK("https://www.boe.es/gazeta/dias/1809/02/12/pdfs/GMD-1809-43.pdf#page=6","Abrir facsímil")</f>
        <v>Abrir facsímil</v>
      </c>
      <c r="K2263" s="3" t="s">
        <v>57</v>
      </c>
    </row>
    <row r="2264" spans="1:11" ht="42" customHeight="1">
      <c r="A2264" s="2" t="s">
        <v>6259</v>
      </c>
      <c r="B2264" s="2" t="s">
        <v>6260</v>
      </c>
      <c r="C2264" s="2" t="s">
        <v>25</v>
      </c>
      <c r="D2264" s="2" t="s">
        <v>18</v>
      </c>
      <c r="E2264" s="3" t="s">
        <v>163</v>
      </c>
      <c r="F2264" s="3" t="s">
        <v>478</v>
      </c>
      <c r="G2264" s="3" t="s">
        <v>1729</v>
      </c>
      <c r="H2264" s="2" t="s">
        <v>55</v>
      </c>
      <c r="I2264" s="2" t="s">
        <v>6261</v>
      </c>
      <c r="J2264" s="3" t="str">
        <f>HYPERLINK("https://www.boe.es/gazeta/dias/1809/03/10/pdfs/GGB-1809-11.pdf#page=13","Abrir facsímil")</f>
        <v>Abrir facsímil</v>
      </c>
      <c r="K2264" s="3" t="s">
        <v>57</v>
      </c>
    </row>
    <row r="2265" spans="1:11" ht="42" customHeight="1">
      <c r="A2265" s="2" t="s">
        <v>6262</v>
      </c>
      <c r="B2265" s="2" t="s">
        <v>6263</v>
      </c>
      <c r="C2265" s="2" t="s">
        <v>17</v>
      </c>
      <c r="D2265" s="2" t="s">
        <v>18</v>
      </c>
      <c r="E2265" s="3" t="s">
        <v>33</v>
      </c>
      <c r="F2265" s="3" t="s">
        <v>34</v>
      </c>
      <c r="G2265" s="3" t="s">
        <v>493</v>
      </c>
      <c r="H2265" s="2" t="s">
        <v>55</v>
      </c>
      <c r="I2265" s="2" t="s">
        <v>6264</v>
      </c>
      <c r="J2265" s="3" t="str">
        <f>HYPERLINK("https://www.boe.es/gazeta/dias/1809/12/19/pdfs/GGB-1809-602.pdf#page=6","Abrir facsímil")</f>
        <v>Abrir facsímil</v>
      </c>
      <c r="K2265" s="3" t="s">
        <v>57</v>
      </c>
    </row>
    <row r="2266" spans="1:11" ht="42" customHeight="1">
      <c r="A2266" s="2" t="s">
        <v>6265</v>
      </c>
      <c r="B2266" s="2" t="s">
        <v>6266</v>
      </c>
      <c r="C2266" s="2" t="s">
        <v>17</v>
      </c>
      <c r="D2266" s="2" t="s">
        <v>18</v>
      </c>
      <c r="E2266" s="3" t="s">
        <v>761</v>
      </c>
      <c r="F2266" s="3" t="s">
        <v>1218</v>
      </c>
      <c r="G2266" s="3" t="s">
        <v>154</v>
      </c>
      <c r="H2266" s="2" t="s">
        <v>55</v>
      </c>
      <c r="I2266" s="2" t="s">
        <v>6267</v>
      </c>
      <c r="J2266" s="3" t="str">
        <f>HYPERLINK("https://www.boe.es/gazeta/dias/1809/06/02/pdfs/GGB-1809-33.pdf#page=12","Abrir facsímil")</f>
        <v>Abrir facsímil</v>
      </c>
      <c r="K2266" s="3" t="s">
        <v>57</v>
      </c>
    </row>
    <row r="2267" spans="1:11" ht="42" customHeight="1">
      <c r="A2267" s="2" t="s">
        <v>6268</v>
      </c>
      <c r="B2267" s="2" t="s">
        <v>6268</v>
      </c>
      <c r="C2267" s="2" t="s">
        <v>17</v>
      </c>
      <c r="D2267" s="2" t="s">
        <v>107</v>
      </c>
      <c r="E2267" s="3" t="s">
        <v>957</v>
      </c>
      <c r="F2267" s="3" t="s">
        <v>958</v>
      </c>
      <c r="G2267" s="3" t="s">
        <v>959</v>
      </c>
      <c r="H2267" s="2" t="s">
        <v>55</v>
      </c>
      <c r="I2267" s="2" t="s">
        <v>6269</v>
      </c>
      <c r="J2267" s="3" t="str">
        <f>HYPERLINK("https://www.boe.es/gazeta/dias/1809/02/27/pdfs/GMD-1809-58.pdf#page=1","Abrir facsímil")</f>
        <v>Abrir facsímil</v>
      </c>
      <c r="K2267" s="3" t="s">
        <v>57</v>
      </c>
    </row>
    <row r="2268" spans="1:11" ht="42" customHeight="1">
      <c r="A2268" s="2" t="s">
        <v>6270</v>
      </c>
      <c r="B2268" s="2" t="s">
        <v>6271</v>
      </c>
      <c r="C2268" s="2" t="s">
        <v>17</v>
      </c>
      <c r="D2268" s="2" t="s">
        <v>18</v>
      </c>
      <c r="E2268" s="3" t="s">
        <v>33</v>
      </c>
      <c r="F2268" s="3" t="s">
        <v>34</v>
      </c>
      <c r="G2268" s="3" t="s">
        <v>595</v>
      </c>
      <c r="H2268" s="2" t="s">
        <v>55</v>
      </c>
      <c r="I2268" s="2" t="s">
        <v>6272</v>
      </c>
      <c r="J2268" s="3" t="str">
        <f>HYPERLINK("https://www.boe.es/gazeta/dias/1809/12/19/pdfs/GGB-1809-602.pdf#page=7","Abrir facsímil")</f>
        <v>Abrir facsímil</v>
      </c>
      <c r="K2268" s="3" t="s">
        <v>57</v>
      </c>
    </row>
    <row r="2269" spans="1:11" ht="42" customHeight="1">
      <c r="A2269" s="2" t="s">
        <v>6273</v>
      </c>
      <c r="B2269" s="2" t="s">
        <v>6274</v>
      </c>
      <c r="C2269" s="2" t="s">
        <v>17</v>
      </c>
      <c r="D2269" s="2" t="s">
        <v>18</v>
      </c>
      <c r="E2269" s="3" t="s">
        <v>33</v>
      </c>
      <c r="F2269" s="3" t="s">
        <v>34</v>
      </c>
      <c r="G2269" s="3" t="s">
        <v>493</v>
      </c>
      <c r="H2269" s="2" t="s">
        <v>55</v>
      </c>
      <c r="I2269" s="2" t="s">
        <v>6275</v>
      </c>
      <c r="J2269" s="3" t="str">
        <f>HYPERLINK("https://www.boe.es/gazeta/dias/1809/12/19/pdfs/GGB-1809-602.pdf#page=6","Abrir facsímil")</f>
        <v>Abrir facsímil</v>
      </c>
      <c r="K2269" s="3" t="s">
        <v>57</v>
      </c>
    </row>
    <row r="2270" spans="1:11" ht="42" customHeight="1">
      <c r="A2270" s="2" t="s">
        <v>6276</v>
      </c>
      <c r="B2270" s="2" t="s">
        <v>6276</v>
      </c>
      <c r="C2270" s="2" t="s">
        <v>17</v>
      </c>
      <c r="D2270" s="2" t="s">
        <v>40</v>
      </c>
      <c r="E2270" s="3" t="s">
        <v>299</v>
      </c>
      <c r="F2270" s="3" t="s">
        <v>300</v>
      </c>
      <c r="G2270" s="3" t="s">
        <v>3808</v>
      </c>
      <c r="H2270" s="2" t="s">
        <v>55</v>
      </c>
      <c r="I2270" s="2" t="s">
        <v>6277</v>
      </c>
      <c r="J2270" s="3" t="str">
        <f>HYPERLINK("https://www.boe.es/gazeta/dias/1809/05/26/pdfs/GGB-1809-31.pdf#page=5","Abrir facsímil")</f>
        <v>Abrir facsímil</v>
      </c>
      <c r="K2270" s="3" t="s">
        <v>57</v>
      </c>
    </row>
    <row r="2271" spans="1:11" ht="42" customHeight="1">
      <c r="A2271" s="2" t="s">
        <v>6278</v>
      </c>
      <c r="B2271" s="2" t="s">
        <v>6279</v>
      </c>
      <c r="C2271" s="2" t="s">
        <v>131</v>
      </c>
      <c r="D2271" s="2" t="s">
        <v>18</v>
      </c>
      <c r="E2271" s="3" t="s">
        <v>933</v>
      </c>
      <c r="F2271" s="3" t="s">
        <v>934</v>
      </c>
      <c r="G2271" s="3" t="s">
        <v>935</v>
      </c>
      <c r="H2271" s="2" t="s">
        <v>55</v>
      </c>
      <c r="I2271" s="2" t="s">
        <v>6280</v>
      </c>
      <c r="J2271" s="3" t="str">
        <f>HYPERLINK("https://www.boe.es/gazeta/dias/1809/10/28/pdfs/GMD-1809-302.pdf#page=4","Abrir facsímil")</f>
        <v>Abrir facsímil</v>
      </c>
      <c r="K2271" s="3" t="s">
        <v>57</v>
      </c>
    </row>
    <row r="2272" spans="1:11" ht="42" customHeight="1">
      <c r="A2272" s="2" t="s">
        <v>6281</v>
      </c>
      <c r="B2272" s="2" t="s">
        <v>6281</v>
      </c>
      <c r="C2272" s="2" t="s">
        <v>17</v>
      </c>
      <c r="D2272" s="2" t="s">
        <v>18</v>
      </c>
      <c r="E2272" s="3" t="s">
        <v>223</v>
      </c>
      <c r="F2272" s="3" t="s">
        <v>224</v>
      </c>
      <c r="G2272" s="3" t="s">
        <v>75</v>
      </c>
      <c r="H2272" s="2" t="s">
        <v>55</v>
      </c>
      <c r="I2272" s="2" t="s">
        <v>6282</v>
      </c>
      <c r="J2272" s="3" t="str">
        <f>HYPERLINK("https://www.boe.es/gazeta/dias/1809/12/17/pdfs/GMD-1809-352.pdf#page=3","Abrir facsímil")</f>
        <v>Abrir facsímil</v>
      </c>
      <c r="K2272" s="3" t="s">
        <v>57</v>
      </c>
    </row>
    <row r="2273" spans="1:11" ht="42" customHeight="1">
      <c r="A2273" s="2" t="s">
        <v>6283</v>
      </c>
      <c r="B2273" s="2" t="s">
        <v>6284</v>
      </c>
      <c r="C2273" s="2" t="s">
        <v>17</v>
      </c>
      <c r="D2273" s="2" t="s">
        <v>72</v>
      </c>
      <c r="E2273" s="3" t="s">
        <v>243</v>
      </c>
      <c r="F2273" s="3" t="s">
        <v>244</v>
      </c>
      <c r="G2273" s="3" t="s">
        <v>110</v>
      </c>
      <c r="H2273" s="2" t="s">
        <v>55</v>
      </c>
      <c r="I2273" s="2" t="s">
        <v>6285</v>
      </c>
      <c r="J2273" s="3" t="str">
        <f>HYPERLINK("https://www.boe.es/gazeta/dias/1809/02/17/pdfs/GGB-G-1809-8.pdf#page=5","Abrir facsímil")</f>
        <v>Abrir facsímil</v>
      </c>
      <c r="K2273" s="3" t="s">
        <v>57</v>
      </c>
    </row>
    <row r="2274" spans="1:11" ht="42" customHeight="1">
      <c r="A2274" s="2" t="s">
        <v>6286</v>
      </c>
      <c r="B2274" s="2" t="s">
        <v>6287</v>
      </c>
      <c r="C2274" s="2" t="s">
        <v>25</v>
      </c>
      <c r="D2274" s="2" t="s">
        <v>26</v>
      </c>
      <c r="E2274" s="3" t="s">
        <v>518</v>
      </c>
      <c r="F2274" s="3" t="s">
        <v>519</v>
      </c>
      <c r="G2274" s="3" t="s">
        <v>75</v>
      </c>
      <c r="H2274" s="2" t="s">
        <v>55</v>
      </c>
      <c r="I2274" s="2" t="s">
        <v>6288</v>
      </c>
      <c r="J2274" s="3" t="str">
        <f>HYPERLINK("https://www.boe.es/gazeta/dias/1809/10/13/pdfs/GMD-1809-287.pdf#page=4","Abrir facsímil")</f>
        <v>Abrir facsímil</v>
      </c>
      <c r="K2274" s="3" t="s">
        <v>57</v>
      </c>
    </row>
    <row r="2275" spans="1:11" ht="42" customHeight="1">
      <c r="A2275" s="2" t="s">
        <v>6289</v>
      </c>
      <c r="B2275" s="2" t="s">
        <v>6290</v>
      </c>
      <c r="C2275" s="2" t="s">
        <v>17</v>
      </c>
      <c r="D2275" s="2" t="s">
        <v>72</v>
      </c>
      <c r="E2275" s="3" t="s">
        <v>243</v>
      </c>
      <c r="F2275" s="3" t="s">
        <v>244</v>
      </c>
      <c r="G2275" s="3" t="s">
        <v>110</v>
      </c>
      <c r="H2275" s="2" t="s">
        <v>55</v>
      </c>
      <c r="I2275" s="2" t="s">
        <v>6291</v>
      </c>
      <c r="J2275" s="3" t="str">
        <f>HYPERLINK("https://www.boe.es/gazeta/dias/1809/02/17/pdfs/GGB-G-1809-8.pdf#page=5","Abrir facsímil")</f>
        <v>Abrir facsímil</v>
      </c>
      <c r="K2275" s="3" t="s">
        <v>57</v>
      </c>
    </row>
    <row r="2276" spans="1:11" ht="42" customHeight="1">
      <c r="A2276" s="2" t="s">
        <v>6292</v>
      </c>
      <c r="B2276" s="2" t="s">
        <v>6293</v>
      </c>
      <c r="C2276" s="2" t="s">
        <v>25</v>
      </c>
      <c r="D2276" s="2" t="s">
        <v>80</v>
      </c>
      <c r="E2276" s="3" t="s">
        <v>179</v>
      </c>
      <c r="F2276" s="3" t="s">
        <v>180</v>
      </c>
      <c r="G2276" s="3" t="s">
        <v>239</v>
      </c>
      <c r="H2276" s="2" t="s">
        <v>55</v>
      </c>
      <c r="I2276" s="2" t="s">
        <v>6294</v>
      </c>
      <c r="J2276" s="3" t="str">
        <f>HYPERLINK("https://www.boe.es/gazeta/dias/1809/12/08/pdfs/GGB-1809-552E.pdf#page=2","Abrir facsímil")</f>
        <v>Abrir facsímil</v>
      </c>
      <c r="K2276" s="3" t="s">
        <v>57</v>
      </c>
    </row>
    <row r="2277" spans="1:11" ht="42" customHeight="1">
      <c r="A2277" s="2" t="s">
        <v>6295</v>
      </c>
      <c r="B2277" s="2" t="s">
        <v>6296</v>
      </c>
      <c r="C2277" s="2" t="s">
        <v>17</v>
      </c>
      <c r="D2277" s="2" t="s">
        <v>72</v>
      </c>
      <c r="E2277" s="3" t="s">
        <v>243</v>
      </c>
      <c r="F2277" s="3" t="s">
        <v>244</v>
      </c>
      <c r="G2277" s="3" t="s">
        <v>110</v>
      </c>
      <c r="H2277" s="2" t="s">
        <v>55</v>
      </c>
      <c r="I2277" s="2" t="s">
        <v>6297</v>
      </c>
      <c r="J2277" s="3" t="str">
        <f>HYPERLINK("https://www.boe.es/gazeta/dias/1809/02/17/pdfs/GGB-G-1809-8.pdf#page=5","Abrir facsímil")</f>
        <v>Abrir facsímil</v>
      </c>
      <c r="K2277" s="3" t="s">
        <v>57</v>
      </c>
    </row>
    <row r="2278" spans="1:11" ht="42" customHeight="1">
      <c r="A2278" s="2" t="s">
        <v>6295</v>
      </c>
      <c r="B2278" s="2" t="s">
        <v>6296</v>
      </c>
      <c r="C2278" s="2" t="s">
        <v>17</v>
      </c>
      <c r="D2278" s="2" t="s">
        <v>72</v>
      </c>
      <c r="E2278" s="3" t="s">
        <v>163</v>
      </c>
      <c r="F2278" s="3" t="s">
        <v>164</v>
      </c>
      <c r="G2278" s="3" t="s">
        <v>21</v>
      </c>
      <c r="H2278" s="2" t="s">
        <v>55</v>
      </c>
      <c r="I2278" s="2" t="s">
        <v>6298</v>
      </c>
      <c r="J2278" s="3" t="str">
        <f>HYPERLINK("https://www.boe.es/gazeta/dias/1809/03/10/pdfs/GGB-H-1809-11.pdf#page=8","Abrir facsímil")</f>
        <v>Abrir facsímil</v>
      </c>
      <c r="K2278" s="3" t="s">
        <v>57</v>
      </c>
    </row>
    <row r="2279" spans="1:11" ht="42" customHeight="1">
      <c r="A2279" s="2" t="s">
        <v>6295</v>
      </c>
      <c r="B2279" s="2" t="s">
        <v>6296</v>
      </c>
      <c r="C2279" s="2" t="s">
        <v>17</v>
      </c>
      <c r="D2279" s="2" t="s">
        <v>40</v>
      </c>
      <c r="E2279" s="3" t="s">
        <v>73</v>
      </c>
      <c r="F2279" s="3" t="s">
        <v>1045</v>
      </c>
      <c r="G2279" s="3" t="s">
        <v>89</v>
      </c>
      <c r="H2279" s="2" t="s">
        <v>55</v>
      </c>
      <c r="I2279" s="2" t="s">
        <v>6299</v>
      </c>
      <c r="J2279" s="3" t="str">
        <f>HYPERLINK("https://www.boe.es/gazeta/dias/1809/09/21/pdfs/GMD-1809-265.pdf#page=3","Abrir facsímil")</f>
        <v>Abrir facsímil</v>
      </c>
      <c r="K2279" s="3" t="s">
        <v>57</v>
      </c>
    </row>
    <row r="2280" spans="1:11" ht="42" customHeight="1">
      <c r="A2280" s="2" t="s">
        <v>6300</v>
      </c>
      <c r="B2280" s="2" t="s">
        <v>6301</v>
      </c>
      <c r="C2280" s="2" t="s">
        <v>17</v>
      </c>
      <c r="D2280" s="2" t="s">
        <v>72</v>
      </c>
      <c r="E2280" s="3" t="s">
        <v>243</v>
      </c>
      <c r="F2280" s="3" t="s">
        <v>244</v>
      </c>
      <c r="G2280" s="3" t="s">
        <v>110</v>
      </c>
      <c r="H2280" s="2" t="s">
        <v>55</v>
      </c>
      <c r="I2280" s="2" t="s">
        <v>6302</v>
      </c>
      <c r="J2280" s="3" t="str">
        <f>HYPERLINK("https://www.boe.es/gazeta/dias/1809/02/17/pdfs/GGB-G-1809-8.pdf#page=6","Abrir facsímil")</f>
        <v>Abrir facsímil</v>
      </c>
      <c r="K2280" s="3" t="s">
        <v>57</v>
      </c>
    </row>
    <row r="2281" spans="1:11" ht="42" customHeight="1">
      <c r="A2281" s="2" t="s">
        <v>6303</v>
      </c>
      <c r="B2281" s="2" t="s">
        <v>6304</v>
      </c>
      <c r="C2281" s="2" t="s">
        <v>17</v>
      </c>
      <c r="D2281" s="2" t="s">
        <v>72</v>
      </c>
      <c r="E2281" s="3" t="s">
        <v>243</v>
      </c>
      <c r="F2281" s="3" t="s">
        <v>244</v>
      </c>
      <c r="G2281" s="3" t="s">
        <v>525</v>
      </c>
      <c r="H2281" s="2" t="s">
        <v>55</v>
      </c>
      <c r="I2281" s="2" t="s">
        <v>6305</v>
      </c>
      <c r="J2281" s="3" t="str">
        <f>HYPERLINK("https://www.boe.es/gazeta/dias/1809/02/17/pdfs/GGB-G-1809-8.pdf#page=4","Abrir facsímil")</f>
        <v>Abrir facsímil</v>
      </c>
      <c r="K2281" s="3" t="s">
        <v>57</v>
      </c>
    </row>
    <row r="2282" spans="1:11" ht="42" customHeight="1">
      <c r="A2282" s="2" t="s">
        <v>6303</v>
      </c>
      <c r="B2282" s="2" t="s">
        <v>6304</v>
      </c>
      <c r="C2282" s="2" t="s">
        <v>25</v>
      </c>
      <c r="D2282" s="2" t="s">
        <v>18</v>
      </c>
      <c r="E2282" s="3" t="s">
        <v>2845</v>
      </c>
      <c r="F2282" s="3" t="s">
        <v>2846</v>
      </c>
      <c r="G2282" s="3" t="s">
        <v>467</v>
      </c>
      <c r="H2282" s="2" t="s">
        <v>55</v>
      </c>
      <c r="I2282" s="2" t="s">
        <v>6306</v>
      </c>
      <c r="J2282" s="3" t="str">
        <f>HYPERLINK("https://www.boe.es/gazeta/dias/1809/11/23/pdfs/GGB-1809-492.pdf#page=5","Abrir facsímil")</f>
        <v>Abrir facsímil</v>
      </c>
      <c r="K2282" s="3" t="s">
        <v>57</v>
      </c>
    </row>
    <row r="2283" spans="1:11" ht="42" customHeight="1">
      <c r="A2283" s="2" t="s">
        <v>6307</v>
      </c>
      <c r="B2283" s="2" t="s">
        <v>6308</v>
      </c>
      <c r="C2283" s="2" t="s">
        <v>288</v>
      </c>
      <c r="D2283" s="2" t="s">
        <v>18</v>
      </c>
      <c r="E2283" s="3" t="s">
        <v>60</v>
      </c>
      <c r="F2283" s="3" t="s">
        <v>61</v>
      </c>
      <c r="G2283" s="3" t="s">
        <v>62</v>
      </c>
      <c r="H2283" s="2" t="s">
        <v>55</v>
      </c>
      <c r="I2283" s="2" t="s">
        <v>6309</v>
      </c>
      <c r="J2283" s="3" t="str">
        <f>HYPERLINK("https://www.boe.es/gazeta/dias/1809/02/07/pdfs/GMD-1809-38.pdf#page=4","Abrir facsímil")</f>
        <v>Abrir facsímil</v>
      </c>
      <c r="K2283" s="3" t="s">
        <v>57</v>
      </c>
    </row>
    <row r="2284" spans="1:11" ht="42" customHeight="1">
      <c r="A2284" s="2" t="s">
        <v>6310</v>
      </c>
      <c r="B2284" s="2" t="s">
        <v>6311</v>
      </c>
      <c r="C2284" s="2" t="s">
        <v>47</v>
      </c>
      <c r="D2284" s="2" t="s">
        <v>18</v>
      </c>
      <c r="E2284" s="3" t="s">
        <v>305</v>
      </c>
      <c r="F2284" s="3" t="s">
        <v>306</v>
      </c>
      <c r="G2284" s="3" t="s">
        <v>29</v>
      </c>
      <c r="H2284" s="2" t="s">
        <v>55</v>
      </c>
      <c r="I2284" s="2" t="s">
        <v>6312</v>
      </c>
      <c r="J2284" s="3" t="str">
        <f>HYPERLINK("https://www.boe.es/gazeta/dias/1809/10/20/pdfs/GMD-1809-294.pdf#page=3","Abrir facsímil")</f>
        <v>Abrir facsímil</v>
      </c>
      <c r="K2284" s="3" t="s">
        <v>57</v>
      </c>
    </row>
    <row r="2285" spans="1:11" ht="42" customHeight="1">
      <c r="A2285" s="2" t="s">
        <v>6313</v>
      </c>
      <c r="B2285" s="2" t="s">
        <v>6314</v>
      </c>
      <c r="C2285" s="2" t="s">
        <v>17</v>
      </c>
      <c r="D2285" s="2" t="s">
        <v>72</v>
      </c>
      <c r="E2285" s="3" t="s">
        <v>243</v>
      </c>
      <c r="F2285" s="3" t="s">
        <v>244</v>
      </c>
      <c r="G2285" s="3" t="s">
        <v>110</v>
      </c>
      <c r="H2285" s="2" t="s">
        <v>55</v>
      </c>
      <c r="I2285" s="2" t="s">
        <v>6315</v>
      </c>
      <c r="J2285" s="3" t="str">
        <f>HYPERLINK("https://www.boe.es/gazeta/dias/1809/02/17/pdfs/GGB-G-1809-8.pdf#page=6","Abrir facsímil")</f>
        <v>Abrir facsímil</v>
      </c>
      <c r="K2285" s="3" t="s">
        <v>57</v>
      </c>
    </row>
    <row r="2286" spans="1:11" ht="42" customHeight="1">
      <c r="A2286" s="2" t="s">
        <v>6316</v>
      </c>
      <c r="B2286" s="2" t="s">
        <v>6317</v>
      </c>
      <c r="C2286" s="2" t="s">
        <v>47</v>
      </c>
      <c r="D2286" s="2" t="s">
        <v>18</v>
      </c>
      <c r="E2286" s="3" t="s">
        <v>712</v>
      </c>
      <c r="F2286" s="3" t="s">
        <v>713</v>
      </c>
      <c r="G2286" s="3" t="s">
        <v>120</v>
      </c>
      <c r="H2286" s="2" t="s">
        <v>55</v>
      </c>
      <c r="I2286" s="2" t="s">
        <v>6318</v>
      </c>
      <c r="J2286" s="3" t="str">
        <f>HYPERLINK("https://www.boe.es/gazeta/dias/1809/09/10/pdfs/GMD-1809-254.pdf#page=2","Abrir facsímil")</f>
        <v>Abrir facsímil</v>
      </c>
      <c r="K2286" s="3" t="s">
        <v>57</v>
      </c>
    </row>
    <row r="2287" spans="1:11" ht="42" customHeight="1">
      <c r="A2287" s="2" t="s">
        <v>6319</v>
      </c>
      <c r="B2287" s="2" t="s">
        <v>6320</v>
      </c>
      <c r="C2287" s="2" t="s">
        <v>17</v>
      </c>
      <c r="D2287" s="2" t="s">
        <v>18</v>
      </c>
      <c r="E2287" s="3" t="s">
        <v>163</v>
      </c>
      <c r="F2287" s="3" t="s">
        <v>478</v>
      </c>
      <c r="G2287" s="3" t="s">
        <v>75</v>
      </c>
      <c r="H2287" s="2" t="s">
        <v>55</v>
      </c>
      <c r="I2287" s="2" t="s">
        <v>6321</v>
      </c>
      <c r="J2287" s="3" t="str">
        <f>HYPERLINK("https://www.boe.es/gazeta/dias/1809/03/10/pdfs/GGB-1809-11.pdf#page=14","Abrir facsímil")</f>
        <v>Abrir facsímil</v>
      </c>
      <c r="K2287" s="3" t="s">
        <v>57</v>
      </c>
    </row>
    <row r="2288" spans="1:11" ht="42" customHeight="1">
      <c r="A2288" s="2" t="s">
        <v>6322</v>
      </c>
      <c r="B2288" s="2" t="s">
        <v>6323</v>
      </c>
      <c r="C2288" s="2" t="s">
        <v>17</v>
      </c>
      <c r="D2288" s="2" t="s">
        <v>18</v>
      </c>
      <c r="E2288" s="3" t="s">
        <v>883</v>
      </c>
      <c r="F2288" s="3" t="s">
        <v>884</v>
      </c>
      <c r="G2288" s="3" t="s">
        <v>21</v>
      </c>
      <c r="H2288" s="2" t="s">
        <v>55</v>
      </c>
      <c r="I2288" s="2" t="s">
        <v>6324</v>
      </c>
      <c r="J2288" s="3" t="str">
        <f>HYPERLINK("https://www.boe.es/gazeta/dias/1809/12/21/pdfs/GMD-1809-356.pdf#page=3","Abrir facsímil")</f>
        <v>Abrir facsímil</v>
      </c>
      <c r="K2288" s="3" t="s">
        <v>57</v>
      </c>
    </row>
    <row r="2289" spans="1:11" ht="42" customHeight="1">
      <c r="A2289" s="2" t="s">
        <v>6325</v>
      </c>
      <c r="B2289" s="2" t="s">
        <v>6326</v>
      </c>
      <c r="C2289" s="2" t="s">
        <v>25</v>
      </c>
      <c r="D2289" s="2" t="s">
        <v>26</v>
      </c>
      <c r="E2289" s="3" t="s">
        <v>248</v>
      </c>
      <c r="F2289" s="3" t="s">
        <v>249</v>
      </c>
      <c r="G2289" s="3" t="s">
        <v>340</v>
      </c>
      <c r="H2289" s="2" t="s">
        <v>55</v>
      </c>
      <c r="I2289" s="2" t="s">
        <v>6327</v>
      </c>
      <c r="J2289" s="3" t="str">
        <f>HYPERLINK("https://www.boe.es/gazeta/dias/1809/07/26/pdfs/GGB-1809-48E.pdf#page=7","Abrir facsímil")</f>
        <v>Abrir facsímil</v>
      </c>
      <c r="K2289" s="3" t="s">
        <v>57</v>
      </c>
    </row>
    <row r="2290" spans="1:11" ht="42" customHeight="1">
      <c r="A2290" s="2" t="s">
        <v>6328</v>
      </c>
      <c r="B2290" s="2" t="s">
        <v>6329</v>
      </c>
      <c r="C2290" s="2" t="s">
        <v>131</v>
      </c>
      <c r="D2290" s="2" t="s">
        <v>26</v>
      </c>
      <c r="E2290" s="3" t="s">
        <v>515</v>
      </c>
      <c r="F2290" s="3" t="s">
        <v>516</v>
      </c>
      <c r="G2290" s="3" t="s">
        <v>120</v>
      </c>
      <c r="H2290" s="2" t="s">
        <v>55</v>
      </c>
      <c r="I2290" s="2" t="s">
        <v>6330</v>
      </c>
      <c r="J2290" s="3" t="str">
        <f>HYPERLINK("https://www.boe.es/gazeta/dias/1809/09/02/pdfs/GMD-1809-246.pdf#page=2","Abrir facsímil")</f>
        <v>Abrir facsímil</v>
      </c>
      <c r="K2290" s="3" t="s">
        <v>57</v>
      </c>
    </row>
    <row r="2291" spans="1:11" ht="42" customHeight="1">
      <c r="A2291" s="2" t="s">
        <v>6331</v>
      </c>
      <c r="B2291" s="2" t="s">
        <v>6332</v>
      </c>
      <c r="C2291" s="2" t="s">
        <v>25</v>
      </c>
      <c r="D2291" s="2" t="s">
        <v>26</v>
      </c>
      <c r="E2291" s="3" t="s">
        <v>299</v>
      </c>
      <c r="F2291" s="3" t="s">
        <v>300</v>
      </c>
      <c r="G2291" s="3" t="s">
        <v>1319</v>
      </c>
      <c r="H2291" s="2" t="s">
        <v>55</v>
      </c>
      <c r="I2291" s="2" t="s">
        <v>6333</v>
      </c>
      <c r="J2291" s="3" t="str">
        <f>HYPERLINK("https://www.boe.es/gazeta/dias/1809/05/26/pdfs/GGB-1809-31.pdf#page=11","Abrir facsímil")</f>
        <v>Abrir facsímil</v>
      </c>
      <c r="K2291" s="3" t="s">
        <v>57</v>
      </c>
    </row>
    <row r="2292" spans="1:11" ht="42" customHeight="1">
      <c r="A2292" s="2" t="s">
        <v>6334</v>
      </c>
      <c r="B2292" s="2" t="s">
        <v>6335</v>
      </c>
      <c r="C2292" s="2" t="s">
        <v>17</v>
      </c>
      <c r="D2292" s="2" t="s">
        <v>18</v>
      </c>
      <c r="E2292" s="3" t="s">
        <v>102</v>
      </c>
      <c r="F2292" s="3" t="s">
        <v>1095</v>
      </c>
      <c r="G2292" s="3" t="s">
        <v>75</v>
      </c>
      <c r="H2292" s="2" t="s">
        <v>55</v>
      </c>
      <c r="I2292" s="2" t="s">
        <v>6336</v>
      </c>
      <c r="J2292" s="3" t="str">
        <f>HYPERLINK("https://www.boe.es/gazeta/dias/1809/09/28/pdfs/GMD-1809-272.pdf#page=2","Abrir facsímil")</f>
        <v>Abrir facsímil</v>
      </c>
      <c r="K2292" s="3" t="s">
        <v>57</v>
      </c>
    </row>
    <row r="2293" spans="1:11" ht="42" customHeight="1">
      <c r="A2293" s="2" t="s">
        <v>6337</v>
      </c>
      <c r="B2293" s="2" t="s">
        <v>6337</v>
      </c>
      <c r="C2293" s="2" t="s">
        <v>25</v>
      </c>
      <c r="D2293" s="2" t="s">
        <v>18</v>
      </c>
      <c r="E2293" s="3" t="s">
        <v>3279</v>
      </c>
      <c r="F2293" s="3" t="s">
        <v>3280</v>
      </c>
      <c r="G2293" s="3" t="s">
        <v>234</v>
      </c>
      <c r="H2293" s="2" t="s">
        <v>55</v>
      </c>
      <c r="I2293" s="2" t="s">
        <v>6338</v>
      </c>
      <c r="J2293" s="3" t="str">
        <f>HYPERLINK("https://www.boe.es/gazeta/dias/1809/09/27/pdfs/GMD-1809-271.pdf#page=2","Abrir facsímil")</f>
        <v>Abrir facsímil</v>
      </c>
      <c r="K2293" s="3" t="s">
        <v>57</v>
      </c>
    </row>
    <row r="2294" spans="1:11" ht="42" customHeight="1">
      <c r="A2294" s="2" t="s">
        <v>6339</v>
      </c>
      <c r="B2294" s="2" t="s">
        <v>6339</v>
      </c>
      <c r="C2294" s="2" t="s">
        <v>25</v>
      </c>
      <c r="D2294" s="2" t="s">
        <v>107</v>
      </c>
      <c r="E2294" s="3" t="s">
        <v>3031</v>
      </c>
      <c r="F2294" s="3" t="s">
        <v>3032</v>
      </c>
      <c r="G2294" s="3" t="s">
        <v>789</v>
      </c>
      <c r="H2294" s="2" t="s">
        <v>55</v>
      </c>
      <c r="I2294" s="2" t="s">
        <v>6340</v>
      </c>
      <c r="J2294" s="3" t="str">
        <f>HYPERLINK("https://www.boe.es/gazeta/dias/1809/08/18/pdfs/GMD-1809-231.pdf#page=1","Abrir facsímil")</f>
        <v>Abrir facsímil</v>
      </c>
      <c r="K2294" s="3" t="s">
        <v>57</v>
      </c>
    </row>
    <row r="2295" spans="1:11" ht="42" customHeight="1">
      <c r="A2295" s="2" t="s">
        <v>6341</v>
      </c>
      <c r="B2295" s="2" t="s">
        <v>6342</v>
      </c>
      <c r="C2295" s="2" t="s">
        <v>17</v>
      </c>
      <c r="D2295" s="2" t="s">
        <v>72</v>
      </c>
      <c r="E2295" s="3" t="s">
        <v>394</v>
      </c>
      <c r="F2295" s="3" t="s">
        <v>395</v>
      </c>
      <c r="G2295" s="3" t="s">
        <v>396</v>
      </c>
      <c r="H2295" s="2" t="s">
        <v>55</v>
      </c>
      <c r="I2295" s="2" t="s">
        <v>6343</v>
      </c>
      <c r="J2295" s="3" t="str">
        <f>HYPERLINK("https://www.boe.es/gazeta/dias/1809/12/14/pdfs/GGB-H-1809-582.pdf#page=2","Abrir facsímil")</f>
        <v>Abrir facsímil</v>
      </c>
      <c r="K2295" s="3" t="s">
        <v>57</v>
      </c>
    </row>
    <row r="2296" spans="1:11" ht="42" customHeight="1">
      <c r="A2296" s="2" t="s">
        <v>6344</v>
      </c>
      <c r="B2296" s="2" t="s">
        <v>6345</v>
      </c>
      <c r="C2296" s="2" t="s">
        <v>17</v>
      </c>
      <c r="D2296" s="2" t="s">
        <v>18</v>
      </c>
      <c r="E2296" s="3" t="s">
        <v>1514</v>
      </c>
      <c r="F2296" s="3" t="s">
        <v>1840</v>
      </c>
      <c r="G2296" s="3" t="s">
        <v>21</v>
      </c>
      <c r="H2296" s="2" t="s">
        <v>55</v>
      </c>
      <c r="I2296" s="2" t="s">
        <v>6346</v>
      </c>
      <c r="J2296" s="3" t="str">
        <f>HYPERLINK("https://www.boe.es/gazeta/dias/1809/04/17/pdfs/GGB-1809-19.pdf#page=12","Abrir facsímil")</f>
        <v>Abrir facsímil</v>
      </c>
      <c r="K2296" s="3" t="s">
        <v>57</v>
      </c>
    </row>
    <row r="2297" spans="1:11" ht="42" customHeight="1">
      <c r="A2297" s="2" t="s">
        <v>6347</v>
      </c>
      <c r="B2297" s="2" t="s">
        <v>6348</v>
      </c>
      <c r="C2297" s="2" t="s">
        <v>25</v>
      </c>
      <c r="D2297" s="2" t="s">
        <v>26</v>
      </c>
      <c r="E2297" s="3" t="s">
        <v>933</v>
      </c>
      <c r="F2297" s="3" t="s">
        <v>1363</v>
      </c>
      <c r="G2297" s="3" t="s">
        <v>154</v>
      </c>
      <c r="H2297" s="2" t="s">
        <v>55</v>
      </c>
      <c r="I2297" s="2" t="s">
        <v>6349</v>
      </c>
      <c r="J2297" s="3" t="str">
        <f>HYPERLINK("https://www.boe.es/gazeta/dias/1809/10/28/pdfs/GGB-1809-382.pdf#page=1","Abrir facsímil")</f>
        <v>Abrir facsímil</v>
      </c>
      <c r="K2297" s="3" t="s">
        <v>57</v>
      </c>
    </row>
    <row r="2298" spans="1:11" ht="42" customHeight="1">
      <c r="A2298" s="2" t="s">
        <v>6350</v>
      </c>
      <c r="B2298" s="2" t="s">
        <v>6351</v>
      </c>
      <c r="C2298" s="2" t="s">
        <v>17</v>
      </c>
      <c r="D2298" s="2" t="s">
        <v>18</v>
      </c>
      <c r="E2298" s="3" t="s">
        <v>33</v>
      </c>
      <c r="F2298" s="3" t="s">
        <v>34</v>
      </c>
      <c r="G2298" s="3" t="s">
        <v>493</v>
      </c>
      <c r="H2298" s="2" t="s">
        <v>55</v>
      </c>
      <c r="I2298" s="2" t="s">
        <v>6352</v>
      </c>
      <c r="J2298" s="3" t="str">
        <f>HYPERLINK("https://www.boe.es/gazeta/dias/1809/12/19/pdfs/GGB-1809-602.pdf#page=6","Abrir facsímil")</f>
        <v>Abrir facsímil</v>
      </c>
      <c r="K2298" s="3" t="s">
        <v>57</v>
      </c>
    </row>
    <row r="2299" spans="1:11" ht="42" customHeight="1">
      <c r="A2299" s="2" t="s">
        <v>6353</v>
      </c>
      <c r="B2299" s="2" t="s">
        <v>6353</v>
      </c>
      <c r="C2299" s="2" t="s">
        <v>25</v>
      </c>
      <c r="D2299" s="2" t="s">
        <v>26</v>
      </c>
      <c r="E2299" s="3" t="s">
        <v>755</v>
      </c>
      <c r="F2299" s="3" t="s">
        <v>2335</v>
      </c>
      <c r="G2299" s="3" t="s">
        <v>234</v>
      </c>
      <c r="H2299" s="2" t="s">
        <v>55</v>
      </c>
      <c r="I2299" s="2" t="s">
        <v>6354</v>
      </c>
      <c r="J2299" s="3" t="str">
        <f>HYPERLINK("https://www.boe.es/gazeta/dias/1809/05/20/pdfs/GGB-1809-29E2.pdf#page=1","Abrir facsímil")</f>
        <v>Abrir facsímil</v>
      </c>
      <c r="K2299" s="3" t="s">
        <v>57</v>
      </c>
    </row>
    <row r="2300" spans="1:11" ht="42" customHeight="1">
      <c r="A2300" s="2" t="s">
        <v>6353</v>
      </c>
      <c r="B2300" s="2" t="s">
        <v>6353</v>
      </c>
      <c r="C2300" s="2" t="s">
        <v>131</v>
      </c>
      <c r="D2300" s="2" t="s">
        <v>18</v>
      </c>
      <c r="E2300" s="3" t="s">
        <v>1213</v>
      </c>
      <c r="F2300" s="3" t="s">
        <v>1214</v>
      </c>
      <c r="G2300" s="3" t="s">
        <v>110</v>
      </c>
      <c r="H2300" s="2" t="s">
        <v>55</v>
      </c>
      <c r="I2300" s="2" t="s">
        <v>6355</v>
      </c>
      <c r="J2300" s="3" t="str">
        <f>HYPERLINK("https://www.boe.es/gazeta/dias/1809/12/20/pdfs/GMD-1809-355.pdf#page=2","Abrir facsímil")</f>
        <v>Abrir facsímil</v>
      </c>
      <c r="K2300" s="3" t="s">
        <v>57</v>
      </c>
    </row>
    <row r="2301" spans="1:11" ht="42" customHeight="1">
      <c r="A2301" s="2" t="s">
        <v>6356</v>
      </c>
      <c r="B2301" s="2" t="s">
        <v>6356</v>
      </c>
      <c r="C2301" s="2" t="s">
        <v>17</v>
      </c>
      <c r="D2301" s="2" t="s">
        <v>107</v>
      </c>
      <c r="E2301" s="3" t="s">
        <v>814</v>
      </c>
      <c r="F2301" s="3" t="s">
        <v>2095</v>
      </c>
      <c r="G2301" s="3" t="s">
        <v>129</v>
      </c>
      <c r="H2301" s="2" t="s">
        <v>55</v>
      </c>
      <c r="I2301" s="2" t="s">
        <v>6357</v>
      </c>
      <c r="J2301" s="3" t="str">
        <f>HYPERLINK("https://www.boe.es/gazeta/dias/1809/12/09/pdfs/GMD-1809-344.pdf#page=2","Abrir facsímil")</f>
        <v>Abrir facsímil</v>
      </c>
      <c r="K2301" s="3" t="s">
        <v>57</v>
      </c>
    </row>
    <row r="2302" spans="1:11" ht="42" customHeight="1">
      <c r="A2302" s="2" t="s">
        <v>6358</v>
      </c>
      <c r="B2302" s="2" t="s">
        <v>6359</v>
      </c>
      <c r="C2302" s="2" t="s">
        <v>79</v>
      </c>
      <c r="D2302" s="2" t="s">
        <v>18</v>
      </c>
      <c r="E2302" s="3" t="s">
        <v>2473</v>
      </c>
      <c r="F2302" s="3" t="s">
        <v>2474</v>
      </c>
      <c r="G2302" s="3" t="s">
        <v>29</v>
      </c>
      <c r="H2302" s="2" t="s">
        <v>55</v>
      </c>
      <c r="I2302" s="2" t="s">
        <v>6360</v>
      </c>
      <c r="J2302" s="3" t="str">
        <f>HYPERLINK("https://www.boe.es/gazeta/dias/1809/02/16/pdfs/GMD-1809-47.pdf#page=3","Abrir facsímil")</f>
        <v>Abrir facsímil</v>
      </c>
      <c r="K2302" s="3" t="s">
        <v>57</v>
      </c>
    </row>
    <row r="2303" spans="1:11" ht="42" customHeight="1">
      <c r="A2303" s="2" t="s">
        <v>6361</v>
      </c>
      <c r="B2303" s="2" t="s">
        <v>6362</v>
      </c>
      <c r="C2303" s="2" t="s">
        <v>25</v>
      </c>
      <c r="D2303" s="2" t="s">
        <v>107</v>
      </c>
      <c r="E2303" s="3" t="s">
        <v>81</v>
      </c>
      <c r="F2303" s="3" t="s">
        <v>82</v>
      </c>
      <c r="G2303" s="3" t="s">
        <v>3332</v>
      </c>
      <c r="H2303" s="2" t="s">
        <v>55</v>
      </c>
      <c r="I2303" s="2" t="s">
        <v>6363</v>
      </c>
      <c r="J2303" s="3" t="str">
        <f>HYPERLINK("https://www.boe.es/gazeta/dias/1809/04/11/pdfs/GGB-1809-16E.pdf#page=8","Abrir facsímil")</f>
        <v>Abrir facsímil</v>
      </c>
      <c r="K2303" s="3" t="s">
        <v>57</v>
      </c>
    </row>
    <row r="2304" spans="1:11" ht="42" customHeight="1">
      <c r="A2304" s="2" t="s">
        <v>6364</v>
      </c>
      <c r="B2304" s="2" t="s">
        <v>6365</v>
      </c>
      <c r="C2304" s="2" t="s">
        <v>17</v>
      </c>
      <c r="D2304" s="2" t="s">
        <v>18</v>
      </c>
      <c r="E2304" s="3" t="s">
        <v>712</v>
      </c>
      <c r="F2304" s="3" t="s">
        <v>713</v>
      </c>
      <c r="G2304" s="3" t="s">
        <v>120</v>
      </c>
      <c r="H2304" s="2" t="s">
        <v>55</v>
      </c>
      <c r="I2304" s="2" t="s">
        <v>6366</v>
      </c>
      <c r="J2304" s="3" t="str">
        <f>HYPERLINK("https://www.boe.es/gazeta/dias/1809/09/10/pdfs/GMD-1809-254.pdf#page=2","Abrir facsímil")</f>
        <v>Abrir facsímil</v>
      </c>
      <c r="K2304" s="3" t="s">
        <v>57</v>
      </c>
    </row>
    <row r="2305" spans="1:11" ht="42" customHeight="1">
      <c r="A2305" s="2" t="s">
        <v>6367</v>
      </c>
      <c r="B2305" s="2" t="s">
        <v>6368</v>
      </c>
      <c r="C2305" s="2" t="s">
        <v>39</v>
      </c>
      <c r="D2305" s="2" t="s">
        <v>18</v>
      </c>
      <c r="E2305" s="3" t="s">
        <v>1396</v>
      </c>
      <c r="F2305" s="3" t="s">
        <v>1397</v>
      </c>
      <c r="G2305" s="3" t="s">
        <v>5757</v>
      </c>
      <c r="H2305" s="2" t="s">
        <v>55</v>
      </c>
      <c r="I2305" s="2" t="s">
        <v>6369</v>
      </c>
      <c r="J2305" s="3" t="str">
        <f>HYPERLINK("https://www.boe.es/gazeta/dias/1809/11/28/pdfs/GGB-1809-512.pdf#page=6","Abrir facsímil")</f>
        <v>Abrir facsímil</v>
      </c>
      <c r="K2305" s="3" t="s">
        <v>57</v>
      </c>
    </row>
    <row r="2306" spans="1:11" ht="42" customHeight="1">
      <c r="A2306" s="2" t="s">
        <v>6370</v>
      </c>
      <c r="B2306" s="2" t="s">
        <v>6371</v>
      </c>
      <c r="C2306" s="2" t="s">
        <v>131</v>
      </c>
      <c r="D2306" s="2" t="s">
        <v>26</v>
      </c>
      <c r="E2306" s="3" t="s">
        <v>500</v>
      </c>
      <c r="F2306" s="3" t="s">
        <v>2357</v>
      </c>
      <c r="G2306" s="3" t="s">
        <v>94</v>
      </c>
      <c r="H2306" s="2" t="s">
        <v>55</v>
      </c>
      <c r="I2306" s="2" t="s">
        <v>6372</v>
      </c>
      <c r="J2306" s="3" t="str">
        <f>HYPERLINK("https://www.boe.es/gazeta/dias/1809/03/24/pdfs/GGB-1809-13.pdf#page=5","Abrir facsímil")</f>
        <v>Abrir facsímil</v>
      </c>
      <c r="K2306" s="3" t="s">
        <v>57</v>
      </c>
    </row>
    <row r="2307" spans="1:11" ht="42" customHeight="1">
      <c r="A2307" s="2" t="s">
        <v>6373</v>
      </c>
      <c r="B2307" s="2" t="s">
        <v>6373</v>
      </c>
      <c r="C2307" s="2" t="s">
        <v>25</v>
      </c>
      <c r="D2307" s="2" t="s">
        <v>18</v>
      </c>
      <c r="E2307" s="3" t="s">
        <v>2142</v>
      </c>
      <c r="F2307" s="3" t="s">
        <v>2143</v>
      </c>
      <c r="G2307" s="3" t="s">
        <v>21</v>
      </c>
      <c r="H2307" s="2" t="s">
        <v>55</v>
      </c>
      <c r="I2307" s="2" t="s">
        <v>6374</v>
      </c>
      <c r="J2307" s="3" t="str">
        <f>HYPERLINK("https://www.boe.es/gazeta/dias/1809/03/16/pdfs/GMD-1809-75.pdf#page=3","Abrir facsímil")</f>
        <v>Abrir facsímil</v>
      </c>
      <c r="K2307" s="3" t="s">
        <v>57</v>
      </c>
    </row>
    <row r="2308" spans="1:11" ht="42" customHeight="1">
      <c r="A2308" s="2" t="s">
        <v>6375</v>
      </c>
      <c r="B2308" s="2" t="s">
        <v>6375</v>
      </c>
      <c r="C2308" s="2" t="s">
        <v>25</v>
      </c>
      <c r="D2308" s="2" t="s">
        <v>26</v>
      </c>
      <c r="E2308" s="3" t="s">
        <v>216</v>
      </c>
      <c r="F2308" s="3" t="s">
        <v>217</v>
      </c>
      <c r="G2308" s="3" t="s">
        <v>587</v>
      </c>
      <c r="H2308" s="2" t="s">
        <v>55</v>
      </c>
      <c r="I2308" s="2" t="s">
        <v>6376</v>
      </c>
      <c r="J2308" s="3" t="str">
        <f>HYPERLINK("https://www.boe.es/gazeta/dias/1809/12/05/pdfs/GGB-H-1809-542.pdf#page=4","Abrir facsímil")</f>
        <v>Abrir facsímil</v>
      </c>
      <c r="K2308" s="3" t="s">
        <v>57</v>
      </c>
    </row>
    <row r="2309" spans="1:11" ht="42" customHeight="1">
      <c r="A2309" s="2" t="s">
        <v>6375</v>
      </c>
      <c r="B2309" s="2" t="s">
        <v>6375</v>
      </c>
      <c r="C2309" s="2" t="s">
        <v>25</v>
      </c>
      <c r="D2309" s="2" t="s">
        <v>26</v>
      </c>
      <c r="E2309" s="3" t="s">
        <v>220</v>
      </c>
      <c r="F2309" s="3" t="s">
        <v>221</v>
      </c>
      <c r="G2309" s="3" t="s">
        <v>154</v>
      </c>
      <c r="H2309" s="2" t="s">
        <v>55</v>
      </c>
      <c r="I2309" s="2" t="s">
        <v>6377</v>
      </c>
      <c r="J2309" s="3" t="str">
        <f>HYPERLINK("https://www.boe.es/gazeta/dias/1809/12/13/pdfs/GMD-1809-348.pdf#page=4","Abrir facsímil")</f>
        <v>Abrir facsímil</v>
      </c>
      <c r="K2309" s="3" t="s">
        <v>57</v>
      </c>
    </row>
    <row r="2310" spans="1:11" ht="42" customHeight="1">
      <c r="A2310" s="2" t="s">
        <v>6378</v>
      </c>
      <c r="B2310" s="2" t="s">
        <v>6379</v>
      </c>
      <c r="C2310" s="2" t="s">
        <v>17</v>
      </c>
      <c r="D2310" s="2" t="s">
        <v>18</v>
      </c>
      <c r="E2310" s="3" t="s">
        <v>1048</v>
      </c>
      <c r="F2310" s="3" t="s">
        <v>1049</v>
      </c>
      <c r="G2310" s="3" t="s">
        <v>141</v>
      </c>
      <c r="H2310" s="2" t="s">
        <v>55</v>
      </c>
      <c r="I2310" s="2" t="s">
        <v>6380</v>
      </c>
      <c r="J2310" s="3" t="str">
        <f>HYPERLINK("https://www.boe.es/gazeta/dias/1809/08/10/pdfs/GGB-1809-42.pdf#page=4","Abrir facsímil")</f>
        <v>Abrir facsímil</v>
      </c>
      <c r="K2310" s="3" t="s">
        <v>57</v>
      </c>
    </row>
    <row r="2311" spans="1:11" ht="42" customHeight="1">
      <c r="A2311" s="2" t="s">
        <v>6378</v>
      </c>
      <c r="B2311" s="2" t="s">
        <v>6379</v>
      </c>
      <c r="C2311" s="2" t="s">
        <v>17</v>
      </c>
      <c r="D2311" s="2" t="s">
        <v>40</v>
      </c>
      <c r="E2311" s="3" t="s">
        <v>118</v>
      </c>
      <c r="F2311" s="3" t="s">
        <v>2125</v>
      </c>
      <c r="G2311" s="3" t="s">
        <v>6381</v>
      </c>
      <c r="H2311" s="2" t="s">
        <v>55</v>
      </c>
      <c r="I2311" s="2" t="s">
        <v>6382</v>
      </c>
      <c r="J2311" s="3" t="str">
        <f>HYPERLINK("https://www.boe.es/gazeta/dias/1809/09/07/pdfs/GGB-1809-162.pdf#page=7","Abrir facsímil")</f>
        <v>Abrir facsímil</v>
      </c>
      <c r="K2311" s="3" t="s">
        <v>57</v>
      </c>
    </row>
    <row r="2312" spans="1:11" ht="42" customHeight="1">
      <c r="A2312" s="2" t="s">
        <v>6378</v>
      </c>
      <c r="B2312" s="2" t="s">
        <v>6379</v>
      </c>
      <c r="C2312" s="2" t="s">
        <v>17</v>
      </c>
      <c r="D2312" s="2" t="s">
        <v>18</v>
      </c>
      <c r="E2312" s="3" t="s">
        <v>207</v>
      </c>
      <c r="F2312" s="3" t="s">
        <v>2864</v>
      </c>
      <c r="G2312" s="3" t="s">
        <v>6383</v>
      </c>
      <c r="H2312" s="2" t="s">
        <v>55</v>
      </c>
      <c r="I2312" s="2" t="s">
        <v>6384</v>
      </c>
      <c r="J2312" s="3" t="str">
        <f>HYPERLINK("https://www.boe.es/gazeta/dias/1809/09/16/pdfs/GGB-1809-202.pdf#page=7","Abrir facsímil")</f>
        <v>Abrir facsímil</v>
      </c>
      <c r="K2312" s="3" t="s">
        <v>57</v>
      </c>
    </row>
    <row r="2313" spans="1:11" ht="42" customHeight="1">
      <c r="A2313" s="2" t="s">
        <v>6385</v>
      </c>
      <c r="B2313" s="2" t="s">
        <v>6386</v>
      </c>
      <c r="C2313" s="2" t="s">
        <v>131</v>
      </c>
      <c r="D2313" s="2" t="s">
        <v>18</v>
      </c>
      <c r="E2313" s="3" t="s">
        <v>515</v>
      </c>
      <c r="F2313" s="3" t="s">
        <v>516</v>
      </c>
      <c r="G2313" s="3" t="s">
        <v>1380</v>
      </c>
      <c r="H2313" s="2" t="s">
        <v>55</v>
      </c>
      <c r="I2313" s="2" t="s">
        <v>6387</v>
      </c>
      <c r="J2313" s="3" t="str">
        <f>HYPERLINK("https://www.boe.es/gazeta/dias/1809/09/02/pdfs/GMD-1809-246.pdf#page=3","Abrir facsímil")</f>
        <v>Abrir facsímil</v>
      </c>
      <c r="K2313" s="3" t="s">
        <v>57</v>
      </c>
    </row>
    <row r="2314" spans="1:11" ht="42" customHeight="1">
      <c r="A2314" s="2" t="s">
        <v>6388</v>
      </c>
      <c r="B2314" s="2" t="s">
        <v>6388</v>
      </c>
      <c r="C2314" s="2" t="s">
        <v>79</v>
      </c>
      <c r="D2314" s="2" t="s">
        <v>18</v>
      </c>
      <c r="E2314" s="3" t="s">
        <v>2142</v>
      </c>
      <c r="F2314" s="3" t="s">
        <v>2143</v>
      </c>
      <c r="G2314" s="3" t="s">
        <v>62</v>
      </c>
      <c r="H2314" s="2" t="s">
        <v>55</v>
      </c>
      <c r="I2314" s="2" t="s">
        <v>6389</v>
      </c>
      <c r="J2314" s="3" t="str">
        <f>HYPERLINK("https://www.boe.es/gazeta/dias/1809/03/16/pdfs/GMD-1809-75.pdf#page=4","Abrir facsímil")</f>
        <v>Abrir facsímil</v>
      </c>
      <c r="K2314" s="3" t="s">
        <v>57</v>
      </c>
    </row>
    <row r="2315" spans="1:11" ht="42" customHeight="1">
      <c r="A2315" s="2" t="s">
        <v>6390</v>
      </c>
      <c r="B2315" s="2" t="s">
        <v>6391</v>
      </c>
      <c r="C2315" s="2" t="s">
        <v>17</v>
      </c>
      <c r="D2315" s="2" t="s">
        <v>72</v>
      </c>
      <c r="E2315" s="3" t="s">
        <v>163</v>
      </c>
      <c r="F2315" s="3" t="s">
        <v>164</v>
      </c>
      <c r="G2315" s="3" t="s">
        <v>21</v>
      </c>
      <c r="H2315" s="2" t="s">
        <v>55</v>
      </c>
      <c r="I2315" s="2" t="s">
        <v>6392</v>
      </c>
      <c r="J2315" s="3" t="str">
        <f>HYPERLINK("https://www.boe.es/gazeta/dias/1809/03/10/pdfs/GGB-H-1809-11.pdf#page=8","Abrir facsímil")</f>
        <v>Abrir facsímil</v>
      </c>
      <c r="K2315" s="3" t="s">
        <v>57</v>
      </c>
    </row>
    <row r="2316" spans="1:11" ht="42" customHeight="1">
      <c r="A2316" s="2" t="s">
        <v>6393</v>
      </c>
      <c r="B2316" s="2" t="s">
        <v>6393</v>
      </c>
      <c r="C2316" s="2" t="s">
        <v>25</v>
      </c>
      <c r="D2316" s="2" t="s">
        <v>40</v>
      </c>
      <c r="E2316" s="3" t="s">
        <v>3167</v>
      </c>
      <c r="F2316" s="3" t="s">
        <v>6394</v>
      </c>
      <c r="G2316" s="3" t="s">
        <v>75</v>
      </c>
      <c r="H2316" s="2" t="s">
        <v>55</v>
      </c>
      <c r="I2316" s="2" t="s">
        <v>6395</v>
      </c>
      <c r="J2316" s="3" t="str">
        <f>HYPERLINK("https://www.boe.es/gazeta/dias/1809/04/07/pdfs/GGB-1809-15E.pdf#page=4","Abrir facsímil")</f>
        <v>Abrir facsímil</v>
      </c>
      <c r="K2316" s="3" t="s">
        <v>57</v>
      </c>
    </row>
    <row r="2317" spans="1:11" ht="42" customHeight="1">
      <c r="A2317" s="2" t="s">
        <v>6393</v>
      </c>
      <c r="B2317" s="2" t="s">
        <v>6393</v>
      </c>
      <c r="C2317" s="2" t="s">
        <v>25</v>
      </c>
      <c r="D2317" s="2" t="s">
        <v>26</v>
      </c>
      <c r="E2317" s="3" t="s">
        <v>123</v>
      </c>
      <c r="F2317" s="3" t="s">
        <v>6396</v>
      </c>
      <c r="G2317" s="3" t="s">
        <v>6397</v>
      </c>
      <c r="H2317" s="2" t="s">
        <v>55</v>
      </c>
      <c r="I2317" s="2" t="s">
        <v>6398</v>
      </c>
      <c r="J2317" s="3" t="str">
        <f>HYPERLINK("https://www.boe.es/gazeta/dias/1809/04/21/pdfs/GGB-1809-20E.pdf#page=1","Abrir facsímil")</f>
        <v>Abrir facsímil</v>
      </c>
      <c r="K2317" s="3" t="s">
        <v>57</v>
      </c>
    </row>
    <row r="2318" spans="1:11" ht="42" customHeight="1">
      <c r="A2318" s="2" t="s">
        <v>6399</v>
      </c>
      <c r="B2318" s="2" t="s">
        <v>6400</v>
      </c>
      <c r="C2318" s="2" t="s">
        <v>25</v>
      </c>
      <c r="D2318" s="2" t="s">
        <v>107</v>
      </c>
      <c r="E2318" s="3" t="s">
        <v>621</v>
      </c>
      <c r="F2318" s="3" t="s">
        <v>913</v>
      </c>
      <c r="G2318" s="3" t="s">
        <v>914</v>
      </c>
      <c r="H2318" s="2" t="s">
        <v>22</v>
      </c>
      <c r="I2318" s="2" t="s">
        <v>6401</v>
      </c>
      <c r="J2318" s="3" t="str">
        <f>HYPERLINK("https://www.boe.es/gazeta/dias/1809/07/04/pdfs/GMD-1809-185.pdf#page=2","Abrir facsímil")</f>
        <v>Abrir facsímil</v>
      </c>
      <c r="K2318" s="3" t="s">
        <v>24</v>
      </c>
    </row>
    <row r="2319" spans="1:11" ht="42" customHeight="1">
      <c r="A2319" s="2" t="s">
        <v>6402</v>
      </c>
      <c r="B2319" s="2" t="s">
        <v>6403</v>
      </c>
      <c r="C2319" s="2" t="s">
        <v>39</v>
      </c>
      <c r="D2319" s="2" t="s">
        <v>18</v>
      </c>
      <c r="E2319" s="3" t="s">
        <v>158</v>
      </c>
      <c r="F2319" s="3" t="s">
        <v>159</v>
      </c>
      <c r="G2319" s="3" t="s">
        <v>906</v>
      </c>
      <c r="H2319" s="2" t="s">
        <v>55</v>
      </c>
      <c r="I2319" s="2" t="s">
        <v>6404</v>
      </c>
      <c r="J2319" s="3" t="str">
        <f>HYPERLINK("https://www.boe.es/gazeta/dias/1809/02/10/pdfs/GGB-1809-7.pdf#page=8","Abrir facsímil")</f>
        <v>Abrir facsímil</v>
      </c>
      <c r="K2319" s="3" t="s">
        <v>57</v>
      </c>
    </row>
    <row r="2320" spans="1:11" ht="42" customHeight="1">
      <c r="A2320" s="2" t="s">
        <v>6402</v>
      </c>
      <c r="B2320" s="2" t="s">
        <v>6403</v>
      </c>
      <c r="C2320" s="2" t="s">
        <v>17</v>
      </c>
      <c r="D2320" s="2" t="s">
        <v>18</v>
      </c>
      <c r="E2320" s="3" t="s">
        <v>33</v>
      </c>
      <c r="F2320" s="3" t="s">
        <v>34</v>
      </c>
      <c r="G2320" s="3" t="s">
        <v>35</v>
      </c>
      <c r="H2320" s="2" t="s">
        <v>55</v>
      </c>
      <c r="I2320" s="2" t="s">
        <v>6405</v>
      </c>
      <c r="J2320" s="3" t="str">
        <f>HYPERLINK("https://www.boe.es/gazeta/dias/1809/12/19/pdfs/GGB-1809-602.pdf#page=5","Abrir facsímil")</f>
        <v>Abrir facsímil</v>
      </c>
      <c r="K2320" s="3" t="s">
        <v>57</v>
      </c>
    </row>
    <row r="2321" spans="1:11" ht="42" customHeight="1">
      <c r="A2321" s="2" t="s">
        <v>6406</v>
      </c>
      <c r="B2321" s="2" t="s">
        <v>6407</v>
      </c>
      <c r="C2321" s="2" t="s">
        <v>131</v>
      </c>
      <c r="D2321" s="2" t="s">
        <v>18</v>
      </c>
      <c r="E2321" s="3" t="s">
        <v>1898</v>
      </c>
      <c r="F2321" s="3" t="s">
        <v>1970</v>
      </c>
      <c r="G2321" s="3" t="s">
        <v>154</v>
      </c>
      <c r="H2321" s="2" t="s">
        <v>55</v>
      </c>
      <c r="I2321" s="2" t="s">
        <v>6408</v>
      </c>
      <c r="J2321" s="3" t="str">
        <f>HYPERLINK("https://www.boe.es/gazeta/dias/1809/12/02/pdfs/GMD-1809-337.pdf#page=4","Abrir facsímil")</f>
        <v>Abrir facsímil</v>
      </c>
      <c r="K2321" s="3" t="s">
        <v>57</v>
      </c>
    </row>
    <row r="2322" spans="1:11" ht="42" customHeight="1">
      <c r="A2322" s="2" t="s">
        <v>6409</v>
      </c>
      <c r="B2322" s="2" t="s">
        <v>6409</v>
      </c>
      <c r="C2322" s="2" t="s">
        <v>25</v>
      </c>
      <c r="D2322" s="2" t="s">
        <v>18</v>
      </c>
      <c r="E2322" s="3" t="s">
        <v>1891</v>
      </c>
      <c r="F2322" s="3" t="s">
        <v>6410</v>
      </c>
      <c r="G2322" s="3" t="s">
        <v>6411</v>
      </c>
      <c r="H2322" s="2" t="s">
        <v>55</v>
      </c>
      <c r="I2322" s="2" t="s">
        <v>6412</v>
      </c>
      <c r="J2322" s="3" t="str">
        <f>HYPERLINK("https://www.boe.es/gazeta/dias/1809/06/10/pdfs/GMD-1809-161.pdf#page=3","Abrir facsímil")</f>
        <v>Abrir facsímil</v>
      </c>
      <c r="K2322" s="3" t="s">
        <v>57</v>
      </c>
    </row>
    <row r="2323" spans="1:11" ht="42" customHeight="1">
      <c r="A2323" s="2" t="s">
        <v>6413</v>
      </c>
      <c r="B2323" s="2" t="s">
        <v>6413</v>
      </c>
      <c r="C2323" s="2" t="s">
        <v>25</v>
      </c>
      <c r="D2323" s="2" t="s">
        <v>18</v>
      </c>
      <c r="E2323" s="3" t="s">
        <v>758</v>
      </c>
      <c r="F2323" s="3" t="s">
        <v>759</v>
      </c>
      <c r="G2323" s="3" t="s">
        <v>62</v>
      </c>
      <c r="H2323" s="2" t="s">
        <v>55</v>
      </c>
      <c r="I2323" s="2" t="s">
        <v>6414</v>
      </c>
      <c r="J2323" s="3" t="str">
        <f>HYPERLINK("https://www.boe.es/gazeta/dias/1809/06/01/pdfs/GMD-1809-152.pdf#page=2","Abrir facsímil")</f>
        <v>Abrir facsímil</v>
      </c>
      <c r="K2323" s="3" t="s">
        <v>57</v>
      </c>
    </row>
    <row r="2324" spans="1:11" ht="42" customHeight="1">
      <c r="A2324" s="2" t="s">
        <v>6415</v>
      </c>
      <c r="B2324" s="2" t="s">
        <v>6416</v>
      </c>
      <c r="C2324" s="2" t="s">
        <v>17</v>
      </c>
      <c r="D2324" s="2" t="s">
        <v>18</v>
      </c>
      <c r="E2324" s="3" t="s">
        <v>833</v>
      </c>
      <c r="F2324" s="3" t="s">
        <v>834</v>
      </c>
      <c r="G2324" s="3" t="s">
        <v>239</v>
      </c>
      <c r="H2324" s="2" t="s">
        <v>55</v>
      </c>
      <c r="I2324" s="2" t="s">
        <v>6417</v>
      </c>
      <c r="J2324" s="3" t="str">
        <f>HYPERLINK("https://www.boe.es/gazeta/dias/1809/01/05/pdfs/GMD-1809-5.pdf#page=3","Abrir facsímil")</f>
        <v>Abrir facsímil</v>
      </c>
      <c r="K2324" s="3" t="s">
        <v>57</v>
      </c>
    </row>
    <row r="2325" spans="1:11" ht="42" customHeight="1">
      <c r="A2325" s="2" t="s">
        <v>6418</v>
      </c>
      <c r="B2325" s="2" t="s">
        <v>6419</v>
      </c>
      <c r="C2325" s="2" t="s">
        <v>17</v>
      </c>
      <c r="D2325" s="2" t="s">
        <v>18</v>
      </c>
      <c r="E2325" s="3" t="s">
        <v>589</v>
      </c>
      <c r="F2325" s="3" t="s">
        <v>1329</v>
      </c>
      <c r="G2325" s="3" t="s">
        <v>29</v>
      </c>
      <c r="H2325" s="2" t="s">
        <v>55</v>
      </c>
      <c r="I2325" s="2" t="s">
        <v>6420</v>
      </c>
      <c r="J2325" s="3" t="str">
        <f>HYPERLINK("https://www.boe.es/gazeta/dias/1809/10/05/pdfs/GMD-1809-279.pdf#page=3","Abrir facsímil")</f>
        <v>Abrir facsímil</v>
      </c>
      <c r="K2325" s="3" t="s">
        <v>57</v>
      </c>
    </row>
    <row r="2326" spans="1:11" ht="42" customHeight="1">
      <c r="A2326" s="2" t="s">
        <v>6421</v>
      </c>
      <c r="B2326" s="2" t="s">
        <v>6422</v>
      </c>
      <c r="C2326" s="2" t="s">
        <v>17</v>
      </c>
      <c r="D2326" s="2" t="s">
        <v>18</v>
      </c>
      <c r="E2326" s="3" t="s">
        <v>442</v>
      </c>
      <c r="F2326" s="3" t="s">
        <v>2171</v>
      </c>
      <c r="G2326" s="3" t="s">
        <v>2172</v>
      </c>
      <c r="H2326" s="2" t="s">
        <v>55</v>
      </c>
      <c r="I2326" s="2" t="s">
        <v>6423</v>
      </c>
      <c r="J2326" s="3" t="str">
        <f>HYPERLINK("https://www.boe.es/gazeta/dias/1809/09/05/pdfs/GMD-1809-249.pdf#page=4","Abrir facsímil")</f>
        <v>Abrir facsímil</v>
      </c>
      <c r="K2326" s="3" t="s">
        <v>57</v>
      </c>
    </row>
    <row r="2327" spans="1:11" ht="42" customHeight="1">
      <c r="A2327" s="2" t="s">
        <v>6424</v>
      </c>
      <c r="B2327" s="2" t="s">
        <v>6425</v>
      </c>
      <c r="C2327" s="2" t="s">
        <v>79</v>
      </c>
      <c r="D2327" s="2" t="s">
        <v>18</v>
      </c>
      <c r="E2327" s="3" t="s">
        <v>53</v>
      </c>
      <c r="F2327" s="3" t="s">
        <v>54</v>
      </c>
      <c r="G2327" s="3" t="s">
        <v>29</v>
      </c>
      <c r="H2327" s="2" t="s">
        <v>55</v>
      </c>
      <c r="I2327" s="2" t="s">
        <v>6426</v>
      </c>
      <c r="J2327" s="3" t="str">
        <f>HYPERLINK("https://www.boe.es/gazeta/dias/1809/03/03/pdfs/GMD-1809-62.pdf#page=3","Abrir facsímil")</f>
        <v>Abrir facsímil</v>
      </c>
      <c r="K2327" s="3" t="s">
        <v>57</v>
      </c>
    </row>
    <row r="2328" spans="1:11" ht="42" customHeight="1">
      <c r="A2328" s="2" t="s">
        <v>6427</v>
      </c>
      <c r="B2328" s="2" t="s">
        <v>6428</v>
      </c>
      <c r="C2328" s="2" t="s">
        <v>79</v>
      </c>
      <c r="D2328" s="2" t="s">
        <v>26</v>
      </c>
      <c r="E2328" s="3" t="s">
        <v>394</v>
      </c>
      <c r="F2328" s="3" t="s">
        <v>2563</v>
      </c>
      <c r="G2328" s="3" t="s">
        <v>110</v>
      </c>
      <c r="H2328" s="2" t="s">
        <v>55</v>
      </c>
      <c r="I2328" s="2" t="s">
        <v>6429</v>
      </c>
      <c r="J2328" s="3" t="str">
        <f>HYPERLINK("https://www.boe.es/gazeta/dias/1809/12/14/pdfs/GMD-1809-349.pdf#page=3","Abrir facsímil")</f>
        <v>Abrir facsímil</v>
      </c>
      <c r="K2328" s="3" t="s">
        <v>57</v>
      </c>
    </row>
    <row r="2329" spans="1:11" ht="42" customHeight="1">
      <c r="A2329" s="2" t="s">
        <v>6430</v>
      </c>
      <c r="B2329" s="2" t="s">
        <v>6430</v>
      </c>
      <c r="C2329" s="2" t="s">
        <v>25</v>
      </c>
      <c r="D2329" s="2" t="s">
        <v>18</v>
      </c>
      <c r="E2329" s="3" t="s">
        <v>649</v>
      </c>
      <c r="F2329" s="3" t="s">
        <v>650</v>
      </c>
      <c r="G2329" s="3" t="s">
        <v>651</v>
      </c>
      <c r="H2329" s="2" t="s">
        <v>55</v>
      </c>
      <c r="I2329" s="2" t="s">
        <v>6431</v>
      </c>
      <c r="J2329" s="3" t="str">
        <f>HYPERLINK("https://www.boe.es/gazeta/dias/1809/10/08/pdfs/GMD-1809-282.pdf#page=2","Abrir facsímil")</f>
        <v>Abrir facsímil</v>
      </c>
      <c r="K2329" s="3" t="s">
        <v>57</v>
      </c>
    </row>
    <row r="2330" spans="1:11" ht="42" customHeight="1">
      <c r="A2330" s="2" t="s">
        <v>6432</v>
      </c>
      <c r="B2330" s="2" t="s">
        <v>6433</v>
      </c>
      <c r="C2330" s="2" t="s">
        <v>25</v>
      </c>
      <c r="D2330" s="2" t="s">
        <v>26</v>
      </c>
      <c r="E2330" s="3" t="s">
        <v>599</v>
      </c>
      <c r="F2330" s="3" t="s">
        <v>600</v>
      </c>
      <c r="G2330" s="3" t="s">
        <v>234</v>
      </c>
      <c r="H2330" s="2" t="s">
        <v>55</v>
      </c>
      <c r="I2330" s="2" t="s">
        <v>6434</v>
      </c>
      <c r="J2330" s="3" t="str">
        <f>HYPERLINK("https://www.boe.es/gazeta/dias/1809/01/19/pdfs/GMD-1809-19.pdf#page=2","Abrir facsímil")</f>
        <v>Abrir facsímil</v>
      </c>
      <c r="K2330" s="3" t="s">
        <v>57</v>
      </c>
    </row>
    <row r="2331" spans="1:11" ht="42" customHeight="1">
      <c r="A2331" s="2" t="s">
        <v>6435</v>
      </c>
      <c r="B2331" s="2" t="s">
        <v>6435</v>
      </c>
      <c r="C2331" s="2" t="s">
        <v>25</v>
      </c>
      <c r="D2331" s="2" t="s">
        <v>18</v>
      </c>
      <c r="E2331" s="3" t="s">
        <v>864</v>
      </c>
      <c r="F2331" s="3" t="s">
        <v>2684</v>
      </c>
      <c r="G2331" s="3" t="s">
        <v>6436</v>
      </c>
      <c r="H2331" s="2" t="s">
        <v>55</v>
      </c>
      <c r="I2331" s="2" t="s">
        <v>6437</v>
      </c>
      <c r="J2331" s="3" t="str">
        <f>HYPERLINK("https://www.boe.es/gazeta/dias/1809/08/31/pdfs/GGB-1809-132.pdf#page=4","Abrir facsímil")</f>
        <v>Abrir facsímil</v>
      </c>
      <c r="K2331" s="3" t="s">
        <v>57</v>
      </c>
    </row>
    <row r="2332" spans="1:11" ht="42" customHeight="1">
      <c r="A2332" s="2" t="s">
        <v>6438</v>
      </c>
      <c r="B2332" s="2" t="s">
        <v>6439</v>
      </c>
      <c r="C2332" s="2" t="s">
        <v>17</v>
      </c>
      <c r="D2332" s="2" t="s">
        <v>18</v>
      </c>
      <c r="E2332" s="3" t="s">
        <v>294</v>
      </c>
      <c r="F2332" s="3" t="s">
        <v>1360</v>
      </c>
      <c r="G2332" s="3" t="s">
        <v>2517</v>
      </c>
      <c r="H2332" s="2" t="s">
        <v>55</v>
      </c>
      <c r="I2332" s="2" t="s">
        <v>6440</v>
      </c>
      <c r="J2332" s="3" t="str">
        <f>HYPERLINK("https://www.boe.es/gazeta/dias/1809/09/30/pdfs/GGB-1809-262.pdf#page=2","Abrir facsímil")</f>
        <v>Abrir facsímil</v>
      </c>
      <c r="K2332" s="3" t="s">
        <v>57</v>
      </c>
    </row>
    <row r="2333" spans="1:11" ht="42" customHeight="1">
      <c r="A2333" s="2" t="s">
        <v>6438</v>
      </c>
      <c r="B2333" s="2" t="s">
        <v>6439</v>
      </c>
      <c r="C2333" s="2" t="s">
        <v>25</v>
      </c>
      <c r="D2333" s="2" t="s">
        <v>18</v>
      </c>
      <c r="E2333" s="3" t="s">
        <v>294</v>
      </c>
      <c r="F2333" s="3" t="s">
        <v>1360</v>
      </c>
      <c r="G2333" s="3" t="s">
        <v>830</v>
      </c>
      <c r="H2333" s="2" t="s">
        <v>55</v>
      </c>
      <c r="I2333" s="2" t="s">
        <v>6441</v>
      </c>
      <c r="J2333" s="3" t="str">
        <f>HYPERLINK("https://www.boe.es/gazeta/dias/1809/09/30/pdfs/GGB-1809-262.pdf#page=4","Abrir facsímil")</f>
        <v>Abrir facsímil</v>
      </c>
      <c r="K2333" s="3" t="s">
        <v>57</v>
      </c>
    </row>
    <row r="2334" spans="1:11" ht="42" customHeight="1">
      <c r="A2334" s="2" t="s">
        <v>6442</v>
      </c>
      <c r="B2334" s="2" t="s">
        <v>6442</v>
      </c>
      <c r="C2334" s="2" t="s">
        <v>25</v>
      </c>
      <c r="D2334" s="2" t="s">
        <v>26</v>
      </c>
      <c r="E2334" s="3" t="s">
        <v>749</v>
      </c>
      <c r="F2334" s="3" t="s">
        <v>750</v>
      </c>
      <c r="G2334" s="3" t="s">
        <v>1056</v>
      </c>
      <c r="H2334" s="2" t="s">
        <v>55</v>
      </c>
      <c r="I2334" s="2" t="s">
        <v>6443</v>
      </c>
      <c r="J2334" s="3" t="str">
        <f>HYPERLINK("https://www.boe.es/gazeta/dias/1809/05/19/pdfs/GGB-1809-29.pdf#page=7","Abrir facsímil")</f>
        <v>Abrir facsímil</v>
      </c>
      <c r="K2334" s="3" t="s">
        <v>57</v>
      </c>
    </row>
    <row r="2335" spans="1:11" ht="42" customHeight="1">
      <c r="A2335" s="2" t="s">
        <v>6444</v>
      </c>
      <c r="B2335" s="2" t="s">
        <v>6445</v>
      </c>
      <c r="C2335" s="2" t="s">
        <v>39</v>
      </c>
      <c r="D2335" s="2" t="s">
        <v>18</v>
      </c>
      <c r="E2335" s="3" t="s">
        <v>299</v>
      </c>
      <c r="F2335" s="3" t="s">
        <v>300</v>
      </c>
      <c r="G2335" s="3" t="s">
        <v>301</v>
      </c>
      <c r="H2335" s="2" t="s">
        <v>55</v>
      </c>
      <c r="I2335" s="2" t="s">
        <v>6446</v>
      </c>
      <c r="J2335" s="3" t="str">
        <f>HYPERLINK("https://www.boe.es/gazeta/dias/1809/05/26/pdfs/GGB-1809-31.pdf#page=10","Abrir facsímil")</f>
        <v>Abrir facsímil</v>
      </c>
      <c r="K2335" s="3" t="s">
        <v>57</v>
      </c>
    </row>
    <row r="2336" spans="1:11" ht="42" customHeight="1">
      <c r="A2336" s="2" t="s">
        <v>6447</v>
      </c>
      <c r="B2336" s="2" t="s">
        <v>6447</v>
      </c>
      <c r="C2336" s="2" t="s">
        <v>25</v>
      </c>
      <c r="D2336" s="2" t="s">
        <v>18</v>
      </c>
      <c r="E2336" s="3" t="s">
        <v>1007</v>
      </c>
      <c r="F2336" s="3" t="s">
        <v>1008</v>
      </c>
      <c r="G2336" s="3" t="s">
        <v>525</v>
      </c>
      <c r="H2336" s="2" t="s">
        <v>55</v>
      </c>
      <c r="I2336" s="2" t="s">
        <v>6448</v>
      </c>
      <c r="J2336" s="3" t="str">
        <f>HYPERLINK("https://www.boe.es/gazeta/dias/1809/04/14/pdfs/GMD-1809-104.pdf#page=1","Abrir facsímil")</f>
        <v>Abrir facsímil</v>
      </c>
      <c r="K2336" s="3" t="s">
        <v>57</v>
      </c>
    </row>
    <row r="2337" spans="1:11" ht="42" customHeight="1">
      <c r="A2337" s="2" t="s">
        <v>6447</v>
      </c>
      <c r="B2337" s="2" t="s">
        <v>6447</v>
      </c>
      <c r="C2337" s="2" t="s">
        <v>25</v>
      </c>
      <c r="D2337" s="2" t="s">
        <v>18</v>
      </c>
      <c r="E2337" s="3" t="s">
        <v>666</v>
      </c>
      <c r="F2337" s="3" t="s">
        <v>667</v>
      </c>
      <c r="G2337" s="3" t="s">
        <v>6449</v>
      </c>
      <c r="H2337" s="2" t="s">
        <v>55</v>
      </c>
      <c r="I2337" s="2" t="s">
        <v>6450</v>
      </c>
      <c r="J2337" s="3" t="str">
        <f>HYPERLINK("https://www.boe.es/gazeta/dias/1809/08/29/pdfs/GGB-1809-122.pdf#page=3","Abrir facsímil")</f>
        <v>Abrir facsímil</v>
      </c>
      <c r="K2337" s="3" t="s">
        <v>57</v>
      </c>
    </row>
    <row r="2338" spans="1:11" ht="42" customHeight="1">
      <c r="A2338" s="2" t="s">
        <v>6447</v>
      </c>
      <c r="B2338" s="2" t="s">
        <v>6447</v>
      </c>
      <c r="C2338" s="2" t="s">
        <v>25</v>
      </c>
      <c r="D2338" s="2" t="s">
        <v>18</v>
      </c>
      <c r="E2338" s="3" t="s">
        <v>2408</v>
      </c>
      <c r="F2338" s="3" t="s">
        <v>2409</v>
      </c>
      <c r="G2338" s="3" t="s">
        <v>75</v>
      </c>
      <c r="H2338" s="2" t="s">
        <v>55</v>
      </c>
      <c r="I2338" s="2" t="s">
        <v>6451</v>
      </c>
      <c r="J2338" s="3" t="str">
        <f>HYPERLINK("https://www.boe.es/gazeta/dias/1809/09/20/pdfs/GMD-1809-264.pdf#page=2","Abrir facsímil")</f>
        <v>Abrir facsímil</v>
      </c>
      <c r="K2338" s="3" t="s">
        <v>57</v>
      </c>
    </row>
    <row r="2339" spans="1:11" ht="42" customHeight="1">
      <c r="A2339" s="2" t="s">
        <v>6452</v>
      </c>
      <c r="B2339" s="2" t="s">
        <v>6452</v>
      </c>
      <c r="C2339" s="2" t="s">
        <v>25</v>
      </c>
      <c r="D2339" s="2" t="s">
        <v>26</v>
      </c>
      <c r="E2339" s="3" t="s">
        <v>776</v>
      </c>
      <c r="F2339" s="3" t="s">
        <v>1485</v>
      </c>
      <c r="G2339" s="3" t="s">
        <v>6453</v>
      </c>
      <c r="H2339" s="2" t="s">
        <v>55</v>
      </c>
      <c r="I2339" s="2" t="s">
        <v>6454</v>
      </c>
      <c r="J2339" s="3" t="str">
        <f>HYPERLINK("https://www.boe.es/gazeta/dias/1809/05/28/pdfs/GGB-1809-31E2.pdf#page=7","Abrir facsímil")</f>
        <v>Abrir facsímil</v>
      </c>
      <c r="K2339" s="3" t="s">
        <v>57</v>
      </c>
    </row>
    <row r="2340" spans="1:11" ht="42" customHeight="1">
      <c r="A2340" s="2" t="s">
        <v>6455</v>
      </c>
      <c r="B2340" s="2" t="s">
        <v>6455</v>
      </c>
      <c r="C2340" s="2" t="s">
        <v>25</v>
      </c>
      <c r="D2340" s="2" t="s">
        <v>26</v>
      </c>
      <c r="E2340" s="3" t="s">
        <v>442</v>
      </c>
      <c r="F2340" s="3" t="s">
        <v>443</v>
      </c>
      <c r="G2340" s="3" t="s">
        <v>110</v>
      </c>
      <c r="H2340" s="2" t="s">
        <v>55</v>
      </c>
      <c r="I2340" s="2" t="s">
        <v>6456</v>
      </c>
      <c r="J2340" s="3" t="str">
        <f>HYPERLINK("https://www.boe.es/gazeta/dias/1809/09/05/pdfs/GGB-1809-152.pdf#page=5","Abrir facsímil")</f>
        <v>Abrir facsímil</v>
      </c>
      <c r="K2340" s="3" t="s">
        <v>57</v>
      </c>
    </row>
    <row r="2341" spans="1:11" ht="42" customHeight="1">
      <c r="A2341" s="2" t="s">
        <v>6452</v>
      </c>
      <c r="B2341" s="2" t="s">
        <v>6452</v>
      </c>
      <c r="C2341" s="2" t="s">
        <v>25</v>
      </c>
      <c r="D2341" s="2" t="s">
        <v>18</v>
      </c>
      <c r="E2341" s="3" t="s">
        <v>118</v>
      </c>
      <c r="F2341" s="3" t="s">
        <v>2125</v>
      </c>
      <c r="G2341" s="3" t="s">
        <v>2751</v>
      </c>
      <c r="H2341" s="2" t="s">
        <v>55</v>
      </c>
      <c r="I2341" s="2" t="s">
        <v>6457</v>
      </c>
      <c r="J2341" s="3" t="str">
        <f>HYPERLINK("https://www.boe.es/gazeta/dias/1809/09/07/pdfs/GGB-1809-162.pdf#page=3","Abrir facsímil")</f>
        <v>Abrir facsímil</v>
      </c>
      <c r="K2341" s="3" t="s">
        <v>57</v>
      </c>
    </row>
    <row r="2342" spans="1:11" ht="42" customHeight="1">
      <c r="A2342" s="2" t="s">
        <v>6458</v>
      </c>
      <c r="B2342" s="2" t="s">
        <v>6459</v>
      </c>
      <c r="C2342" s="2" t="s">
        <v>131</v>
      </c>
      <c r="D2342" s="2" t="s">
        <v>18</v>
      </c>
      <c r="E2342" s="3" t="s">
        <v>933</v>
      </c>
      <c r="F2342" s="3" t="s">
        <v>934</v>
      </c>
      <c r="G2342" s="3" t="s">
        <v>935</v>
      </c>
      <c r="H2342" s="2" t="s">
        <v>55</v>
      </c>
      <c r="I2342" s="2" t="s">
        <v>6460</v>
      </c>
      <c r="J2342" s="3" t="str">
        <f>HYPERLINK("https://www.boe.es/gazeta/dias/1809/10/28/pdfs/GMD-1809-302.pdf#page=4","Abrir facsímil")</f>
        <v>Abrir facsímil</v>
      </c>
      <c r="K2342" s="3" t="s">
        <v>57</v>
      </c>
    </row>
    <row r="2343" spans="1:11" ht="42" customHeight="1">
      <c r="A2343" s="2" t="s">
        <v>6461</v>
      </c>
      <c r="B2343" s="2" t="s">
        <v>6461</v>
      </c>
      <c r="C2343" s="2" t="s">
        <v>25</v>
      </c>
      <c r="D2343" s="2" t="s">
        <v>18</v>
      </c>
      <c r="E2343" s="3" t="s">
        <v>1206</v>
      </c>
      <c r="F2343" s="3" t="s">
        <v>6462</v>
      </c>
      <c r="G2343" s="3" t="s">
        <v>4391</v>
      </c>
      <c r="H2343" s="2" t="s">
        <v>55</v>
      </c>
      <c r="I2343" s="2" t="s">
        <v>6463</v>
      </c>
      <c r="J2343" s="3" t="str">
        <f>HYPERLINK("https://www.boe.es/gazeta/dias/1809/09/23/pdfs/GGB-1809-232.pdf#page=2","Abrir facsímil")</f>
        <v>Abrir facsímil</v>
      </c>
      <c r="K2343" s="3" t="s">
        <v>57</v>
      </c>
    </row>
    <row r="2344" spans="1:11" ht="42" customHeight="1">
      <c r="A2344" s="2" t="s">
        <v>6464</v>
      </c>
      <c r="B2344" s="2" t="s">
        <v>6464</v>
      </c>
      <c r="C2344" s="2" t="s">
        <v>25</v>
      </c>
      <c r="D2344" s="2" t="s">
        <v>18</v>
      </c>
      <c r="E2344" s="3" t="s">
        <v>776</v>
      </c>
      <c r="F2344" s="3" t="s">
        <v>6138</v>
      </c>
      <c r="G2344" s="3" t="s">
        <v>234</v>
      </c>
      <c r="H2344" s="2" t="s">
        <v>55</v>
      </c>
      <c r="I2344" s="2" t="s">
        <v>6465</v>
      </c>
      <c r="J2344" s="3" t="str">
        <f>HYPERLINK("https://www.boe.es/gazeta/dias/1809/05/28/pdfs/GMD-1809-148.pdf#page=3","Abrir facsímil")</f>
        <v>Abrir facsímil</v>
      </c>
      <c r="K2344" s="3" t="s">
        <v>57</v>
      </c>
    </row>
    <row r="2345" spans="1:11" ht="42" customHeight="1">
      <c r="A2345" s="2" t="s">
        <v>6466</v>
      </c>
      <c r="B2345" s="2" t="s">
        <v>6466</v>
      </c>
      <c r="C2345" s="2" t="s">
        <v>25</v>
      </c>
      <c r="D2345" s="2" t="s">
        <v>18</v>
      </c>
      <c r="E2345" s="3" t="s">
        <v>585</v>
      </c>
      <c r="F2345" s="3" t="s">
        <v>586</v>
      </c>
      <c r="G2345" s="3" t="s">
        <v>75</v>
      </c>
      <c r="H2345" s="2" t="s">
        <v>55</v>
      </c>
      <c r="I2345" s="2" t="s">
        <v>6467</v>
      </c>
      <c r="J2345" s="3" t="str">
        <f>HYPERLINK("https://www.boe.es/gazeta/dias/1809/01/09/pdfs/GMD-1809-9.pdf#page=4","Abrir facsímil")</f>
        <v>Abrir facsímil</v>
      </c>
      <c r="K2345" s="3" t="s">
        <v>57</v>
      </c>
    </row>
    <row r="2346" spans="1:11" ht="42" customHeight="1">
      <c r="A2346" s="2" t="s">
        <v>6468</v>
      </c>
      <c r="B2346" s="2" t="s">
        <v>6469</v>
      </c>
      <c r="C2346" s="2" t="s">
        <v>25</v>
      </c>
      <c r="D2346" s="2" t="s">
        <v>80</v>
      </c>
      <c r="E2346" s="3" t="s">
        <v>1700</v>
      </c>
      <c r="F2346" s="3" t="s">
        <v>1701</v>
      </c>
      <c r="G2346" s="3" t="s">
        <v>349</v>
      </c>
      <c r="H2346" s="2" t="s">
        <v>55</v>
      </c>
      <c r="I2346" s="2" t="s">
        <v>6470</v>
      </c>
      <c r="J2346" s="3" t="str">
        <f>HYPERLINK("https://www.boe.es/gazeta/dias/1809/01/16/pdfs/GGB-1809-3E.pdf#page=3","Abrir facsímil")</f>
        <v>Abrir facsímil</v>
      </c>
      <c r="K2346" s="3" t="s">
        <v>57</v>
      </c>
    </row>
    <row r="2347" spans="1:11" ht="42" customHeight="1">
      <c r="A2347" s="2" t="s">
        <v>6471</v>
      </c>
      <c r="B2347" s="2" t="s">
        <v>6472</v>
      </c>
      <c r="C2347" s="2" t="s">
        <v>17</v>
      </c>
      <c r="D2347" s="2" t="s">
        <v>18</v>
      </c>
      <c r="E2347" s="3" t="s">
        <v>196</v>
      </c>
      <c r="F2347" s="3" t="s">
        <v>197</v>
      </c>
      <c r="G2347" s="3" t="s">
        <v>198</v>
      </c>
      <c r="H2347" s="2" t="s">
        <v>55</v>
      </c>
      <c r="I2347" s="2" t="s">
        <v>6473</v>
      </c>
      <c r="J2347" s="3" t="str">
        <f>HYPERLINK("https://www.boe.es/gazeta/dias/1809/09/04/pdfs/GMD-1809-248.pdf#page=3","Abrir facsímil")</f>
        <v>Abrir facsímil</v>
      </c>
      <c r="K2347" s="3" t="s">
        <v>57</v>
      </c>
    </row>
    <row r="2348" spans="1:11" ht="42" customHeight="1">
      <c r="A2348" s="2" t="s">
        <v>6474</v>
      </c>
      <c r="B2348" s="2" t="s">
        <v>6475</v>
      </c>
      <c r="C2348" s="2" t="s">
        <v>17</v>
      </c>
      <c r="D2348" s="2" t="s">
        <v>72</v>
      </c>
      <c r="E2348" s="3" t="s">
        <v>864</v>
      </c>
      <c r="F2348" s="3" t="s">
        <v>2291</v>
      </c>
      <c r="G2348" s="3" t="s">
        <v>2292</v>
      </c>
      <c r="H2348" s="2" t="s">
        <v>55</v>
      </c>
      <c r="I2348" s="2" t="s">
        <v>6476</v>
      </c>
      <c r="J2348" s="3" t="str">
        <f>HYPERLINK("https://www.boe.es/gazeta/dias/1809/08/31/pdfs/GGB-H-1809-132.pdf#page=3","Abrir facsímil")</f>
        <v>Abrir facsímil</v>
      </c>
      <c r="K2348" s="3" t="s">
        <v>57</v>
      </c>
    </row>
    <row r="2349" spans="1:11" ht="42" customHeight="1">
      <c r="A2349" s="2" t="s">
        <v>6477</v>
      </c>
      <c r="B2349" s="2" t="s">
        <v>6478</v>
      </c>
      <c r="C2349" s="2" t="s">
        <v>17</v>
      </c>
      <c r="D2349" s="2" t="s">
        <v>107</v>
      </c>
      <c r="E2349" s="3" t="s">
        <v>3949</v>
      </c>
      <c r="F2349" s="3" t="s">
        <v>3950</v>
      </c>
      <c r="G2349" s="3" t="s">
        <v>816</v>
      </c>
      <c r="H2349" s="2" t="s">
        <v>55</v>
      </c>
      <c r="I2349" s="2" t="s">
        <v>6479</v>
      </c>
      <c r="J2349" s="3" t="str">
        <f>HYPERLINK("https://www.boe.es/gazeta/dias/1809/09/09/pdfs/GGB-1809-172.pdf#page=7","Abrir facsímil")</f>
        <v>Abrir facsímil</v>
      </c>
      <c r="K2349" s="3" t="s">
        <v>57</v>
      </c>
    </row>
    <row r="2350" spans="1:11" ht="42" customHeight="1">
      <c r="A2350" s="2" t="s">
        <v>6477</v>
      </c>
      <c r="B2350" s="2" t="s">
        <v>6478</v>
      </c>
      <c r="C2350" s="2" t="s">
        <v>369</v>
      </c>
      <c r="D2350" s="2" t="s">
        <v>18</v>
      </c>
      <c r="E2350" s="3" t="s">
        <v>933</v>
      </c>
      <c r="F2350" s="3" t="s">
        <v>1363</v>
      </c>
      <c r="G2350" s="3" t="s">
        <v>6480</v>
      </c>
      <c r="H2350" s="2" t="s">
        <v>55</v>
      </c>
      <c r="I2350" s="2" t="s">
        <v>6481</v>
      </c>
      <c r="J2350" s="3" t="str">
        <f>HYPERLINK("https://www.boe.es/gazeta/dias/1809/10/28/pdfs/GGB-1809-382.pdf#page=5","Abrir facsímil")</f>
        <v>Abrir facsímil</v>
      </c>
      <c r="K2350" s="3" t="s">
        <v>57</v>
      </c>
    </row>
    <row r="2351" spans="1:11" ht="42" customHeight="1">
      <c r="A2351" s="2" t="s">
        <v>6477</v>
      </c>
      <c r="B2351" s="2" t="s">
        <v>6478</v>
      </c>
      <c r="C2351" s="2" t="s">
        <v>25</v>
      </c>
      <c r="D2351" s="2" t="s">
        <v>72</v>
      </c>
      <c r="E2351" s="3" t="s">
        <v>143</v>
      </c>
      <c r="F2351" s="3" t="s">
        <v>705</v>
      </c>
      <c r="G2351" s="3" t="s">
        <v>3010</v>
      </c>
      <c r="H2351" s="2" t="s">
        <v>55</v>
      </c>
      <c r="I2351" s="2" t="s">
        <v>6482</v>
      </c>
      <c r="J2351" s="3" t="str">
        <f>HYPERLINK("https://www.boe.es/gazeta/dias/1809/11/16/pdfs/GGB-H-1809-462.pdf#page=5","Abrir facsímil")</f>
        <v>Abrir facsímil</v>
      </c>
      <c r="K2351" s="3" t="s">
        <v>57</v>
      </c>
    </row>
    <row r="2352" spans="1:11" ht="42" customHeight="1">
      <c r="A2352" s="2" t="s">
        <v>6483</v>
      </c>
      <c r="B2352" s="2" t="s">
        <v>6484</v>
      </c>
      <c r="C2352" s="2" t="s">
        <v>25</v>
      </c>
      <c r="D2352" s="2" t="s">
        <v>26</v>
      </c>
      <c r="E2352" s="3" t="s">
        <v>243</v>
      </c>
      <c r="F2352" s="3" t="s">
        <v>735</v>
      </c>
      <c r="G2352" s="3" t="s">
        <v>736</v>
      </c>
      <c r="H2352" s="2" t="s">
        <v>55</v>
      </c>
      <c r="I2352" s="2" t="s">
        <v>6485</v>
      </c>
      <c r="J2352" s="3" t="str">
        <f>HYPERLINK("https://www.boe.es/gazeta/dias/1809/02/17/pdfs/GGB-1809-8.pdf#page=8","Abrir facsímil")</f>
        <v>Abrir facsímil</v>
      </c>
      <c r="K2352" s="3" t="s">
        <v>57</v>
      </c>
    </row>
    <row r="2353" spans="1:11" ht="42" customHeight="1">
      <c r="A2353" s="2" t="s">
        <v>6486</v>
      </c>
      <c r="B2353" s="2" t="s">
        <v>6487</v>
      </c>
      <c r="C2353" s="2" t="s">
        <v>39</v>
      </c>
      <c r="D2353" s="2" t="s">
        <v>18</v>
      </c>
      <c r="E2353" s="3" t="s">
        <v>48</v>
      </c>
      <c r="F2353" s="3" t="s">
        <v>1718</v>
      </c>
      <c r="G2353" s="3" t="s">
        <v>4005</v>
      </c>
      <c r="H2353" s="2" t="s">
        <v>55</v>
      </c>
      <c r="I2353" s="2" t="s">
        <v>6488</v>
      </c>
      <c r="J2353" s="3" t="str">
        <f>HYPERLINK("https://www.boe.es/gazeta/dias/1809/10/03/pdfs/GGB-1809-272.pdf#page=7","Abrir facsímil")</f>
        <v>Abrir facsímil</v>
      </c>
      <c r="K2353" s="3" t="s">
        <v>57</v>
      </c>
    </row>
    <row r="2354" spans="1:11" ht="42" customHeight="1">
      <c r="A2354" s="2" t="s">
        <v>6486</v>
      </c>
      <c r="B2354" s="2" t="s">
        <v>6487</v>
      </c>
      <c r="C2354" s="2" t="s">
        <v>17</v>
      </c>
      <c r="D2354" s="2" t="s">
        <v>72</v>
      </c>
      <c r="E2354" s="3" t="s">
        <v>1396</v>
      </c>
      <c r="F2354" s="3" t="s">
        <v>2370</v>
      </c>
      <c r="G2354" s="3" t="s">
        <v>234</v>
      </c>
      <c r="H2354" s="2" t="s">
        <v>55</v>
      </c>
      <c r="I2354" s="2" t="s">
        <v>6489</v>
      </c>
      <c r="J2354" s="3" t="str">
        <f>HYPERLINK("https://www.boe.es/gazeta/dias/1809/11/28/pdfs/GGB-H-1809-512.pdf#page=7","Abrir facsímil")</f>
        <v>Abrir facsímil</v>
      </c>
      <c r="K2354" s="3" t="s">
        <v>57</v>
      </c>
    </row>
    <row r="2355" spans="1:11" ht="42" customHeight="1">
      <c r="A2355" s="2" t="s">
        <v>6490</v>
      </c>
      <c r="B2355" s="2" t="s">
        <v>6491</v>
      </c>
      <c r="C2355" s="2" t="s">
        <v>131</v>
      </c>
      <c r="D2355" s="2" t="s">
        <v>18</v>
      </c>
      <c r="E2355" s="3" t="s">
        <v>515</v>
      </c>
      <c r="F2355" s="3" t="s">
        <v>516</v>
      </c>
      <c r="G2355" s="3" t="s">
        <v>1380</v>
      </c>
      <c r="H2355" s="2" t="s">
        <v>55</v>
      </c>
      <c r="I2355" s="2" t="s">
        <v>6492</v>
      </c>
      <c r="J2355" s="3" t="str">
        <f>HYPERLINK("https://www.boe.es/gazeta/dias/1809/09/02/pdfs/GMD-1809-246.pdf#page=3","Abrir facsímil")</f>
        <v>Abrir facsímil</v>
      </c>
      <c r="K2355" s="3" t="s">
        <v>57</v>
      </c>
    </row>
    <row r="2356" spans="1:11" ht="42" customHeight="1">
      <c r="A2356" s="2" t="s">
        <v>6493</v>
      </c>
      <c r="B2356" s="2" t="s">
        <v>6494</v>
      </c>
      <c r="C2356" s="2" t="s">
        <v>47</v>
      </c>
      <c r="D2356" s="2" t="s">
        <v>18</v>
      </c>
      <c r="E2356" s="3" t="s">
        <v>523</v>
      </c>
      <c r="F2356" s="3" t="s">
        <v>524</v>
      </c>
      <c r="G2356" s="3" t="s">
        <v>525</v>
      </c>
      <c r="H2356" s="2" t="s">
        <v>55</v>
      </c>
      <c r="I2356" s="2" t="s">
        <v>6495</v>
      </c>
      <c r="J2356" s="3" t="str">
        <f>HYPERLINK("https://www.boe.es/gazeta/dias/1809/02/14/pdfs/GMD-1809-45.pdf#page=1","Abrir facsímil")</f>
        <v>Abrir facsímil</v>
      </c>
      <c r="K2356" s="3" t="s">
        <v>57</v>
      </c>
    </row>
    <row r="2357" spans="1:11" ht="42" customHeight="1">
      <c r="A2357" s="2" t="s">
        <v>6496</v>
      </c>
      <c r="B2357" s="2" t="s">
        <v>6497</v>
      </c>
      <c r="C2357" s="2" t="s">
        <v>47</v>
      </c>
      <c r="D2357" s="2" t="s">
        <v>18</v>
      </c>
      <c r="E2357" s="3" t="s">
        <v>73</v>
      </c>
      <c r="F2357" s="3" t="s">
        <v>1045</v>
      </c>
      <c r="G2357" s="3" t="s">
        <v>89</v>
      </c>
      <c r="H2357" s="2" t="s">
        <v>55</v>
      </c>
      <c r="I2357" s="2" t="s">
        <v>6498</v>
      </c>
      <c r="J2357" s="3" t="str">
        <f>HYPERLINK("https://www.boe.es/gazeta/dias/1809/09/21/pdfs/GMD-1809-265.pdf#page=3","Abrir facsímil")</f>
        <v>Abrir facsímil</v>
      </c>
      <c r="K2357" s="3" t="s">
        <v>57</v>
      </c>
    </row>
    <row r="2358" spans="1:11" ht="42" customHeight="1">
      <c r="A2358" s="2" t="s">
        <v>6499</v>
      </c>
      <c r="B2358" s="2" t="s">
        <v>6499</v>
      </c>
      <c r="C2358" s="2" t="s">
        <v>25</v>
      </c>
      <c r="D2358" s="2" t="s">
        <v>26</v>
      </c>
      <c r="E2358" s="3" t="s">
        <v>720</v>
      </c>
      <c r="F2358" s="3" t="s">
        <v>2154</v>
      </c>
      <c r="G2358" s="3" t="s">
        <v>75</v>
      </c>
      <c r="H2358" s="2" t="s">
        <v>55</v>
      </c>
      <c r="I2358" s="2" t="s">
        <v>6500</v>
      </c>
      <c r="J2358" s="3" t="str">
        <f>HYPERLINK("https://www.boe.es/gazeta/dias/1809/01/27/pdfs/GMD-1809-27.pdf#page=3","Abrir facsímil")</f>
        <v>Abrir facsímil</v>
      </c>
      <c r="K2358" s="3" t="s">
        <v>57</v>
      </c>
    </row>
    <row r="2359" spans="1:11" ht="42" customHeight="1">
      <c r="A2359" s="2" t="s">
        <v>6501</v>
      </c>
      <c r="B2359" s="2" t="s">
        <v>6502</v>
      </c>
      <c r="C2359" s="2" t="s">
        <v>17</v>
      </c>
      <c r="D2359" s="2" t="s">
        <v>18</v>
      </c>
      <c r="E2359" s="3" t="s">
        <v>33</v>
      </c>
      <c r="F2359" s="3" t="s">
        <v>34</v>
      </c>
      <c r="G2359" s="3" t="s">
        <v>35</v>
      </c>
      <c r="H2359" s="2" t="s">
        <v>55</v>
      </c>
      <c r="I2359" s="2" t="s">
        <v>6503</v>
      </c>
      <c r="J2359" s="3" t="str">
        <f>HYPERLINK("https://www.boe.es/gazeta/dias/1809/12/19/pdfs/GGB-1809-602.pdf#page=5","Abrir facsímil")</f>
        <v>Abrir facsímil</v>
      </c>
      <c r="K2359" s="3" t="s">
        <v>57</v>
      </c>
    </row>
    <row r="2360" spans="1:11" ht="42" customHeight="1">
      <c r="A2360" s="2" t="s">
        <v>6504</v>
      </c>
      <c r="B2360" s="2" t="s">
        <v>6505</v>
      </c>
      <c r="C2360" s="2" t="s">
        <v>25</v>
      </c>
      <c r="D2360" s="2" t="s">
        <v>26</v>
      </c>
      <c r="E2360" s="3" t="s">
        <v>243</v>
      </c>
      <c r="F2360" s="3" t="s">
        <v>735</v>
      </c>
      <c r="G2360" s="3" t="s">
        <v>3928</v>
      </c>
      <c r="H2360" s="2" t="s">
        <v>55</v>
      </c>
      <c r="I2360" s="2" t="s">
        <v>6506</v>
      </c>
      <c r="J2360" s="3" t="str">
        <f>HYPERLINK("https://www.boe.es/gazeta/dias/1809/02/17/pdfs/GGB-1809-8.pdf#page=6","Abrir facsímil")</f>
        <v>Abrir facsímil</v>
      </c>
      <c r="K2360" s="3" t="s">
        <v>57</v>
      </c>
    </row>
    <row r="2361" spans="1:11" ht="42" customHeight="1">
      <c r="A2361" s="2" t="s">
        <v>6507</v>
      </c>
      <c r="B2361" s="2" t="s">
        <v>6508</v>
      </c>
      <c r="C2361" s="2" t="s">
        <v>17</v>
      </c>
      <c r="D2361" s="2" t="s">
        <v>18</v>
      </c>
      <c r="E2361" s="3" t="s">
        <v>60</v>
      </c>
      <c r="F2361" s="3" t="s">
        <v>61</v>
      </c>
      <c r="G2361" s="3" t="s">
        <v>29</v>
      </c>
      <c r="H2361" s="2" t="s">
        <v>55</v>
      </c>
      <c r="I2361" s="2" t="s">
        <v>6509</v>
      </c>
      <c r="J2361" s="3" t="str">
        <f>HYPERLINK("https://www.boe.es/gazeta/dias/1809/02/07/pdfs/GMD-1809-38.pdf#page=3","Abrir facsímil")</f>
        <v>Abrir facsímil</v>
      </c>
      <c r="K2361" s="3" t="s">
        <v>57</v>
      </c>
    </row>
    <row r="2362" spans="1:11" ht="42" customHeight="1">
      <c r="A2362" s="2" t="s">
        <v>6510</v>
      </c>
      <c r="B2362" s="2" t="s">
        <v>6511</v>
      </c>
      <c r="C2362" s="2" t="s">
        <v>17</v>
      </c>
      <c r="D2362" s="2" t="s">
        <v>72</v>
      </c>
      <c r="E2362" s="3" t="s">
        <v>394</v>
      </c>
      <c r="F2362" s="3" t="s">
        <v>395</v>
      </c>
      <c r="G2362" s="3" t="s">
        <v>396</v>
      </c>
      <c r="H2362" s="2" t="s">
        <v>55</v>
      </c>
      <c r="I2362" s="2" t="s">
        <v>6512</v>
      </c>
      <c r="J2362" s="3" t="str">
        <f>HYPERLINK("https://www.boe.es/gazeta/dias/1809/12/14/pdfs/GGB-H-1809-582.pdf#page=2","Abrir facsímil")</f>
        <v>Abrir facsímil</v>
      </c>
      <c r="K2362" s="3" t="s">
        <v>57</v>
      </c>
    </row>
    <row r="2363" spans="1:11" ht="42" customHeight="1">
      <c r="A2363" s="2" t="s">
        <v>6513</v>
      </c>
      <c r="B2363" s="2" t="s">
        <v>6514</v>
      </c>
      <c r="C2363" s="2" t="s">
        <v>17</v>
      </c>
      <c r="D2363" s="2" t="s">
        <v>72</v>
      </c>
      <c r="E2363" s="3" t="s">
        <v>163</v>
      </c>
      <c r="F2363" s="3" t="s">
        <v>164</v>
      </c>
      <c r="G2363" s="3" t="s">
        <v>21</v>
      </c>
      <c r="H2363" s="2" t="s">
        <v>55</v>
      </c>
      <c r="I2363" s="2" t="s">
        <v>6515</v>
      </c>
      <c r="J2363" s="3" t="str">
        <f>HYPERLINK("https://www.boe.es/gazeta/dias/1809/03/10/pdfs/GGB-H-1809-11.pdf#page=8","Abrir facsímil")</f>
        <v>Abrir facsímil</v>
      </c>
      <c r="K2363" s="3" t="s">
        <v>57</v>
      </c>
    </row>
    <row r="2364" spans="1:11" ht="42" customHeight="1">
      <c r="A2364" s="2" t="s">
        <v>6516</v>
      </c>
      <c r="B2364" s="2" t="s">
        <v>6517</v>
      </c>
      <c r="C2364" s="2" t="s">
        <v>17</v>
      </c>
      <c r="D2364" s="2" t="s">
        <v>72</v>
      </c>
      <c r="E2364" s="3" t="s">
        <v>243</v>
      </c>
      <c r="F2364" s="3" t="s">
        <v>244</v>
      </c>
      <c r="G2364" s="3" t="s">
        <v>110</v>
      </c>
      <c r="H2364" s="2" t="s">
        <v>55</v>
      </c>
      <c r="I2364" s="2" t="s">
        <v>6518</v>
      </c>
      <c r="J2364" s="3" t="str">
        <f>HYPERLINK("https://www.boe.es/gazeta/dias/1809/02/17/pdfs/GGB-G-1809-8.pdf#page=5","Abrir facsímil")</f>
        <v>Abrir facsímil</v>
      </c>
      <c r="K2364" s="3" t="s">
        <v>57</v>
      </c>
    </row>
    <row r="2365" spans="1:11" ht="42" customHeight="1">
      <c r="A2365" s="2" t="s">
        <v>6519</v>
      </c>
      <c r="B2365" s="2" t="s">
        <v>6520</v>
      </c>
      <c r="C2365" s="2" t="s">
        <v>17</v>
      </c>
      <c r="D2365" s="2" t="s">
        <v>72</v>
      </c>
      <c r="E2365" s="3" t="s">
        <v>243</v>
      </c>
      <c r="F2365" s="3" t="s">
        <v>244</v>
      </c>
      <c r="G2365" s="3" t="s">
        <v>582</v>
      </c>
      <c r="H2365" s="2" t="s">
        <v>55</v>
      </c>
      <c r="I2365" s="2" t="s">
        <v>6521</v>
      </c>
      <c r="J2365" s="3" t="str">
        <f>HYPERLINK("https://www.boe.es/gazeta/dias/1809/02/17/pdfs/GGB-G-1809-8.pdf#page=7","Abrir facsímil")</f>
        <v>Abrir facsímil</v>
      </c>
      <c r="K2365" s="3" t="s">
        <v>57</v>
      </c>
    </row>
    <row r="2366" spans="1:11" ht="42" customHeight="1">
      <c r="A2366" s="2" t="s">
        <v>6522</v>
      </c>
      <c r="B2366" s="2" t="s">
        <v>6522</v>
      </c>
      <c r="C2366" s="2" t="s">
        <v>25</v>
      </c>
      <c r="D2366" s="2" t="s">
        <v>26</v>
      </c>
      <c r="E2366" s="3" t="s">
        <v>1608</v>
      </c>
      <c r="F2366" s="3" t="s">
        <v>1609</v>
      </c>
      <c r="G2366" s="3" t="s">
        <v>234</v>
      </c>
      <c r="H2366" s="2" t="s">
        <v>55</v>
      </c>
      <c r="I2366" s="2" t="s">
        <v>6523</v>
      </c>
      <c r="J2366" s="3" t="str">
        <f>HYPERLINK("https://www.boe.es/gazeta/dias/1809/04/15/pdfs/GGB-1809-18E.pdf#page=3","Abrir facsímil")</f>
        <v>Abrir facsímil</v>
      </c>
      <c r="K2366" s="3" t="s">
        <v>57</v>
      </c>
    </row>
    <row r="2367" spans="1:11" ht="42" customHeight="1">
      <c r="A2367" s="2" t="s">
        <v>6522</v>
      </c>
      <c r="B2367" s="2" t="s">
        <v>6522</v>
      </c>
      <c r="C2367" s="2" t="s">
        <v>25</v>
      </c>
      <c r="D2367" s="2" t="s">
        <v>80</v>
      </c>
      <c r="E2367" s="3" t="s">
        <v>1608</v>
      </c>
      <c r="F2367" s="3" t="s">
        <v>1609</v>
      </c>
      <c r="G2367" s="3" t="s">
        <v>120</v>
      </c>
      <c r="H2367" s="2" t="s">
        <v>55</v>
      </c>
      <c r="I2367" s="2" t="s">
        <v>6524</v>
      </c>
      <c r="J2367" s="3" t="str">
        <f>HYPERLINK("https://www.boe.es/gazeta/dias/1809/04/15/pdfs/GGB-1809-18E.pdf#page=5","Abrir facsímil")</f>
        <v>Abrir facsímil</v>
      </c>
      <c r="K2367" s="3" t="s">
        <v>57</v>
      </c>
    </row>
    <row r="2368" spans="1:11" ht="42" customHeight="1">
      <c r="A2368" s="2" t="s">
        <v>6525</v>
      </c>
      <c r="B2368" s="2" t="s">
        <v>6526</v>
      </c>
      <c r="C2368" s="2" t="s">
        <v>17</v>
      </c>
      <c r="D2368" s="2" t="s">
        <v>107</v>
      </c>
      <c r="E2368" s="3" t="s">
        <v>3714</v>
      </c>
      <c r="F2368" s="3" t="s">
        <v>4205</v>
      </c>
      <c r="G2368" s="3" t="s">
        <v>6527</v>
      </c>
      <c r="H2368" s="2" t="s">
        <v>55</v>
      </c>
      <c r="I2368" s="2" t="s">
        <v>6528</v>
      </c>
      <c r="J2368" s="3" t="str">
        <f>HYPERLINK("https://www.boe.es/gazeta/dias/1809/12/07/pdfs/GGB-1809-552.pdf#page=1","Abrir facsímil")</f>
        <v>Abrir facsímil</v>
      </c>
      <c r="K2368" s="3" t="s">
        <v>57</v>
      </c>
    </row>
    <row r="2369" spans="1:11" ht="42" customHeight="1">
      <c r="A2369" s="2" t="s">
        <v>6529</v>
      </c>
      <c r="B2369" s="2" t="s">
        <v>6530</v>
      </c>
      <c r="C2369" s="2" t="s">
        <v>17</v>
      </c>
      <c r="D2369" s="2" t="s">
        <v>72</v>
      </c>
      <c r="E2369" s="3" t="s">
        <v>243</v>
      </c>
      <c r="F2369" s="3" t="s">
        <v>244</v>
      </c>
      <c r="G2369" s="3" t="s">
        <v>110</v>
      </c>
      <c r="H2369" s="2" t="s">
        <v>55</v>
      </c>
      <c r="I2369" s="2" t="s">
        <v>6531</v>
      </c>
      <c r="J2369" s="3" t="str">
        <f>HYPERLINK("https://www.boe.es/gazeta/dias/1809/02/17/pdfs/GGB-G-1809-8.pdf#page=6","Abrir facsímil")</f>
        <v>Abrir facsímil</v>
      </c>
      <c r="K2369" s="3" t="s">
        <v>57</v>
      </c>
    </row>
    <row r="2370" spans="1:11" ht="42" customHeight="1">
      <c r="A2370" s="2" t="s">
        <v>6532</v>
      </c>
      <c r="B2370" s="2" t="s">
        <v>6533</v>
      </c>
      <c r="C2370" s="2" t="s">
        <v>25</v>
      </c>
      <c r="D2370" s="2" t="s">
        <v>18</v>
      </c>
      <c r="E2370" s="3" t="s">
        <v>2845</v>
      </c>
      <c r="F2370" s="3" t="s">
        <v>2846</v>
      </c>
      <c r="G2370" s="3" t="s">
        <v>467</v>
      </c>
      <c r="H2370" s="2" t="s">
        <v>55</v>
      </c>
      <c r="I2370" s="2" t="s">
        <v>6534</v>
      </c>
      <c r="J2370" s="3" t="str">
        <f>HYPERLINK("https://www.boe.es/gazeta/dias/1809/11/23/pdfs/GGB-1809-492.pdf#page=5","Abrir facsímil")</f>
        <v>Abrir facsímil</v>
      </c>
      <c r="K2370" s="3" t="s">
        <v>57</v>
      </c>
    </row>
    <row r="2371" spans="1:11" ht="42" customHeight="1">
      <c r="A2371" s="2" t="s">
        <v>6535</v>
      </c>
      <c r="B2371" s="2" t="s">
        <v>6536</v>
      </c>
      <c r="C2371" s="2" t="s">
        <v>17</v>
      </c>
      <c r="D2371" s="2" t="s">
        <v>80</v>
      </c>
      <c r="E2371" s="3" t="s">
        <v>1608</v>
      </c>
      <c r="F2371" s="3" t="s">
        <v>1609</v>
      </c>
      <c r="G2371" s="3" t="s">
        <v>239</v>
      </c>
      <c r="H2371" s="2" t="s">
        <v>55</v>
      </c>
      <c r="I2371" s="2" t="s">
        <v>6537</v>
      </c>
      <c r="J2371" s="3" t="str">
        <f>HYPERLINK("https://www.boe.es/gazeta/dias/1809/04/15/pdfs/GGB-1809-18E.pdf#page=2","Abrir facsímil")</f>
        <v>Abrir facsímil</v>
      </c>
      <c r="K2371" s="3" t="s">
        <v>57</v>
      </c>
    </row>
    <row r="2372" spans="1:11" ht="42" customHeight="1">
      <c r="A2372" s="2" t="s">
        <v>6538</v>
      </c>
      <c r="B2372" s="2" t="s">
        <v>6539</v>
      </c>
      <c r="C2372" s="2" t="s">
        <v>17</v>
      </c>
      <c r="D2372" s="2" t="s">
        <v>72</v>
      </c>
      <c r="E2372" s="3" t="s">
        <v>243</v>
      </c>
      <c r="F2372" s="3" t="s">
        <v>244</v>
      </c>
      <c r="G2372" s="3" t="s">
        <v>29</v>
      </c>
      <c r="H2372" s="2" t="s">
        <v>55</v>
      </c>
      <c r="I2372" s="2" t="s">
        <v>6540</v>
      </c>
      <c r="J2372" s="3" t="str">
        <f>HYPERLINK("https://www.boe.es/gazeta/dias/1809/02/17/pdfs/GGB-G-1809-8.pdf#page=3","Abrir facsímil")</f>
        <v>Abrir facsímil</v>
      </c>
      <c r="K2372" s="3" t="s">
        <v>57</v>
      </c>
    </row>
    <row r="2373" spans="1:11" ht="42" customHeight="1">
      <c r="A2373" s="2" t="s">
        <v>6541</v>
      </c>
      <c r="B2373" s="2" t="s">
        <v>6542</v>
      </c>
      <c r="C2373" s="2" t="s">
        <v>17</v>
      </c>
      <c r="D2373" s="2" t="s">
        <v>18</v>
      </c>
      <c r="E2373" s="3" t="s">
        <v>712</v>
      </c>
      <c r="F2373" s="3" t="s">
        <v>713</v>
      </c>
      <c r="G2373" s="3" t="s">
        <v>154</v>
      </c>
      <c r="H2373" s="2" t="s">
        <v>55</v>
      </c>
      <c r="I2373" s="2" t="s">
        <v>6543</v>
      </c>
      <c r="J2373" s="3" t="str">
        <f>HYPERLINK("https://www.boe.es/gazeta/dias/1809/09/10/pdfs/GMD-1809-254.pdf#page=3","Abrir facsímil")</f>
        <v>Abrir facsímil</v>
      </c>
      <c r="K2373" s="3" t="s">
        <v>57</v>
      </c>
    </row>
    <row r="2374" spans="1:11" ht="42" customHeight="1">
      <c r="A2374" s="2" t="s">
        <v>6541</v>
      </c>
      <c r="B2374" s="2" t="s">
        <v>6542</v>
      </c>
      <c r="C2374" s="2" t="s">
        <v>25</v>
      </c>
      <c r="D2374" s="2" t="s">
        <v>18</v>
      </c>
      <c r="E2374" s="3" t="s">
        <v>102</v>
      </c>
      <c r="F2374" s="3" t="s">
        <v>103</v>
      </c>
      <c r="G2374" s="3" t="s">
        <v>1091</v>
      </c>
      <c r="H2374" s="2" t="s">
        <v>55</v>
      </c>
      <c r="I2374" s="2" t="s">
        <v>6544</v>
      </c>
      <c r="J2374" s="3" t="str">
        <f>HYPERLINK("https://www.boe.es/gazeta/dias/1809/09/28/pdfs/GGB-1809-252.pdf#page=6","Abrir facsímil")</f>
        <v>Abrir facsímil</v>
      </c>
      <c r="K2374" s="3" t="s">
        <v>57</v>
      </c>
    </row>
    <row r="2375" spans="1:11" ht="42" customHeight="1">
      <c r="A2375" s="2" t="s">
        <v>6545</v>
      </c>
      <c r="B2375" s="2" t="s">
        <v>6546</v>
      </c>
      <c r="C2375" s="2" t="s">
        <v>17</v>
      </c>
      <c r="D2375" s="2" t="s">
        <v>72</v>
      </c>
      <c r="E2375" s="3" t="s">
        <v>243</v>
      </c>
      <c r="F2375" s="3" t="s">
        <v>244</v>
      </c>
      <c r="G2375" s="3" t="s">
        <v>525</v>
      </c>
      <c r="H2375" s="2" t="s">
        <v>55</v>
      </c>
      <c r="I2375" s="2" t="s">
        <v>6547</v>
      </c>
      <c r="J2375" s="3" t="str">
        <f>HYPERLINK("https://www.boe.es/gazeta/dias/1809/02/17/pdfs/GGB-G-1809-8.pdf#page=4","Abrir facsímil")</f>
        <v>Abrir facsímil</v>
      </c>
      <c r="K2375" s="3" t="s">
        <v>57</v>
      </c>
    </row>
    <row r="2376" spans="1:11" ht="42" customHeight="1">
      <c r="A2376" s="2" t="s">
        <v>6548</v>
      </c>
      <c r="B2376" s="2" t="s">
        <v>6549</v>
      </c>
      <c r="C2376" s="2" t="s">
        <v>288</v>
      </c>
      <c r="D2376" s="2" t="s">
        <v>80</v>
      </c>
      <c r="E2376" s="3" t="s">
        <v>179</v>
      </c>
      <c r="F2376" s="3" t="s">
        <v>180</v>
      </c>
      <c r="G2376" s="3" t="s">
        <v>2814</v>
      </c>
      <c r="H2376" s="2" t="s">
        <v>55</v>
      </c>
      <c r="I2376" s="2" t="s">
        <v>6550</v>
      </c>
      <c r="J2376" s="3" t="str">
        <f>HYPERLINK("https://www.boe.es/gazeta/dias/1809/12/08/pdfs/GGB-1809-552E.pdf#page=4","Abrir facsímil")</f>
        <v>Abrir facsímil</v>
      </c>
      <c r="K2376" s="3" t="s">
        <v>57</v>
      </c>
    </row>
    <row r="2377" spans="1:11" ht="42" customHeight="1">
      <c r="A2377" s="2" t="s">
        <v>6551</v>
      </c>
      <c r="B2377" s="2" t="s">
        <v>6552</v>
      </c>
      <c r="C2377" s="2" t="s">
        <v>17</v>
      </c>
      <c r="D2377" s="2" t="s">
        <v>72</v>
      </c>
      <c r="E2377" s="3" t="s">
        <v>243</v>
      </c>
      <c r="F2377" s="3" t="s">
        <v>244</v>
      </c>
      <c r="G2377" s="3" t="s">
        <v>110</v>
      </c>
      <c r="H2377" s="2" t="s">
        <v>55</v>
      </c>
      <c r="I2377" s="2" t="s">
        <v>6553</v>
      </c>
      <c r="J2377" s="3" t="str">
        <f>HYPERLINK("https://www.boe.es/gazeta/dias/1809/02/17/pdfs/GGB-G-1809-8.pdf#page=6","Abrir facsímil")</f>
        <v>Abrir facsímil</v>
      </c>
      <c r="K2377" s="3" t="s">
        <v>57</v>
      </c>
    </row>
    <row r="2378" spans="1:11" ht="42" customHeight="1">
      <c r="A2378" s="2" t="s">
        <v>6554</v>
      </c>
      <c r="B2378" s="2" t="s">
        <v>6555</v>
      </c>
      <c r="C2378" s="2" t="s">
        <v>131</v>
      </c>
      <c r="D2378" s="2" t="s">
        <v>18</v>
      </c>
      <c r="E2378" s="3" t="s">
        <v>2473</v>
      </c>
      <c r="F2378" s="3" t="s">
        <v>2474</v>
      </c>
      <c r="G2378" s="3" t="s">
        <v>270</v>
      </c>
      <c r="H2378" s="2" t="s">
        <v>55</v>
      </c>
      <c r="I2378" s="2" t="s">
        <v>6556</v>
      </c>
      <c r="J2378" s="3" t="str">
        <f>HYPERLINK("https://www.boe.es/gazeta/dias/1809/02/16/pdfs/GMD-1809-47.pdf#page=4","Abrir facsímil")</f>
        <v>Abrir facsímil</v>
      </c>
      <c r="K2378" s="3" t="s">
        <v>57</v>
      </c>
    </row>
    <row r="2379" spans="1:11" ht="42" customHeight="1">
      <c r="A2379" s="2" t="s">
        <v>6557</v>
      </c>
      <c r="B2379" s="2" t="s">
        <v>6558</v>
      </c>
      <c r="C2379" s="2" t="s">
        <v>17</v>
      </c>
      <c r="D2379" s="2" t="s">
        <v>18</v>
      </c>
      <c r="E2379" s="3" t="s">
        <v>33</v>
      </c>
      <c r="F2379" s="3" t="s">
        <v>34</v>
      </c>
      <c r="G2379" s="3" t="s">
        <v>35</v>
      </c>
      <c r="H2379" s="2" t="s">
        <v>55</v>
      </c>
      <c r="I2379" s="2" t="s">
        <v>6559</v>
      </c>
      <c r="J2379" s="3" t="str">
        <f>HYPERLINK("https://www.boe.es/gazeta/dias/1809/12/19/pdfs/GGB-1809-602.pdf#page=5","Abrir facsímil")</f>
        <v>Abrir facsímil</v>
      </c>
      <c r="K2379" s="3" t="s">
        <v>57</v>
      </c>
    </row>
    <row r="2380" spans="1:11" ht="42" customHeight="1">
      <c r="A2380" s="2" t="s">
        <v>6560</v>
      </c>
      <c r="B2380" s="2" t="s">
        <v>6560</v>
      </c>
      <c r="C2380" s="2" t="s">
        <v>25</v>
      </c>
      <c r="D2380" s="2" t="s">
        <v>107</v>
      </c>
      <c r="E2380" s="3" t="s">
        <v>5307</v>
      </c>
      <c r="F2380" s="3" t="s">
        <v>5308</v>
      </c>
      <c r="G2380" s="3" t="s">
        <v>914</v>
      </c>
      <c r="H2380" s="2" t="s">
        <v>55</v>
      </c>
      <c r="I2380" s="2" t="s">
        <v>6561</v>
      </c>
      <c r="J2380" s="3" t="str">
        <f>HYPERLINK("https://www.boe.es/gazeta/dias/1809/03/30/pdfs/GMD-1809-89.pdf#page=1","Abrir facsímil")</f>
        <v>Abrir facsímil</v>
      </c>
      <c r="K2380" s="3" t="s">
        <v>57</v>
      </c>
    </row>
    <row r="2381" spans="1:11" ht="42" customHeight="1">
      <c r="A2381" s="2" t="s">
        <v>6562</v>
      </c>
      <c r="B2381" s="2" t="s">
        <v>6562</v>
      </c>
      <c r="C2381" s="2" t="s">
        <v>25</v>
      </c>
      <c r="D2381" s="2" t="s">
        <v>18</v>
      </c>
      <c r="E2381" s="3" t="s">
        <v>258</v>
      </c>
      <c r="F2381" s="3" t="s">
        <v>910</v>
      </c>
      <c r="G2381" s="3" t="s">
        <v>62</v>
      </c>
      <c r="H2381" s="2" t="s">
        <v>55</v>
      </c>
      <c r="I2381" s="2" t="s">
        <v>6563</v>
      </c>
      <c r="J2381" s="3" t="str">
        <f>HYPERLINK("https://www.boe.es/gazeta/dias/1809/03/17/pdfs/GGB-1809-12.pdf#page=1","Abrir facsímil")</f>
        <v>Abrir facsímil</v>
      </c>
      <c r="K2381" s="3" t="s">
        <v>57</v>
      </c>
    </row>
    <row r="2382" spans="1:11" ht="42" customHeight="1">
      <c r="A2382" s="2" t="s">
        <v>6564</v>
      </c>
      <c r="B2382" s="2" t="s">
        <v>6564</v>
      </c>
      <c r="C2382" s="2" t="s">
        <v>25</v>
      </c>
      <c r="D2382" s="2" t="s">
        <v>107</v>
      </c>
      <c r="E2382" s="3" t="s">
        <v>2742</v>
      </c>
      <c r="F2382" s="3" t="s">
        <v>2743</v>
      </c>
      <c r="G2382" s="3" t="s">
        <v>192</v>
      </c>
      <c r="H2382" s="2" t="s">
        <v>55</v>
      </c>
      <c r="I2382" s="2" t="s">
        <v>6565</v>
      </c>
      <c r="J2382" s="3" t="str">
        <f>HYPERLINK("https://www.boe.es/gazeta/dias/1809/06/24/pdfs/GMD-1809-175.pdf#page=2","Abrir facsímil")</f>
        <v>Abrir facsímil</v>
      </c>
      <c r="K2382" s="3" t="s">
        <v>57</v>
      </c>
    </row>
    <row r="2383" spans="1:11" ht="42" customHeight="1">
      <c r="A2383" s="2" t="s">
        <v>6566</v>
      </c>
      <c r="B2383" s="2" t="s">
        <v>6567</v>
      </c>
      <c r="C2383" s="2" t="s">
        <v>25</v>
      </c>
      <c r="D2383" s="2" t="s">
        <v>26</v>
      </c>
      <c r="E2383" s="3" t="s">
        <v>567</v>
      </c>
      <c r="F2383" s="3" t="s">
        <v>6568</v>
      </c>
      <c r="G2383" s="3" t="s">
        <v>239</v>
      </c>
      <c r="H2383" s="2" t="s">
        <v>55</v>
      </c>
      <c r="I2383" s="2" t="s">
        <v>6569</v>
      </c>
      <c r="J2383" s="3" t="str">
        <f>HYPERLINK("https://www.boe.es/gazeta/dias/1809/06/03/pdfs/GGB-1809-33E2.pdf#page=3","Abrir facsímil")</f>
        <v>Abrir facsímil</v>
      </c>
      <c r="K2383" s="3" t="s">
        <v>57</v>
      </c>
    </row>
    <row r="2384" spans="1:11" ht="42" customHeight="1">
      <c r="A2384" s="2" t="s">
        <v>6570</v>
      </c>
      <c r="B2384" s="2" t="s">
        <v>6571</v>
      </c>
      <c r="C2384" s="2" t="s">
        <v>25</v>
      </c>
      <c r="D2384" s="2" t="s">
        <v>18</v>
      </c>
      <c r="E2384" s="3" t="s">
        <v>201</v>
      </c>
      <c r="F2384" s="3" t="s">
        <v>202</v>
      </c>
      <c r="G2384" s="3" t="s">
        <v>595</v>
      </c>
      <c r="H2384" s="2" t="s">
        <v>55</v>
      </c>
      <c r="I2384" s="2" t="s">
        <v>6572</v>
      </c>
      <c r="J2384" s="3" t="str">
        <f>HYPERLINK("https://www.boe.es/gazeta/dias/1809/08/15/pdfs/GGB-1809-62.pdf#page=7","Abrir facsímil")</f>
        <v>Abrir facsímil</v>
      </c>
      <c r="K2384" s="3" t="s">
        <v>57</v>
      </c>
    </row>
    <row r="2385" spans="1:11" ht="42" customHeight="1">
      <c r="A2385" s="2" t="s">
        <v>6573</v>
      </c>
      <c r="B2385" s="2" t="s">
        <v>6573</v>
      </c>
      <c r="C2385" s="2" t="s">
        <v>25</v>
      </c>
      <c r="D2385" s="2" t="s">
        <v>18</v>
      </c>
      <c r="E2385" s="3" t="s">
        <v>904</v>
      </c>
      <c r="F2385" s="3" t="s">
        <v>2393</v>
      </c>
      <c r="G2385" s="3" t="s">
        <v>396</v>
      </c>
      <c r="H2385" s="2" t="s">
        <v>55</v>
      </c>
      <c r="I2385" s="2" t="s">
        <v>6574</v>
      </c>
      <c r="J2385" s="3" t="str">
        <f>HYPERLINK("https://www.boe.es/gazeta/dias/1809/07/07/pdfs/GMD-1809-188.pdf#page=2","Abrir facsímil")</f>
        <v>Abrir facsímil</v>
      </c>
      <c r="K2385" s="3" t="s">
        <v>57</v>
      </c>
    </row>
    <row r="2386" spans="1:11" ht="42" customHeight="1">
      <c r="A2386" s="2" t="s">
        <v>6575</v>
      </c>
      <c r="B2386" s="2" t="s">
        <v>6576</v>
      </c>
      <c r="C2386" s="2" t="s">
        <v>17</v>
      </c>
      <c r="D2386" s="2" t="s">
        <v>18</v>
      </c>
      <c r="E2386" s="3" t="s">
        <v>53</v>
      </c>
      <c r="F2386" s="3" t="s">
        <v>54</v>
      </c>
      <c r="G2386" s="3" t="s">
        <v>29</v>
      </c>
      <c r="H2386" s="2" t="s">
        <v>55</v>
      </c>
      <c r="I2386" s="2" t="s">
        <v>6577</v>
      </c>
      <c r="J2386" s="3" t="str">
        <f>HYPERLINK("https://www.boe.es/gazeta/dias/1809/03/03/pdfs/GMD-1809-62.pdf#page=3","Abrir facsímil")</f>
        <v>Abrir facsímil</v>
      </c>
      <c r="K2386" s="3" t="s">
        <v>57</v>
      </c>
    </row>
    <row r="2387" spans="1:11" ht="42" customHeight="1">
      <c r="A2387" s="2" t="s">
        <v>6578</v>
      </c>
      <c r="B2387" s="2" t="s">
        <v>6579</v>
      </c>
      <c r="C2387" s="2" t="s">
        <v>25</v>
      </c>
      <c r="D2387" s="2" t="s">
        <v>18</v>
      </c>
      <c r="E2387" s="3" t="s">
        <v>243</v>
      </c>
      <c r="F2387" s="3" t="s">
        <v>735</v>
      </c>
      <c r="G2387" s="3" t="s">
        <v>736</v>
      </c>
      <c r="H2387" s="2" t="s">
        <v>55</v>
      </c>
      <c r="I2387" s="2" t="s">
        <v>6580</v>
      </c>
      <c r="J2387" s="3" t="str">
        <f>HYPERLINK("https://www.boe.es/gazeta/dias/1809/02/17/pdfs/GGB-1809-8.pdf#page=8","Abrir facsímil")</f>
        <v>Abrir facsímil</v>
      </c>
      <c r="K2387" s="3" t="s">
        <v>57</v>
      </c>
    </row>
    <row r="2388" spans="1:11" ht="42" customHeight="1">
      <c r="A2388" s="2" t="s">
        <v>6581</v>
      </c>
      <c r="B2388" s="2" t="s">
        <v>6581</v>
      </c>
      <c r="C2388" s="2" t="s">
        <v>25</v>
      </c>
      <c r="D2388" s="2" t="s">
        <v>18</v>
      </c>
      <c r="E2388" s="3" t="s">
        <v>1007</v>
      </c>
      <c r="F2388" s="3" t="s">
        <v>1008</v>
      </c>
      <c r="G2388" s="3" t="s">
        <v>525</v>
      </c>
      <c r="H2388" s="2" t="s">
        <v>55</v>
      </c>
      <c r="I2388" s="2" t="s">
        <v>6582</v>
      </c>
      <c r="J2388" s="3" t="str">
        <f>HYPERLINK("https://www.boe.es/gazeta/dias/1809/04/14/pdfs/GMD-1809-104.pdf#page=1","Abrir facsímil")</f>
        <v>Abrir facsímil</v>
      </c>
      <c r="K2388" s="3" t="s">
        <v>57</v>
      </c>
    </row>
    <row r="2389" spans="1:11" ht="42" customHeight="1">
      <c r="A2389" s="2" t="s">
        <v>6583</v>
      </c>
      <c r="B2389" s="2" t="s">
        <v>6584</v>
      </c>
      <c r="C2389" s="2" t="s">
        <v>17</v>
      </c>
      <c r="D2389" s="2" t="s">
        <v>18</v>
      </c>
      <c r="E2389" s="3" t="s">
        <v>322</v>
      </c>
      <c r="F2389" s="3" t="s">
        <v>435</v>
      </c>
      <c r="G2389" s="3" t="s">
        <v>129</v>
      </c>
      <c r="H2389" s="2" t="s">
        <v>55</v>
      </c>
      <c r="I2389" s="2" t="s">
        <v>6585</v>
      </c>
      <c r="J2389" s="3" t="str">
        <f>HYPERLINK("https://www.boe.es/gazeta/dias/1809/07/21/pdfs/GGB-1809-47.pdf#page=2","Abrir facsímil")</f>
        <v>Abrir facsímil</v>
      </c>
      <c r="K2389" s="3" t="s">
        <v>57</v>
      </c>
    </row>
    <row r="2390" spans="1:11" ht="42" customHeight="1">
      <c r="A2390" s="2" t="s">
        <v>6586</v>
      </c>
      <c r="B2390" s="2" t="s">
        <v>6587</v>
      </c>
      <c r="C2390" s="2" t="s">
        <v>79</v>
      </c>
      <c r="D2390" s="2" t="s">
        <v>18</v>
      </c>
      <c r="E2390" s="3" t="s">
        <v>102</v>
      </c>
      <c r="F2390" s="3" t="s">
        <v>103</v>
      </c>
      <c r="G2390" s="3" t="s">
        <v>104</v>
      </c>
      <c r="H2390" s="2" t="s">
        <v>55</v>
      </c>
      <c r="I2390" s="2" t="s">
        <v>6588</v>
      </c>
      <c r="J2390" s="3" t="str">
        <f>HYPERLINK("https://www.boe.es/gazeta/dias/1809/09/28/pdfs/GGB-1809-252.pdf#page=8","Abrir facsímil")</f>
        <v>Abrir facsímil</v>
      </c>
      <c r="K2390" s="3" t="s">
        <v>57</v>
      </c>
    </row>
    <row r="2391" spans="1:11" ht="42" customHeight="1">
      <c r="A2391" s="2" t="s">
        <v>6589</v>
      </c>
      <c r="B2391" s="2" t="s">
        <v>6589</v>
      </c>
      <c r="C2391" s="2" t="s">
        <v>25</v>
      </c>
      <c r="D2391" s="2" t="s">
        <v>26</v>
      </c>
      <c r="E2391" s="3" t="s">
        <v>1282</v>
      </c>
      <c r="F2391" s="3" t="s">
        <v>1743</v>
      </c>
      <c r="G2391" s="3" t="s">
        <v>234</v>
      </c>
      <c r="H2391" s="2" t="s">
        <v>55</v>
      </c>
      <c r="I2391" s="2" t="s">
        <v>6590</v>
      </c>
      <c r="J2391" s="3" t="str">
        <f>HYPERLINK("https://www.boe.es/gazeta/dias/1809/06/26/pdfs/GMD-1809-177.pdf#page=2","Abrir facsímil")</f>
        <v>Abrir facsímil</v>
      </c>
      <c r="K2391" s="3" t="s">
        <v>57</v>
      </c>
    </row>
    <row r="2392" spans="1:11" ht="42" customHeight="1">
      <c r="A2392" s="2" t="s">
        <v>6591</v>
      </c>
      <c r="B2392" s="2" t="s">
        <v>6591</v>
      </c>
      <c r="C2392" s="2" t="s">
        <v>25</v>
      </c>
      <c r="D2392" s="2" t="s">
        <v>26</v>
      </c>
      <c r="E2392" s="3" t="s">
        <v>1285</v>
      </c>
      <c r="F2392" s="3" t="s">
        <v>1286</v>
      </c>
      <c r="G2392" s="3" t="s">
        <v>2745</v>
      </c>
      <c r="H2392" s="2" t="s">
        <v>55</v>
      </c>
      <c r="I2392" s="2" t="s">
        <v>6592</v>
      </c>
      <c r="J2392" s="3" t="str">
        <f>HYPERLINK("https://www.boe.es/gazeta/dias/1809/07/01/pdfs/GMD-1809-182.pdf#page=1","Abrir facsímil")</f>
        <v>Abrir facsímil</v>
      </c>
      <c r="K2392" s="3" t="s">
        <v>57</v>
      </c>
    </row>
    <row r="2393" spans="1:11" ht="42" customHeight="1">
      <c r="A2393" s="2" t="s">
        <v>6591</v>
      </c>
      <c r="B2393" s="2" t="s">
        <v>6591</v>
      </c>
      <c r="C2393" s="2" t="s">
        <v>25</v>
      </c>
      <c r="D2393" s="2" t="s">
        <v>18</v>
      </c>
      <c r="E2393" s="3" t="s">
        <v>1856</v>
      </c>
      <c r="F2393" s="3" t="s">
        <v>1857</v>
      </c>
      <c r="G2393" s="3" t="s">
        <v>362</v>
      </c>
      <c r="H2393" s="2" t="s">
        <v>55</v>
      </c>
      <c r="I2393" s="2" t="s">
        <v>6593</v>
      </c>
      <c r="J2393" s="3" t="str">
        <f>HYPERLINK("https://www.boe.es/gazeta/dias/1809/07/12/pdfs/GMD-1809-193.pdf#page=1","Abrir facsímil")</f>
        <v>Abrir facsímil</v>
      </c>
      <c r="K2393" s="3" t="s">
        <v>57</v>
      </c>
    </row>
    <row r="2394" spans="1:11" ht="42" customHeight="1">
      <c r="A2394" s="2" t="s">
        <v>6594</v>
      </c>
      <c r="B2394" s="2" t="s">
        <v>6594</v>
      </c>
      <c r="C2394" s="2" t="s">
        <v>25</v>
      </c>
      <c r="D2394" s="2" t="s">
        <v>26</v>
      </c>
      <c r="E2394" s="3" t="s">
        <v>207</v>
      </c>
      <c r="F2394" s="3" t="s">
        <v>2864</v>
      </c>
      <c r="G2394" s="3" t="s">
        <v>6113</v>
      </c>
      <c r="H2394" s="2" t="s">
        <v>55</v>
      </c>
      <c r="I2394" s="2" t="s">
        <v>6595</v>
      </c>
      <c r="J2394" s="3" t="str">
        <f>HYPERLINK("https://www.boe.es/gazeta/dias/1809/09/16/pdfs/GGB-1809-202.pdf#page=3","Abrir facsímil")</f>
        <v>Abrir facsímil</v>
      </c>
      <c r="K2394" s="3" t="s">
        <v>57</v>
      </c>
    </row>
    <row r="2395" spans="1:11" ht="42" customHeight="1">
      <c r="A2395" s="2" t="s">
        <v>6594</v>
      </c>
      <c r="B2395" s="2" t="s">
        <v>6594</v>
      </c>
      <c r="C2395" s="2" t="s">
        <v>25</v>
      </c>
      <c r="D2395" s="2" t="s">
        <v>18</v>
      </c>
      <c r="E2395" s="3" t="s">
        <v>969</v>
      </c>
      <c r="F2395" s="3" t="s">
        <v>970</v>
      </c>
      <c r="G2395" s="3" t="s">
        <v>6596</v>
      </c>
      <c r="H2395" s="2" t="s">
        <v>55</v>
      </c>
      <c r="I2395" s="2" t="s">
        <v>6597</v>
      </c>
      <c r="J2395" s="3" t="str">
        <f>HYPERLINK("https://www.boe.es/gazeta/dias/1809/09/19/pdfs/GGB-1809-212.pdf#page=5","Abrir facsímil")</f>
        <v>Abrir facsímil</v>
      </c>
      <c r="K2395" s="3" t="s">
        <v>57</v>
      </c>
    </row>
    <row r="2396" spans="1:11" ht="42" customHeight="1">
      <c r="A2396" s="2" t="s">
        <v>6598</v>
      </c>
      <c r="B2396" s="2" t="s">
        <v>6598</v>
      </c>
      <c r="C2396" s="2" t="s">
        <v>25</v>
      </c>
      <c r="D2396" s="2" t="s">
        <v>18</v>
      </c>
      <c r="E2396" s="3" t="s">
        <v>102</v>
      </c>
      <c r="F2396" s="3" t="s">
        <v>103</v>
      </c>
      <c r="G2396" s="3" t="s">
        <v>5387</v>
      </c>
      <c r="H2396" s="2" t="s">
        <v>55</v>
      </c>
      <c r="I2396" s="2" t="s">
        <v>6599</v>
      </c>
      <c r="J2396" s="3" t="str">
        <f>HYPERLINK("https://www.boe.es/gazeta/dias/1809/09/28/pdfs/GGB-1809-252.pdf#page=3","Abrir facsímil")</f>
        <v>Abrir facsímil</v>
      </c>
      <c r="K2396" s="3" t="s">
        <v>57</v>
      </c>
    </row>
    <row r="2397" spans="1:11" ht="42" customHeight="1">
      <c r="A2397" s="2" t="s">
        <v>6600</v>
      </c>
      <c r="B2397" s="2" t="s">
        <v>6600</v>
      </c>
      <c r="C2397" s="2" t="s">
        <v>25</v>
      </c>
      <c r="D2397" s="2" t="s">
        <v>18</v>
      </c>
      <c r="E2397" s="3" t="s">
        <v>2142</v>
      </c>
      <c r="F2397" s="3" t="s">
        <v>2143</v>
      </c>
      <c r="G2397" s="3" t="s">
        <v>21</v>
      </c>
      <c r="H2397" s="2" t="s">
        <v>55</v>
      </c>
      <c r="I2397" s="2" t="s">
        <v>6601</v>
      </c>
      <c r="J2397" s="3" t="str">
        <f>HYPERLINK("https://www.boe.es/gazeta/dias/1809/03/16/pdfs/GMD-1809-75.pdf#page=3","Abrir facsímil")</f>
        <v>Abrir facsímil</v>
      </c>
      <c r="K2397" s="3" t="s">
        <v>57</v>
      </c>
    </row>
    <row r="2398" spans="1:11" ht="42" customHeight="1">
      <c r="A2398" s="2" t="s">
        <v>6602</v>
      </c>
      <c r="B2398" s="2" t="s">
        <v>6602</v>
      </c>
      <c r="C2398" s="2" t="s">
        <v>25</v>
      </c>
      <c r="D2398" s="2" t="s">
        <v>26</v>
      </c>
      <c r="E2398" s="3" t="s">
        <v>508</v>
      </c>
      <c r="F2398" s="3" t="s">
        <v>509</v>
      </c>
      <c r="G2398" s="3" t="s">
        <v>1138</v>
      </c>
      <c r="H2398" s="2" t="s">
        <v>55</v>
      </c>
      <c r="I2398" s="2" t="s">
        <v>6603</v>
      </c>
      <c r="J2398" s="3" t="str">
        <f>HYPERLINK("https://www.boe.es/gazeta/dias/1809/06/21/pdfs/GMD-1809-172.pdf#page=2","Abrir facsímil")</f>
        <v>Abrir facsímil</v>
      </c>
      <c r="K2398" s="3" t="s">
        <v>57</v>
      </c>
    </row>
    <row r="2399" spans="1:11" ht="42" customHeight="1">
      <c r="A2399" s="2" t="s">
        <v>6604</v>
      </c>
      <c r="B2399" s="2" t="s">
        <v>6604</v>
      </c>
      <c r="C2399" s="2" t="s">
        <v>79</v>
      </c>
      <c r="D2399" s="2" t="s">
        <v>26</v>
      </c>
      <c r="E2399" s="3" t="s">
        <v>2060</v>
      </c>
      <c r="F2399" s="3" t="s">
        <v>2061</v>
      </c>
      <c r="G2399" s="3" t="s">
        <v>225</v>
      </c>
      <c r="H2399" s="2" t="s">
        <v>55</v>
      </c>
      <c r="I2399" s="2" t="s">
        <v>6605</v>
      </c>
      <c r="J2399" s="3" t="str">
        <f>HYPERLINK("https://www.boe.es/gazeta/dias/1809/07/18/pdfs/GGB-1809-46.pdf#page=4","Abrir facsímil")</f>
        <v>Abrir facsímil</v>
      </c>
      <c r="K2399" s="3" t="s">
        <v>57</v>
      </c>
    </row>
    <row r="2400" spans="1:11" ht="42" customHeight="1">
      <c r="A2400" s="2" t="s">
        <v>6606</v>
      </c>
      <c r="B2400" s="2" t="s">
        <v>6606</v>
      </c>
      <c r="C2400" s="2" t="s">
        <v>25</v>
      </c>
      <c r="D2400" s="2" t="s">
        <v>18</v>
      </c>
      <c r="E2400" s="3" t="s">
        <v>1477</v>
      </c>
      <c r="F2400" s="3" t="s">
        <v>1478</v>
      </c>
      <c r="G2400" s="3" t="s">
        <v>6607</v>
      </c>
      <c r="H2400" s="2" t="s">
        <v>55</v>
      </c>
      <c r="I2400" s="2" t="s">
        <v>6608</v>
      </c>
      <c r="J2400" s="3" t="str">
        <f>HYPERLINK("https://www.boe.es/gazeta/dias/1809/09/06/pdfs/GMD-1809-250.pdf#page=1","Abrir facsímil")</f>
        <v>Abrir facsímil</v>
      </c>
      <c r="K2400" s="3" t="s">
        <v>57</v>
      </c>
    </row>
    <row r="2401" spans="1:11" ht="42" customHeight="1">
      <c r="A2401" s="2" t="s">
        <v>6609</v>
      </c>
      <c r="B2401" s="2" t="s">
        <v>6609</v>
      </c>
      <c r="C2401" s="2" t="s">
        <v>25</v>
      </c>
      <c r="D2401" s="2" t="s">
        <v>26</v>
      </c>
      <c r="E2401" s="3" t="s">
        <v>1110</v>
      </c>
      <c r="F2401" s="3" t="s">
        <v>1111</v>
      </c>
      <c r="G2401" s="3" t="s">
        <v>270</v>
      </c>
      <c r="H2401" s="2" t="s">
        <v>55</v>
      </c>
      <c r="I2401" s="2" t="s">
        <v>6610</v>
      </c>
      <c r="J2401" s="3" t="str">
        <f>HYPERLINK("https://www.boe.es/gazeta/dias/1809/06/20/pdfs/GMD-1809-171.pdf#page=1","Abrir facsímil")</f>
        <v>Abrir facsímil</v>
      </c>
      <c r="K2401" s="3" t="s">
        <v>57</v>
      </c>
    </row>
    <row r="2402" spans="1:11" ht="42" customHeight="1">
      <c r="A2402" s="2" t="s">
        <v>6609</v>
      </c>
      <c r="B2402" s="2" t="s">
        <v>6609</v>
      </c>
      <c r="C2402" s="2" t="s">
        <v>25</v>
      </c>
      <c r="D2402" s="2" t="s">
        <v>26</v>
      </c>
      <c r="E2402" s="3" t="s">
        <v>5145</v>
      </c>
      <c r="F2402" s="3" t="s">
        <v>5146</v>
      </c>
      <c r="G2402" s="3" t="s">
        <v>1138</v>
      </c>
      <c r="H2402" s="2" t="s">
        <v>55</v>
      </c>
      <c r="I2402" s="2" t="s">
        <v>6611</v>
      </c>
      <c r="J2402" s="3" t="str">
        <f>HYPERLINK("https://www.boe.es/gazeta/dias/1809/06/22/pdfs/GMD-1809-173.pdf#page=1","Abrir facsímil")</f>
        <v>Abrir facsímil</v>
      </c>
      <c r="K2402" s="3" t="s">
        <v>57</v>
      </c>
    </row>
    <row r="2403" spans="1:11" ht="42" customHeight="1">
      <c r="A2403" s="2" t="s">
        <v>6609</v>
      </c>
      <c r="B2403" s="2" t="s">
        <v>6609</v>
      </c>
      <c r="C2403" s="2" t="s">
        <v>25</v>
      </c>
      <c r="D2403" s="2" t="s">
        <v>26</v>
      </c>
      <c r="E2403" s="3" t="s">
        <v>621</v>
      </c>
      <c r="F2403" s="3" t="s">
        <v>913</v>
      </c>
      <c r="G2403" s="3" t="s">
        <v>3054</v>
      </c>
      <c r="H2403" s="2" t="s">
        <v>55</v>
      </c>
      <c r="I2403" s="2" t="s">
        <v>6612</v>
      </c>
      <c r="J2403" s="3" t="str">
        <f>HYPERLINK("https://www.boe.es/gazeta/dias/1809/07/04/pdfs/GMD-1809-185.pdf#page=1","Abrir facsímil")</f>
        <v>Abrir facsímil</v>
      </c>
      <c r="K2403" s="3" t="s">
        <v>57</v>
      </c>
    </row>
    <row r="2404" spans="1:11" ht="42" customHeight="1">
      <c r="A2404" s="2" t="s">
        <v>6609</v>
      </c>
      <c r="B2404" s="2" t="s">
        <v>6609</v>
      </c>
      <c r="C2404" s="2" t="s">
        <v>25</v>
      </c>
      <c r="D2404" s="2" t="s">
        <v>26</v>
      </c>
      <c r="E2404" s="3" t="s">
        <v>512</v>
      </c>
      <c r="F2404" s="3" t="s">
        <v>513</v>
      </c>
      <c r="G2404" s="3" t="s">
        <v>21</v>
      </c>
      <c r="H2404" s="2" t="s">
        <v>55</v>
      </c>
      <c r="I2404" s="2" t="s">
        <v>6613</v>
      </c>
      <c r="J2404" s="3" t="str">
        <f>HYPERLINK("https://www.boe.es/gazeta/dias/1809/07/06/pdfs/GMD-1809-187.pdf#page=2","Abrir facsímil")</f>
        <v>Abrir facsímil</v>
      </c>
      <c r="K2404" s="3" t="s">
        <v>57</v>
      </c>
    </row>
    <row r="2405" spans="1:11" ht="42" customHeight="1">
      <c r="A2405" s="2" t="s">
        <v>6609</v>
      </c>
      <c r="B2405" s="2" t="s">
        <v>6609</v>
      </c>
      <c r="C2405" s="2" t="s">
        <v>25</v>
      </c>
      <c r="D2405" s="2" t="s">
        <v>26</v>
      </c>
      <c r="E2405" s="3" t="s">
        <v>5732</v>
      </c>
      <c r="F2405" s="3" t="s">
        <v>5733</v>
      </c>
      <c r="G2405" s="3" t="s">
        <v>6614</v>
      </c>
      <c r="H2405" s="2" t="s">
        <v>55</v>
      </c>
      <c r="I2405" s="2" t="s">
        <v>6615</v>
      </c>
      <c r="J2405" s="3" t="str">
        <f>HYPERLINK("https://www.boe.es/gazeta/dias/1809/07/09/pdfs/GMD-1809-190.pdf#page=1","Abrir facsímil")</f>
        <v>Abrir facsímil</v>
      </c>
      <c r="K2405" s="3" t="s">
        <v>57</v>
      </c>
    </row>
    <row r="2406" spans="1:11" ht="42" customHeight="1">
      <c r="A2406" s="2" t="s">
        <v>6609</v>
      </c>
      <c r="B2406" s="2" t="s">
        <v>6609</v>
      </c>
      <c r="C2406" s="2" t="s">
        <v>25</v>
      </c>
      <c r="D2406" s="2" t="s">
        <v>26</v>
      </c>
      <c r="E2406" s="3" t="s">
        <v>627</v>
      </c>
      <c r="F2406" s="3" t="s">
        <v>628</v>
      </c>
      <c r="G2406" s="3" t="s">
        <v>6616</v>
      </c>
      <c r="H2406" s="2" t="s">
        <v>55</v>
      </c>
      <c r="I2406" s="2" t="s">
        <v>6617</v>
      </c>
      <c r="J2406" s="3" t="str">
        <f>HYPERLINK("https://www.boe.es/gazeta/dias/1809/08/28/pdfs/GMD-1809-241.pdf#page=2","Abrir facsímil")</f>
        <v>Abrir facsímil</v>
      </c>
      <c r="K2406" s="3" t="s">
        <v>57</v>
      </c>
    </row>
    <row r="2407" spans="1:11" ht="42" customHeight="1">
      <c r="A2407" s="2" t="s">
        <v>6609</v>
      </c>
      <c r="B2407" s="2" t="s">
        <v>6609</v>
      </c>
      <c r="C2407" s="2" t="s">
        <v>25</v>
      </c>
      <c r="D2407" s="2" t="s">
        <v>107</v>
      </c>
      <c r="E2407" s="3" t="s">
        <v>6618</v>
      </c>
      <c r="F2407" s="3" t="s">
        <v>6619</v>
      </c>
      <c r="G2407" s="3" t="s">
        <v>687</v>
      </c>
      <c r="H2407" s="2" t="s">
        <v>55</v>
      </c>
      <c r="I2407" s="2" t="s">
        <v>6620</v>
      </c>
      <c r="J2407" s="3" t="str">
        <f>HYPERLINK("https://www.boe.es/gazeta/dias/1809/09/18/pdfs/GMD-1809-262.pdf#page=2","Abrir facsímil")</f>
        <v>Abrir facsímil</v>
      </c>
      <c r="K2407" s="3" t="s">
        <v>57</v>
      </c>
    </row>
    <row r="2408" spans="1:11" ht="42" customHeight="1">
      <c r="A2408" s="2" t="s">
        <v>6609</v>
      </c>
      <c r="B2408" s="2" t="s">
        <v>6609</v>
      </c>
      <c r="C2408" s="2" t="s">
        <v>25</v>
      </c>
      <c r="D2408" s="2" t="s">
        <v>26</v>
      </c>
      <c r="E2408" s="3" t="s">
        <v>1206</v>
      </c>
      <c r="F2408" s="3" t="s">
        <v>6462</v>
      </c>
      <c r="G2408" s="3" t="s">
        <v>239</v>
      </c>
      <c r="H2408" s="2" t="s">
        <v>55</v>
      </c>
      <c r="I2408" s="2" t="s">
        <v>6621</v>
      </c>
      <c r="J2408" s="3" t="str">
        <f>HYPERLINK("https://www.boe.es/gazeta/dias/1809/09/23/pdfs/GGB-1809-232.pdf#page=1","Abrir facsímil")</f>
        <v>Abrir facsímil</v>
      </c>
      <c r="K2408" s="3" t="s">
        <v>57</v>
      </c>
    </row>
    <row r="2409" spans="1:11" ht="42" customHeight="1">
      <c r="A2409" s="2" t="s">
        <v>6609</v>
      </c>
      <c r="B2409" s="2" t="s">
        <v>6609</v>
      </c>
      <c r="C2409" s="2" t="s">
        <v>25</v>
      </c>
      <c r="D2409" s="2" t="s">
        <v>26</v>
      </c>
      <c r="E2409" s="3" t="s">
        <v>1761</v>
      </c>
      <c r="F2409" s="3" t="s">
        <v>1762</v>
      </c>
      <c r="G2409" s="3" t="s">
        <v>234</v>
      </c>
      <c r="H2409" s="2" t="s">
        <v>55</v>
      </c>
      <c r="I2409" s="2" t="s">
        <v>6622</v>
      </c>
      <c r="J2409" s="3" t="str">
        <f>HYPERLINK("https://www.boe.es/gazeta/dias/1809/10/18/pdfs/GMD-1809-292.pdf#page=3","Abrir facsímil")</f>
        <v>Abrir facsímil</v>
      </c>
      <c r="K2409" s="3" t="s">
        <v>57</v>
      </c>
    </row>
    <row r="2410" spans="1:11" ht="42" customHeight="1">
      <c r="A2410" s="2" t="s">
        <v>6623</v>
      </c>
      <c r="B2410" s="2" t="s">
        <v>6623</v>
      </c>
      <c r="C2410" s="2" t="s">
        <v>25</v>
      </c>
      <c r="D2410" s="2" t="s">
        <v>26</v>
      </c>
      <c r="E2410" s="3" t="s">
        <v>868</v>
      </c>
      <c r="F2410" s="3" t="s">
        <v>869</v>
      </c>
      <c r="G2410" s="3" t="s">
        <v>270</v>
      </c>
      <c r="H2410" s="2" t="s">
        <v>55</v>
      </c>
      <c r="I2410" s="2" t="s">
        <v>6624</v>
      </c>
      <c r="J2410" s="3" t="str">
        <f>HYPERLINK("https://www.boe.es/gazeta/dias/1809/09/22/pdfs/GMD-1809-266.pdf#page=2","Abrir facsímil")</f>
        <v>Abrir facsímil</v>
      </c>
      <c r="K2410" s="3" t="s">
        <v>57</v>
      </c>
    </row>
    <row r="2411" spans="1:11" ht="42" customHeight="1">
      <c r="A2411" s="2" t="s">
        <v>6625</v>
      </c>
      <c r="B2411" s="2" t="s">
        <v>6625</v>
      </c>
      <c r="C2411" s="2" t="s">
        <v>25</v>
      </c>
      <c r="D2411" s="2" t="s">
        <v>26</v>
      </c>
      <c r="E2411" s="3" t="s">
        <v>118</v>
      </c>
      <c r="F2411" s="3" t="s">
        <v>119</v>
      </c>
      <c r="G2411" s="3" t="s">
        <v>129</v>
      </c>
      <c r="H2411" s="2" t="s">
        <v>55</v>
      </c>
      <c r="I2411" s="2" t="s">
        <v>6626</v>
      </c>
      <c r="J2411" s="3" t="str">
        <f>HYPERLINK("https://www.boe.es/gazeta/dias/1809/09/07/pdfs/GMD-1809-251.pdf#page=2","Abrir facsímil")</f>
        <v>Abrir facsímil</v>
      </c>
      <c r="K2411" s="3" t="s">
        <v>57</v>
      </c>
    </row>
    <row r="2412" spans="1:11" ht="42" customHeight="1">
      <c r="A2412" s="2" t="s">
        <v>6627</v>
      </c>
      <c r="B2412" s="2" t="s">
        <v>6627</v>
      </c>
      <c r="C2412" s="2" t="s">
        <v>25</v>
      </c>
      <c r="D2412" s="2" t="s">
        <v>18</v>
      </c>
      <c r="E2412" s="3" t="s">
        <v>1141</v>
      </c>
      <c r="F2412" s="3" t="s">
        <v>1142</v>
      </c>
      <c r="G2412" s="3" t="s">
        <v>125</v>
      </c>
      <c r="H2412" s="2" t="s">
        <v>55</v>
      </c>
      <c r="I2412" s="2" t="s">
        <v>6628</v>
      </c>
      <c r="J2412" s="3" t="str">
        <f>HYPERLINK("https://www.boe.es/gazeta/dias/1809/03/02/pdfs/GMD-1809-61.pdf#page=3","Abrir facsímil")</f>
        <v>Abrir facsímil</v>
      </c>
      <c r="K2412" s="3" t="s">
        <v>57</v>
      </c>
    </row>
    <row r="2413" spans="1:11" ht="42" customHeight="1">
      <c r="A2413" s="2" t="s">
        <v>6629</v>
      </c>
      <c r="B2413" s="2" t="s">
        <v>6629</v>
      </c>
      <c r="C2413" s="2" t="s">
        <v>17</v>
      </c>
      <c r="D2413" s="2" t="s">
        <v>40</v>
      </c>
      <c r="E2413" s="3" t="s">
        <v>113</v>
      </c>
      <c r="F2413" s="3" t="s">
        <v>3261</v>
      </c>
      <c r="G2413" s="3" t="s">
        <v>1880</v>
      </c>
      <c r="H2413" s="2" t="s">
        <v>55</v>
      </c>
      <c r="I2413" s="2" t="s">
        <v>6630</v>
      </c>
      <c r="J2413" s="3" t="str">
        <f>HYPERLINK("https://www.boe.es/gazeta/dias/1809/04/24/pdfs/GGB-1809-21E.pdf#page=4","Abrir facsímil")</f>
        <v>Abrir facsímil</v>
      </c>
      <c r="K2413" s="3" t="s">
        <v>57</v>
      </c>
    </row>
    <row r="2414" spans="1:11" ht="42" customHeight="1">
      <c r="A2414" s="2" t="s">
        <v>6631</v>
      </c>
      <c r="B2414" s="2" t="s">
        <v>6631</v>
      </c>
      <c r="C2414" s="2" t="s">
        <v>25</v>
      </c>
      <c r="D2414" s="2" t="s">
        <v>18</v>
      </c>
      <c r="E2414" s="3" t="s">
        <v>621</v>
      </c>
      <c r="F2414" s="3" t="s">
        <v>913</v>
      </c>
      <c r="G2414" s="3" t="s">
        <v>192</v>
      </c>
      <c r="H2414" s="2" t="s">
        <v>55</v>
      </c>
      <c r="I2414" s="2" t="s">
        <v>6632</v>
      </c>
      <c r="J2414" s="3" t="str">
        <f>HYPERLINK("https://www.boe.es/gazeta/dias/1809/07/04/pdfs/GMD-1809-185.pdf#page=3","Abrir facsímil")</f>
        <v>Abrir facsímil</v>
      </c>
      <c r="K2414" s="3" t="s">
        <v>57</v>
      </c>
    </row>
    <row r="2415" spans="1:11" ht="42" customHeight="1">
      <c r="A2415" s="2" t="s">
        <v>6633</v>
      </c>
      <c r="B2415" s="2" t="s">
        <v>6633</v>
      </c>
      <c r="C2415" s="2" t="s">
        <v>25</v>
      </c>
      <c r="D2415" s="2" t="s">
        <v>18</v>
      </c>
      <c r="E2415" s="3" t="s">
        <v>1141</v>
      </c>
      <c r="F2415" s="3" t="s">
        <v>1142</v>
      </c>
      <c r="G2415" s="3" t="s">
        <v>125</v>
      </c>
      <c r="H2415" s="2" t="s">
        <v>55</v>
      </c>
      <c r="I2415" s="2" t="s">
        <v>6634</v>
      </c>
      <c r="J2415" s="3" t="str">
        <f>HYPERLINK("https://www.boe.es/gazeta/dias/1809/03/02/pdfs/GMD-1809-61.pdf#page=3","Abrir facsímil")</f>
        <v>Abrir facsímil</v>
      </c>
      <c r="K2415" s="3" t="s">
        <v>57</v>
      </c>
    </row>
    <row r="2416" spans="1:11" ht="42" customHeight="1">
      <c r="A2416" s="2" t="s">
        <v>6635</v>
      </c>
      <c r="B2416" s="2" t="s">
        <v>6635</v>
      </c>
      <c r="C2416" s="2" t="s">
        <v>47</v>
      </c>
      <c r="D2416" s="2" t="s">
        <v>72</v>
      </c>
      <c r="E2416" s="3" t="s">
        <v>739</v>
      </c>
      <c r="F2416" s="3" t="s">
        <v>3666</v>
      </c>
      <c r="G2416" s="3" t="s">
        <v>3808</v>
      </c>
      <c r="H2416" s="2" t="s">
        <v>55</v>
      </c>
      <c r="I2416" s="2" t="s">
        <v>6636</v>
      </c>
      <c r="J2416" s="3" t="str">
        <f>HYPERLINK("https://www.boe.es/gazeta/dias/1809/05/08/pdfs/GGB-G-1809-25.pdf#page=5","Abrir facsímil")</f>
        <v>Abrir facsímil</v>
      </c>
      <c r="K2416" s="3" t="s">
        <v>57</v>
      </c>
    </row>
    <row r="2417" spans="1:11" ht="42" customHeight="1">
      <c r="A2417" s="2" t="s">
        <v>6635</v>
      </c>
      <c r="B2417" s="2" t="s">
        <v>6635</v>
      </c>
      <c r="C2417" s="2" t="s">
        <v>131</v>
      </c>
      <c r="D2417" s="2" t="s">
        <v>18</v>
      </c>
      <c r="E2417" s="3" t="s">
        <v>712</v>
      </c>
      <c r="F2417" s="3" t="s">
        <v>713</v>
      </c>
      <c r="G2417" s="3" t="s">
        <v>120</v>
      </c>
      <c r="H2417" s="2" t="s">
        <v>55</v>
      </c>
      <c r="I2417" s="2" t="s">
        <v>6637</v>
      </c>
      <c r="J2417" s="3" t="str">
        <f>HYPERLINK("https://www.boe.es/gazeta/dias/1809/09/10/pdfs/GMD-1809-254.pdf#page=2","Abrir facsímil")</f>
        <v>Abrir facsímil</v>
      </c>
      <c r="K2417" s="3" t="s">
        <v>57</v>
      </c>
    </row>
    <row r="2418" spans="1:11" ht="42" customHeight="1">
      <c r="A2418" s="2" t="s">
        <v>6635</v>
      </c>
      <c r="B2418" s="2" t="s">
        <v>6635</v>
      </c>
      <c r="C2418" s="2" t="s">
        <v>25</v>
      </c>
      <c r="D2418" s="2" t="s">
        <v>26</v>
      </c>
      <c r="E2418" s="3" t="s">
        <v>211</v>
      </c>
      <c r="F2418" s="3" t="s">
        <v>212</v>
      </c>
      <c r="G2418" s="3" t="s">
        <v>29</v>
      </c>
      <c r="H2418" s="2" t="s">
        <v>55</v>
      </c>
      <c r="I2418" s="2" t="s">
        <v>6638</v>
      </c>
      <c r="J2418" s="3" t="str">
        <f>HYPERLINK("https://www.boe.es/gazeta/dias/1809/10/27/pdfs/GMD-1809-301.pdf#page=3","Abrir facsímil")</f>
        <v>Abrir facsímil</v>
      </c>
      <c r="K2418" s="3" t="s">
        <v>57</v>
      </c>
    </row>
    <row r="2419" spans="1:11" ht="42" customHeight="1">
      <c r="A2419" s="2" t="s">
        <v>6635</v>
      </c>
      <c r="B2419" s="2" t="s">
        <v>6635</v>
      </c>
      <c r="C2419" s="2" t="s">
        <v>25</v>
      </c>
      <c r="D2419" s="2" t="s">
        <v>26</v>
      </c>
      <c r="E2419" s="3" t="s">
        <v>216</v>
      </c>
      <c r="F2419" s="3" t="s">
        <v>217</v>
      </c>
      <c r="G2419" s="3" t="s">
        <v>587</v>
      </c>
      <c r="H2419" s="2" t="s">
        <v>55</v>
      </c>
      <c r="I2419" s="2" t="s">
        <v>6639</v>
      </c>
      <c r="J2419" s="3" t="str">
        <f>HYPERLINK("https://www.boe.es/gazeta/dias/1809/12/05/pdfs/GGB-H-1809-542.pdf#page=4","Abrir facsímil")</f>
        <v>Abrir facsímil</v>
      </c>
      <c r="K2419" s="3" t="s">
        <v>57</v>
      </c>
    </row>
    <row r="2420" spans="1:11" ht="42" customHeight="1">
      <c r="A2420" s="2" t="s">
        <v>6635</v>
      </c>
      <c r="B2420" s="2" t="s">
        <v>6635</v>
      </c>
      <c r="C2420" s="2" t="s">
        <v>25</v>
      </c>
      <c r="D2420" s="2" t="s">
        <v>18</v>
      </c>
      <c r="E2420" s="3" t="s">
        <v>223</v>
      </c>
      <c r="F2420" s="3" t="s">
        <v>224</v>
      </c>
      <c r="G2420" s="3" t="s">
        <v>75</v>
      </c>
      <c r="H2420" s="2" t="s">
        <v>55</v>
      </c>
      <c r="I2420" s="2" t="s">
        <v>6640</v>
      </c>
      <c r="J2420" s="3" t="str">
        <f>HYPERLINK("https://www.boe.es/gazeta/dias/1809/12/17/pdfs/GMD-1809-352.pdf#page=3","Abrir facsímil")</f>
        <v>Abrir facsímil</v>
      </c>
      <c r="K2420" s="3" t="s">
        <v>57</v>
      </c>
    </row>
    <row r="2421" spans="1:11" ht="42" customHeight="1">
      <c r="A2421" s="2" t="s">
        <v>6641</v>
      </c>
      <c r="B2421" s="2" t="s">
        <v>6641</v>
      </c>
      <c r="C2421" s="2" t="s">
        <v>25</v>
      </c>
      <c r="D2421" s="2" t="s">
        <v>107</v>
      </c>
      <c r="E2421" s="3" t="s">
        <v>567</v>
      </c>
      <c r="F2421" s="3" t="s">
        <v>568</v>
      </c>
      <c r="G2421" s="3" t="s">
        <v>239</v>
      </c>
      <c r="H2421" s="2" t="s">
        <v>55</v>
      </c>
      <c r="I2421" s="2" t="s">
        <v>6642</v>
      </c>
      <c r="J2421" s="3" t="str">
        <f>HYPERLINK("https://www.boe.es/gazeta/dias/1809/06/03/pdfs/GMD-1809-154.pdf#page=2","Abrir facsímil")</f>
        <v>Abrir facsímil</v>
      </c>
      <c r="K2421" s="3" t="s">
        <v>57</v>
      </c>
    </row>
    <row r="2422" spans="1:11" ht="42" customHeight="1">
      <c r="A2422" s="2" t="s">
        <v>6643</v>
      </c>
      <c r="B2422" s="2" t="s">
        <v>6643</v>
      </c>
      <c r="C2422" s="2" t="s">
        <v>25</v>
      </c>
      <c r="D2422" s="2" t="s">
        <v>18</v>
      </c>
      <c r="E2422" s="3" t="s">
        <v>322</v>
      </c>
      <c r="F2422" s="3" t="s">
        <v>323</v>
      </c>
      <c r="G2422" s="3" t="s">
        <v>4071</v>
      </c>
      <c r="H2422" s="2" t="s">
        <v>55</v>
      </c>
      <c r="I2422" s="2" t="s">
        <v>6644</v>
      </c>
      <c r="J2422" s="3" t="str">
        <f>HYPERLINK("https://www.boe.es/gazeta/dias/1809/07/21/pdfs/GMD-1809-202.pdf#page=2","Abrir facsímil")</f>
        <v>Abrir facsímil</v>
      </c>
      <c r="K2422" s="3" t="s">
        <v>57</v>
      </c>
    </row>
    <row r="2423" spans="1:11" ht="42" customHeight="1">
      <c r="A2423" s="2" t="s">
        <v>6645</v>
      </c>
      <c r="B2423" s="2" t="s">
        <v>6645</v>
      </c>
      <c r="C2423" s="2" t="s">
        <v>25</v>
      </c>
      <c r="D2423" s="2" t="s">
        <v>26</v>
      </c>
      <c r="E2423" s="3" t="s">
        <v>429</v>
      </c>
      <c r="F2423" s="3" t="s">
        <v>1544</v>
      </c>
      <c r="G2423" s="3" t="s">
        <v>1516</v>
      </c>
      <c r="H2423" s="2" t="s">
        <v>55</v>
      </c>
      <c r="I2423" s="2" t="s">
        <v>6646</v>
      </c>
      <c r="J2423" s="3" t="str">
        <f>HYPERLINK("https://www.boe.es/gazeta/dias/1809/06/09/pdfs/GMD-1809-160.pdf#page=3","Abrir facsímil")</f>
        <v>Abrir facsímil</v>
      </c>
      <c r="K2423" s="3" t="s">
        <v>57</v>
      </c>
    </row>
    <row r="2424" spans="1:11" ht="42" customHeight="1">
      <c r="A2424" s="2" t="s">
        <v>6647</v>
      </c>
      <c r="B2424" s="2" t="s">
        <v>6647</v>
      </c>
      <c r="C2424" s="2" t="s">
        <v>25</v>
      </c>
      <c r="D2424" s="2" t="s">
        <v>18</v>
      </c>
      <c r="E2424" s="3" t="s">
        <v>390</v>
      </c>
      <c r="F2424" s="3" t="s">
        <v>391</v>
      </c>
      <c r="G2424" s="3" t="s">
        <v>6648</v>
      </c>
      <c r="H2424" s="2" t="s">
        <v>55</v>
      </c>
      <c r="I2424" s="2" t="s">
        <v>6649</v>
      </c>
      <c r="J2424" s="3" t="str">
        <f>HYPERLINK("https://www.boe.es/gazeta/dias/1809/10/19/pdfs/GGB-1809-342.pdf#page=2","Abrir facsímil")</f>
        <v>Abrir facsímil</v>
      </c>
      <c r="K2424" s="3" t="s">
        <v>57</v>
      </c>
    </row>
    <row r="2425" spans="1:11" ht="42" customHeight="1">
      <c r="A2425" s="2" t="s">
        <v>6650</v>
      </c>
      <c r="B2425" s="2" t="s">
        <v>6650</v>
      </c>
      <c r="C2425" s="2" t="s">
        <v>25</v>
      </c>
      <c r="D2425" s="2" t="s">
        <v>26</v>
      </c>
      <c r="E2425" s="3" t="s">
        <v>332</v>
      </c>
      <c r="F2425" s="3" t="s">
        <v>333</v>
      </c>
      <c r="G2425" s="3" t="s">
        <v>29</v>
      </c>
      <c r="H2425" s="2" t="s">
        <v>55</v>
      </c>
      <c r="I2425" s="2" t="s">
        <v>6651</v>
      </c>
      <c r="J2425" s="3" t="str">
        <f>HYPERLINK("https://www.boe.es/gazeta/dias/1809/02/23/pdfs/GMD-1809-54.pdf#page=3","Abrir facsímil")</f>
        <v>Abrir facsímil</v>
      </c>
      <c r="K2425" s="3" t="s">
        <v>57</v>
      </c>
    </row>
    <row r="2426" spans="1:11" ht="42" customHeight="1">
      <c r="A2426" s="2" t="s">
        <v>6652</v>
      </c>
      <c r="B2426" s="2" t="s">
        <v>6653</v>
      </c>
      <c r="C2426" s="2" t="s">
        <v>25</v>
      </c>
      <c r="D2426" s="2" t="s">
        <v>72</v>
      </c>
      <c r="E2426" s="3" t="s">
        <v>92</v>
      </c>
      <c r="F2426" s="3" t="s">
        <v>93</v>
      </c>
      <c r="G2426" s="3" t="s">
        <v>623</v>
      </c>
      <c r="H2426" s="2" t="s">
        <v>55</v>
      </c>
      <c r="I2426" s="2" t="s">
        <v>6654</v>
      </c>
      <c r="J2426" s="3" t="str">
        <f>HYPERLINK("https://www.boe.es/gazeta/dias/1809/05/22/pdfs/GGB-G-1809-30.pdf#page=6","Abrir facsímil")</f>
        <v>Abrir facsímil</v>
      </c>
      <c r="K2426" s="3" t="s">
        <v>57</v>
      </c>
    </row>
    <row r="2427" spans="1:11" ht="42" customHeight="1">
      <c r="A2427" s="2" t="s">
        <v>6652</v>
      </c>
      <c r="B2427" s="2" t="s">
        <v>6653</v>
      </c>
      <c r="C2427" s="2" t="s">
        <v>25</v>
      </c>
      <c r="D2427" s="2" t="s">
        <v>26</v>
      </c>
      <c r="E2427" s="3" t="s">
        <v>761</v>
      </c>
      <c r="F2427" s="3" t="s">
        <v>1218</v>
      </c>
      <c r="G2427" s="3" t="s">
        <v>62</v>
      </c>
      <c r="H2427" s="2" t="s">
        <v>55</v>
      </c>
      <c r="I2427" s="2" t="s">
        <v>6655</v>
      </c>
      <c r="J2427" s="3" t="str">
        <f>HYPERLINK("https://www.boe.es/gazeta/dias/1809/06/02/pdfs/GGB-1809-33.pdf#page=10","Abrir facsímil")</f>
        <v>Abrir facsímil</v>
      </c>
      <c r="K2427" s="3" t="s">
        <v>57</v>
      </c>
    </row>
    <row r="2428" spans="1:11" ht="42" customHeight="1">
      <c r="A2428" s="2" t="s">
        <v>6656</v>
      </c>
      <c r="B2428" s="2" t="s">
        <v>6656</v>
      </c>
      <c r="C2428" s="2" t="s">
        <v>369</v>
      </c>
      <c r="D2428" s="2" t="s">
        <v>18</v>
      </c>
      <c r="E2428" s="3" t="s">
        <v>3880</v>
      </c>
      <c r="F2428" s="3" t="s">
        <v>5444</v>
      </c>
      <c r="G2428" s="3" t="s">
        <v>6127</v>
      </c>
      <c r="H2428" s="2" t="s">
        <v>55</v>
      </c>
      <c r="I2428" s="2" t="s">
        <v>6657</v>
      </c>
      <c r="J2428" s="3" t="str">
        <f>HYPERLINK("https://www.boe.es/gazeta/dias/1809/03/25/pdfs/GMD-1809-84.pdf#page=1","Abrir facsímil")</f>
        <v>Abrir facsímil</v>
      </c>
      <c r="K2428" s="3" t="s">
        <v>57</v>
      </c>
    </row>
    <row r="2429" spans="1:11" ht="42" customHeight="1">
      <c r="A2429" s="2" t="s">
        <v>6658</v>
      </c>
      <c r="B2429" s="2" t="s">
        <v>6658</v>
      </c>
      <c r="C2429" s="2" t="s">
        <v>25</v>
      </c>
      <c r="D2429" s="2" t="s">
        <v>18</v>
      </c>
      <c r="E2429" s="3" t="s">
        <v>102</v>
      </c>
      <c r="F2429" s="3" t="s">
        <v>103</v>
      </c>
      <c r="G2429" s="3" t="s">
        <v>736</v>
      </c>
      <c r="H2429" s="2" t="s">
        <v>55</v>
      </c>
      <c r="I2429" s="2" t="s">
        <v>6659</v>
      </c>
      <c r="J2429" s="3" t="str">
        <f>HYPERLINK("https://www.boe.es/gazeta/dias/1809/09/28/pdfs/GGB-1809-252.pdf#page=2","Abrir facsímil")</f>
        <v>Abrir facsímil</v>
      </c>
      <c r="K2429" s="3" t="s">
        <v>57</v>
      </c>
    </row>
    <row r="2430" spans="1:11" ht="42" customHeight="1">
      <c r="A2430" s="2" t="s">
        <v>6660</v>
      </c>
      <c r="B2430" s="2" t="s">
        <v>6660</v>
      </c>
      <c r="C2430" s="2" t="s">
        <v>25</v>
      </c>
      <c r="D2430" s="2" t="s">
        <v>26</v>
      </c>
      <c r="E2430" s="3" t="s">
        <v>2346</v>
      </c>
      <c r="F2430" s="3" t="s">
        <v>2347</v>
      </c>
      <c r="G2430" s="3" t="s">
        <v>6661</v>
      </c>
      <c r="H2430" s="2" t="s">
        <v>55</v>
      </c>
      <c r="I2430" s="2" t="s">
        <v>6662</v>
      </c>
      <c r="J2430" s="3" t="str">
        <f>HYPERLINK("https://www.boe.es/gazeta/dias/1809/05/02/pdfs/GMD-1809-122.pdf#page=1","Abrir facsímil")</f>
        <v>Abrir facsímil</v>
      </c>
      <c r="K2430" s="3" t="s">
        <v>57</v>
      </c>
    </row>
    <row r="2431" spans="1:11" ht="42" customHeight="1">
      <c r="A2431" s="2" t="s">
        <v>6660</v>
      </c>
      <c r="B2431" s="2" t="s">
        <v>6660</v>
      </c>
      <c r="C2431" s="2" t="s">
        <v>25</v>
      </c>
      <c r="D2431" s="2" t="s">
        <v>18</v>
      </c>
      <c r="E2431" s="3" t="s">
        <v>758</v>
      </c>
      <c r="F2431" s="3" t="s">
        <v>759</v>
      </c>
      <c r="G2431" s="3" t="s">
        <v>62</v>
      </c>
      <c r="H2431" s="2" t="s">
        <v>55</v>
      </c>
      <c r="I2431" s="2" t="s">
        <v>6663</v>
      </c>
      <c r="J2431" s="3" t="str">
        <f>HYPERLINK("https://www.boe.es/gazeta/dias/1809/06/01/pdfs/GMD-1809-152.pdf#page=2","Abrir facsímil")</f>
        <v>Abrir facsímil</v>
      </c>
      <c r="K2431" s="3" t="s">
        <v>57</v>
      </c>
    </row>
    <row r="2432" spans="1:11" ht="42" customHeight="1">
      <c r="A2432" s="2" t="s">
        <v>6660</v>
      </c>
      <c r="B2432" s="2" t="s">
        <v>6660</v>
      </c>
      <c r="C2432" s="2" t="s">
        <v>25</v>
      </c>
      <c r="D2432" s="2" t="s">
        <v>107</v>
      </c>
      <c r="E2432" s="3" t="s">
        <v>621</v>
      </c>
      <c r="F2432" s="3" t="s">
        <v>913</v>
      </c>
      <c r="G2432" s="3" t="s">
        <v>914</v>
      </c>
      <c r="H2432" s="2" t="s">
        <v>55</v>
      </c>
      <c r="I2432" s="2" t="s">
        <v>6664</v>
      </c>
      <c r="J2432" s="3" t="str">
        <f>HYPERLINK("https://www.boe.es/gazeta/dias/1809/07/04/pdfs/GMD-1809-185.pdf#page=2","Abrir facsímil")</f>
        <v>Abrir facsímil</v>
      </c>
      <c r="K2432" s="3" t="s">
        <v>57</v>
      </c>
    </row>
    <row r="2433" spans="1:11" ht="42" customHeight="1">
      <c r="A2433" s="2" t="s">
        <v>6660</v>
      </c>
      <c r="B2433" s="2" t="s">
        <v>6660</v>
      </c>
      <c r="C2433" s="2" t="s">
        <v>25</v>
      </c>
      <c r="D2433" s="2" t="s">
        <v>18</v>
      </c>
      <c r="E2433" s="3" t="s">
        <v>621</v>
      </c>
      <c r="F2433" s="3" t="s">
        <v>913</v>
      </c>
      <c r="G2433" s="3" t="s">
        <v>192</v>
      </c>
      <c r="H2433" s="2" t="s">
        <v>55</v>
      </c>
      <c r="I2433" s="2" t="s">
        <v>6665</v>
      </c>
      <c r="J2433" s="3" t="str">
        <f>HYPERLINK("https://www.boe.es/gazeta/dias/1809/07/04/pdfs/GMD-1809-185.pdf#page=3","Abrir facsímil")</f>
        <v>Abrir facsímil</v>
      </c>
      <c r="K2433" s="3" t="s">
        <v>57</v>
      </c>
    </row>
    <row r="2434" spans="1:11" ht="42" customHeight="1">
      <c r="A2434" s="2" t="s">
        <v>6660</v>
      </c>
      <c r="B2434" s="2" t="s">
        <v>6660</v>
      </c>
      <c r="C2434" s="2" t="s">
        <v>25</v>
      </c>
      <c r="D2434" s="2" t="s">
        <v>18</v>
      </c>
      <c r="E2434" s="3" t="s">
        <v>449</v>
      </c>
      <c r="F2434" s="3" t="s">
        <v>640</v>
      </c>
      <c r="G2434" s="3" t="s">
        <v>110</v>
      </c>
      <c r="H2434" s="2" t="s">
        <v>55</v>
      </c>
      <c r="I2434" s="2" t="s">
        <v>6666</v>
      </c>
      <c r="J2434" s="3" t="str">
        <f>HYPERLINK("https://www.boe.es/gazeta/dias/1809/10/10/pdfs/GMD-1809-284.pdf#page=3","Abrir facsímil")</f>
        <v>Abrir facsímil</v>
      </c>
      <c r="K2434" s="3" t="s">
        <v>57</v>
      </c>
    </row>
    <row r="2435" spans="1:11" ht="42" customHeight="1">
      <c r="A2435" s="2" t="s">
        <v>6667</v>
      </c>
      <c r="B2435" s="2" t="s">
        <v>6667</v>
      </c>
      <c r="C2435" s="2" t="s">
        <v>25</v>
      </c>
      <c r="D2435" s="2" t="s">
        <v>26</v>
      </c>
      <c r="E2435" s="3" t="s">
        <v>1779</v>
      </c>
      <c r="F2435" s="3" t="s">
        <v>1780</v>
      </c>
      <c r="G2435" s="3" t="s">
        <v>2405</v>
      </c>
      <c r="H2435" s="2" t="s">
        <v>55</v>
      </c>
      <c r="I2435" s="2" t="s">
        <v>6668</v>
      </c>
      <c r="J2435" s="3" t="str">
        <f>HYPERLINK("https://www.boe.es/gazeta/dias/1809/08/22/pdfs/GGB-1809-92.pdf#page=4","Abrir facsímil")</f>
        <v>Abrir facsímil</v>
      </c>
      <c r="K2435" s="3" t="s">
        <v>57</v>
      </c>
    </row>
    <row r="2436" spans="1:11" ht="42" customHeight="1">
      <c r="A2436" s="2" t="s">
        <v>6669</v>
      </c>
      <c r="B2436" s="2" t="s">
        <v>6669</v>
      </c>
      <c r="C2436" s="2" t="s">
        <v>25</v>
      </c>
      <c r="D2436" s="2" t="s">
        <v>26</v>
      </c>
      <c r="E2436" s="3" t="s">
        <v>2607</v>
      </c>
      <c r="F2436" s="3" t="s">
        <v>2608</v>
      </c>
      <c r="G2436" s="3" t="s">
        <v>270</v>
      </c>
      <c r="H2436" s="2" t="s">
        <v>55</v>
      </c>
      <c r="I2436" s="2" t="s">
        <v>6670</v>
      </c>
      <c r="J2436" s="3" t="str">
        <f>HYPERLINK("https://www.boe.es/gazeta/dias/1809/04/30/pdfs/GMD-1809-120.pdf#page=2","Abrir facsímil")</f>
        <v>Abrir facsímil</v>
      </c>
      <c r="K2436" s="3" t="s">
        <v>57</v>
      </c>
    </row>
    <row r="2437" spans="1:11" ht="42" customHeight="1">
      <c r="A2437" s="2" t="s">
        <v>6671</v>
      </c>
      <c r="B2437" s="2" t="s">
        <v>6672</v>
      </c>
      <c r="C2437" s="2" t="s">
        <v>25</v>
      </c>
      <c r="D2437" s="2" t="s">
        <v>26</v>
      </c>
      <c r="E2437" s="3" t="s">
        <v>158</v>
      </c>
      <c r="F2437" s="3" t="s">
        <v>159</v>
      </c>
      <c r="G2437" s="3" t="s">
        <v>120</v>
      </c>
      <c r="H2437" s="2" t="s">
        <v>55</v>
      </c>
      <c r="I2437" s="2" t="s">
        <v>6673</v>
      </c>
      <c r="J2437" s="3" t="str">
        <f>HYPERLINK("https://www.boe.es/gazeta/dias/1809/02/10/pdfs/GGB-1809-7.pdf#page=9","Abrir facsímil")</f>
        <v>Abrir facsímil</v>
      </c>
      <c r="K2437" s="3" t="s">
        <v>57</v>
      </c>
    </row>
    <row r="2438" spans="1:11" ht="42" customHeight="1">
      <c r="A2438" s="2" t="s">
        <v>6674</v>
      </c>
      <c r="B2438" s="2" t="s">
        <v>6674</v>
      </c>
      <c r="C2438" s="2" t="s">
        <v>25</v>
      </c>
      <c r="D2438" s="2" t="s">
        <v>26</v>
      </c>
      <c r="E2438" s="3" t="s">
        <v>2142</v>
      </c>
      <c r="F2438" s="3" t="s">
        <v>2143</v>
      </c>
      <c r="G2438" s="3" t="s">
        <v>21</v>
      </c>
      <c r="H2438" s="2" t="s">
        <v>55</v>
      </c>
      <c r="I2438" s="2" t="s">
        <v>6675</v>
      </c>
      <c r="J2438" s="3" t="str">
        <f>HYPERLINK("https://www.boe.es/gazeta/dias/1809/03/16/pdfs/GMD-1809-75.pdf#page=3","Abrir facsímil")</f>
        <v>Abrir facsímil</v>
      </c>
      <c r="K2438" s="3" t="s">
        <v>57</v>
      </c>
    </row>
    <row r="2439" spans="1:11" ht="42" customHeight="1">
      <c r="A2439" s="2" t="s">
        <v>6676</v>
      </c>
      <c r="B2439" s="2" t="s">
        <v>6677</v>
      </c>
      <c r="C2439" s="2" t="s">
        <v>131</v>
      </c>
      <c r="D2439" s="2" t="s">
        <v>18</v>
      </c>
      <c r="E2439" s="3" t="s">
        <v>470</v>
      </c>
      <c r="F2439" s="3" t="s">
        <v>471</v>
      </c>
      <c r="G2439" s="3" t="s">
        <v>234</v>
      </c>
      <c r="H2439" s="2" t="s">
        <v>55</v>
      </c>
      <c r="I2439" s="2" t="s">
        <v>6678</v>
      </c>
      <c r="J2439" s="3" t="str">
        <f>HYPERLINK("https://www.boe.es/gazeta/dias/1809/12/15/pdfs/GMD-1809-350.pdf#page=4","Abrir facsímil")</f>
        <v>Abrir facsímil</v>
      </c>
      <c r="K2439" s="3" t="s">
        <v>57</v>
      </c>
    </row>
    <row r="2440" spans="1:11" ht="42" customHeight="1">
      <c r="A2440" s="2" t="s">
        <v>6679</v>
      </c>
      <c r="B2440" s="2" t="s">
        <v>6680</v>
      </c>
      <c r="C2440" s="2" t="s">
        <v>25</v>
      </c>
      <c r="D2440" s="2" t="s">
        <v>26</v>
      </c>
      <c r="E2440" s="3" t="s">
        <v>299</v>
      </c>
      <c r="F2440" s="3" t="s">
        <v>300</v>
      </c>
      <c r="G2440" s="3" t="s">
        <v>1319</v>
      </c>
      <c r="H2440" s="2" t="s">
        <v>55</v>
      </c>
      <c r="I2440" s="2" t="s">
        <v>6681</v>
      </c>
      <c r="J2440" s="3" t="str">
        <f>HYPERLINK("https://www.boe.es/gazeta/dias/1809/05/26/pdfs/GGB-1809-31.pdf#page=11","Abrir facsímil")</f>
        <v>Abrir facsímil</v>
      </c>
      <c r="K2440" s="3" t="s">
        <v>57</v>
      </c>
    </row>
    <row r="2441" spans="1:11" ht="42" customHeight="1">
      <c r="A2441" s="2" t="s">
        <v>6682</v>
      </c>
      <c r="B2441" s="2" t="s">
        <v>6683</v>
      </c>
      <c r="C2441" s="2" t="s">
        <v>131</v>
      </c>
      <c r="D2441" s="2" t="s">
        <v>18</v>
      </c>
      <c r="E2441" s="3" t="s">
        <v>305</v>
      </c>
      <c r="F2441" s="3" t="s">
        <v>306</v>
      </c>
      <c r="G2441" s="3" t="s">
        <v>29</v>
      </c>
      <c r="H2441" s="2" t="s">
        <v>55</v>
      </c>
      <c r="I2441" s="2" t="s">
        <v>6684</v>
      </c>
      <c r="J2441" s="3" t="str">
        <f>HYPERLINK("https://www.boe.es/gazeta/dias/1809/10/20/pdfs/GMD-1809-294.pdf#page=3","Abrir facsímil")</f>
        <v>Abrir facsímil</v>
      </c>
      <c r="K2441" s="3" t="s">
        <v>57</v>
      </c>
    </row>
    <row r="2442" spans="1:11" ht="42" customHeight="1">
      <c r="A2442" s="2" t="s">
        <v>6685</v>
      </c>
      <c r="B2442" s="2" t="s">
        <v>6686</v>
      </c>
      <c r="C2442" s="2" t="s">
        <v>17</v>
      </c>
      <c r="D2442" s="2" t="s">
        <v>107</v>
      </c>
      <c r="E2442" s="3" t="s">
        <v>1898</v>
      </c>
      <c r="F2442" s="3" t="s">
        <v>1970</v>
      </c>
      <c r="G2442" s="3" t="s">
        <v>154</v>
      </c>
      <c r="H2442" s="2" t="s">
        <v>55</v>
      </c>
      <c r="I2442" s="2" t="s">
        <v>6687</v>
      </c>
      <c r="J2442" s="3" t="str">
        <f>HYPERLINK("https://www.boe.es/gazeta/dias/1809/12/02/pdfs/GMD-1809-337.pdf#page=4","Abrir facsímil")</f>
        <v>Abrir facsímil</v>
      </c>
      <c r="K2442" s="3" t="s">
        <v>57</v>
      </c>
    </row>
    <row r="2443" spans="1:11" ht="42" customHeight="1">
      <c r="A2443" s="2" t="s">
        <v>6688</v>
      </c>
      <c r="B2443" s="2" t="s">
        <v>6689</v>
      </c>
      <c r="C2443" s="2" t="s">
        <v>25</v>
      </c>
      <c r="D2443" s="2" t="s">
        <v>26</v>
      </c>
      <c r="E2443" s="3" t="s">
        <v>1551</v>
      </c>
      <c r="F2443" s="3" t="s">
        <v>1552</v>
      </c>
      <c r="G2443" s="3" t="s">
        <v>169</v>
      </c>
      <c r="H2443" s="2" t="s">
        <v>55</v>
      </c>
      <c r="I2443" s="2" t="s">
        <v>6690</v>
      </c>
      <c r="J2443" s="3" t="str">
        <f>HYPERLINK("https://www.boe.es/gazeta/dias/1809/06/12/pdfs/GGB-1809-36.pdf#page=11","Abrir facsímil")</f>
        <v>Abrir facsímil</v>
      </c>
      <c r="K2443" s="3" t="s">
        <v>57</v>
      </c>
    </row>
    <row r="2444" spans="1:11" ht="42" customHeight="1">
      <c r="A2444" s="2" t="s">
        <v>6691</v>
      </c>
      <c r="B2444" s="2" t="s">
        <v>6691</v>
      </c>
      <c r="C2444" s="2" t="s">
        <v>25</v>
      </c>
      <c r="D2444" s="2" t="s">
        <v>26</v>
      </c>
      <c r="E2444" s="3" t="s">
        <v>2051</v>
      </c>
      <c r="F2444" s="3" t="s">
        <v>2052</v>
      </c>
      <c r="G2444" s="3" t="s">
        <v>110</v>
      </c>
      <c r="H2444" s="2" t="s">
        <v>55</v>
      </c>
      <c r="I2444" s="2" t="s">
        <v>6692</v>
      </c>
      <c r="J2444" s="3" t="str">
        <f>HYPERLINK("https://www.boe.es/gazeta/dias/1809/07/19/pdfs/GMD-1809-200.pdf#page=2","Abrir facsímil")</f>
        <v>Abrir facsímil</v>
      </c>
      <c r="K2444" s="3" t="s">
        <v>57</v>
      </c>
    </row>
    <row r="2445" spans="1:11" ht="42" customHeight="1">
      <c r="A2445" s="2" t="s">
        <v>6693</v>
      </c>
      <c r="B2445" s="2" t="s">
        <v>6693</v>
      </c>
      <c r="C2445" s="2" t="s">
        <v>131</v>
      </c>
      <c r="D2445" s="2" t="s">
        <v>26</v>
      </c>
      <c r="E2445" s="3" t="s">
        <v>263</v>
      </c>
      <c r="F2445" s="3" t="s">
        <v>264</v>
      </c>
      <c r="G2445" s="3" t="s">
        <v>914</v>
      </c>
      <c r="H2445" s="2" t="s">
        <v>55</v>
      </c>
      <c r="I2445" s="2" t="s">
        <v>6694</v>
      </c>
      <c r="J2445" s="3" t="str">
        <f>HYPERLINK("https://www.boe.es/gazeta/dias/1809/11/21/pdfs/GGB-1809-482.pdf#page=1","Abrir facsímil")</f>
        <v>Abrir facsímil</v>
      </c>
      <c r="K2445" s="3" t="s">
        <v>57</v>
      </c>
    </row>
    <row r="2446" spans="1:11" ht="42" customHeight="1">
      <c r="A2446" s="2" t="s">
        <v>6695</v>
      </c>
      <c r="B2446" s="2" t="s">
        <v>6695</v>
      </c>
      <c r="C2446" s="2" t="s">
        <v>25</v>
      </c>
      <c r="D2446" s="2" t="s">
        <v>107</v>
      </c>
      <c r="E2446" s="3" t="s">
        <v>6250</v>
      </c>
      <c r="F2446" s="3" t="s">
        <v>6251</v>
      </c>
      <c r="G2446" s="3" t="s">
        <v>29</v>
      </c>
      <c r="H2446" s="2" t="s">
        <v>55</v>
      </c>
      <c r="I2446" s="2" t="s">
        <v>6696</v>
      </c>
      <c r="J2446" s="3" t="str">
        <f>HYPERLINK("https://www.boe.es/gazeta/dias/1809/03/15/pdfs/GMD-1809-74.pdf#page=3","Abrir facsímil")</f>
        <v>Abrir facsímil</v>
      </c>
      <c r="K2446" s="3" t="s">
        <v>57</v>
      </c>
    </row>
    <row r="2447" spans="1:11" ht="42" customHeight="1">
      <c r="A2447" s="2" t="s">
        <v>6695</v>
      </c>
      <c r="B2447" s="2" t="s">
        <v>6695</v>
      </c>
      <c r="C2447" s="2" t="s">
        <v>25</v>
      </c>
      <c r="D2447" s="2" t="s">
        <v>107</v>
      </c>
      <c r="E2447" s="3" t="s">
        <v>1678</v>
      </c>
      <c r="F2447" s="3" t="s">
        <v>6697</v>
      </c>
      <c r="G2447" s="3" t="s">
        <v>6698</v>
      </c>
      <c r="H2447" s="2" t="s">
        <v>55</v>
      </c>
      <c r="I2447" s="2" t="s">
        <v>6699</v>
      </c>
      <c r="J2447" s="3" t="str">
        <f>HYPERLINK("https://www.boe.es/gazeta/dias/1809/05/29/pdfs/GMD-1809-149.pdf#page=3","Abrir facsímil")</f>
        <v>Abrir facsímil</v>
      </c>
      <c r="K2447" s="3" t="s">
        <v>57</v>
      </c>
    </row>
    <row r="2448" spans="1:11" ht="42" customHeight="1">
      <c r="A2448" s="2" t="s">
        <v>6700</v>
      </c>
      <c r="B2448" s="2" t="s">
        <v>6701</v>
      </c>
      <c r="C2448" s="2" t="s">
        <v>17</v>
      </c>
      <c r="D2448" s="2" t="s">
        <v>18</v>
      </c>
      <c r="E2448" s="3" t="s">
        <v>3397</v>
      </c>
      <c r="F2448" s="3" t="s">
        <v>3398</v>
      </c>
      <c r="G2448" s="3" t="s">
        <v>225</v>
      </c>
      <c r="H2448" s="2" t="s">
        <v>55</v>
      </c>
      <c r="I2448" s="2" t="s">
        <v>6702</v>
      </c>
      <c r="J2448" s="3" t="str">
        <f>HYPERLINK("https://www.boe.es/gazeta/dias/1809/02/08/pdfs/GMD-1809-39.pdf#page=4","Abrir facsímil")</f>
        <v>Abrir facsímil</v>
      </c>
      <c r="K2448" s="3" t="s">
        <v>57</v>
      </c>
    </row>
    <row r="2449" spans="1:11" ht="42" customHeight="1">
      <c r="A2449" s="2" t="s">
        <v>6703</v>
      </c>
      <c r="B2449" s="2" t="s">
        <v>6704</v>
      </c>
      <c r="C2449" s="2" t="s">
        <v>17</v>
      </c>
      <c r="D2449" s="2" t="s">
        <v>72</v>
      </c>
      <c r="E2449" s="3" t="s">
        <v>776</v>
      </c>
      <c r="F2449" s="3" t="s">
        <v>777</v>
      </c>
      <c r="G2449" s="3" t="s">
        <v>736</v>
      </c>
      <c r="H2449" s="2" t="s">
        <v>55</v>
      </c>
      <c r="I2449" s="2" t="s">
        <v>6705</v>
      </c>
      <c r="J2449" s="3" t="str">
        <f>HYPERLINK("https://www.boe.es/gazeta/dias/1809/05/28/pdfs/GMD-E-1809-148.pdf#page=1","Abrir facsímil")</f>
        <v>Abrir facsímil</v>
      </c>
      <c r="K2449" s="3" t="s">
        <v>57</v>
      </c>
    </row>
    <row r="2450" spans="1:11" ht="42" customHeight="1">
      <c r="A2450" s="2" t="s">
        <v>6706</v>
      </c>
      <c r="B2450" s="2" t="s">
        <v>6707</v>
      </c>
      <c r="C2450" s="2" t="s">
        <v>79</v>
      </c>
      <c r="D2450" s="2" t="s">
        <v>26</v>
      </c>
      <c r="E2450" s="3" t="s">
        <v>102</v>
      </c>
      <c r="F2450" s="3" t="s">
        <v>103</v>
      </c>
      <c r="G2450" s="3" t="s">
        <v>104</v>
      </c>
      <c r="H2450" s="2" t="s">
        <v>55</v>
      </c>
      <c r="I2450" s="2" t="s">
        <v>6708</v>
      </c>
      <c r="J2450" s="3" t="str">
        <f>HYPERLINK("https://www.boe.es/gazeta/dias/1809/09/28/pdfs/GGB-1809-252.pdf#page=8","Abrir facsímil")</f>
        <v>Abrir facsímil</v>
      </c>
      <c r="K2450" s="3" t="s">
        <v>57</v>
      </c>
    </row>
    <row r="2451" spans="1:11" ht="42" customHeight="1">
      <c r="A2451" s="2" t="s">
        <v>6709</v>
      </c>
      <c r="B2451" s="2" t="s">
        <v>6710</v>
      </c>
      <c r="C2451" s="2" t="s">
        <v>79</v>
      </c>
      <c r="D2451" s="2" t="s">
        <v>18</v>
      </c>
      <c r="E2451" s="3" t="s">
        <v>2244</v>
      </c>
      <c r="F2451" s="3" t="s">
        <v>2245</v>
      </c>
      <c r="G2451" s="3" t="s">
        <v>3015</v>
      </c>
      <c r="H2451" s="2" t="s">
        <v>55</v>
      </c>
      <c r="I2451" s="2" t="s">
        <v>6711</v>
      </c>
      <c r="J2451" s="3" t="str">
        <f>HYPERLINK("https://www.boe.es/gazeta/dias/1809/03/27/pdfs/GGB-1809-13B.pdf#page=8","Abrir facsímil")</f>
        <v>Abrir facsímil</v>
      </c>
      <c r="K2451" s="3" t="s">
        <v>57</v>
      </c>
    </row>
    <row r="2452" spans="1:11" ht="42" customHeight="1">
      <c r="A2452" s="2" t="s">
        <v>6712</v>
      </c>
      <c r="B2452" s="2" t="s">
        <v>6712</v>
      </c>
      <c r="C2452" s="2" t="s">
        <v>25</v>
      </c>
      <c r="D2452" s="2" t="s">
        <v>26</v>
      </c>
      <c r="E2452" s="3" t="s">
        <v>273</v>
      </c>
      <c r="F2452" s="3" t="s">
        <v>274</v>
      </c>
      <c r="G2452" s="3" t="s">
        <v>275</v>
      </c>
      <c r="H2452" s="2" t="s">
        <v>55</v>
      </c>
      <c r="I2452" s="2" t="s">
        <v>6713</v>
      </c>
      <c r="J2452" s="3" t="str">
        <f>HYPERLINK("https://www.boe.es/gazeta/dias/1809/08/13/pdfs/GMD-1809-226.pdf#page=1","Abrir facsímil")</f>
        <v>Abrir facsímil</v>
      </c>
      <c r="K2452" s="3" t="s">
        <v>57</v>
      </c>
    </row>
    <row r="2453" spans="1:11" ht="42" customHeight="1">
      <c r="A2453" s="2" t="s">
        <v>6714</v>
      </c>
      <c r="B2453" s="2" t="s">
        <v>6714</v>
      </c>
      <c r="C2453" s="2" t="s">
        <v>25</v>
      </c>
      <c r="D2453" s="2" t="s">
        <v>18</v>
      </c>
      <c r="E2453" s="3" t="s">
        <v>394</v>
      </c>
      <c r="F2453" s="3" t="s">
        <v>2563</v>
      </c>
      <c r="G2453" s="3" t="s">
        <v>110</v>
      </c>
      <c r="H2453" s="2" t="s">
        <v>55</v>
      </c>
      <c r="I2453" s="2" t="s">
        <v>6715</v>
      </c>
      <c r="J2453" s="3" t="str">
        <f>HYPERLINK("https://www.boe.es/gazeta/dias/1809/12/14/pdfs/GMD-1809-349.pdf#page=2","Abrir facsímil")</f>
        <v>Abrir facsímil</v>
      </c>
      <c r="K2453" s="3" t="s">
        <v>57</v>
      </c>
    </row>
    <row r="2454" spans="1:11" ht="42" customHeight="1">
      <c r="A2454" s="2" t="s">
        <v>6716</v>
      </c>
      <c r="B2454" s="2" t="s">
        <v>6716</v>
      </c>
      <c r="C2454" s="2" t="s">
        <v>39</v>
      </c>
      <c r="D2454" s="2" t="s">
        <v>40</v>
      </c>
      <c r="E2454" s="3" t="s">
        <v>27</v>
      </c>
      <c r="F2454" s="3" t="s">
        <v>254</v>
      </c>
      <c r="G2454" s="3" t="s">
        <v>255</v>
      </c>
      <c r="H2454" s="2" t="s">
        <v>55</v>
      </c>
      <c r="I2454" s="2" t="s">
        <v>6717</v>
      </c>
      <c r="J2454" s="3" t="str">
        <f>HYPERLINK("https://www.boe.es/gazeta/dias/1809/05/12/pdfs/GGB-1809-26.pdf#page=12","Abrir facsímil")</f>
        <v>Abrir facsímil</v>
      </c>
      <c r="K2454" s="3" t="s">
        <v>57</v>
      </c>
    </row>
    <row r="2455" spans="1:11" ht="42" customHeight="1">
      <c r="A2455" s="2" t="s">
        <v>6716</v>
      </c>
      <c r="B2455" s="2" t="s">
        <v>6716</v>
      </c>
      <c r="C2455" s="2" t="s">
        <v>47</v>
      </c>
      <c r="D2455" s="2" t="s">
        <v>18</v>
      </c>
      <c r="E2455" s="3" t="s">
        <v>211</v>
      </c>
      <c r="F2455" s="3" t="s">
        <v>212</v>
      </c>
      <c r="G2455" s="3" t="s">
        <v>872</v>
      </c>
      <c r="H2455" s="2" t="s">
        <v>55</v>
      </c>
      <c r="I2455" s="2" t="s">
        <v>6718</v>
      </c>
      <c r="J2455" s="3" t="str">
        <f>HYPERLINK("https://www.boe.es/gazeta/dias/1809/10/27/pdfs/GMD-1809-301.pdf#page=1","Abrir facsímil")</f>
        <v>Abrir facsímil</v>
      </c>
      <c r="K2455" s="3" t="s">
        <v>57</v>
      </c>
    </row>
    <row r="2456" spans="1:11" ht="42" customHeight="1">
      <c r="A2456" s="2" t="s">
        <v>6716</v>
      </c>
      <c r="B2456" s="2" t="s">
        <v>6716</v>
      </c>
      <c r="C2456" s="2" t="s">
        <v>25</v>
      </c>
      <c r="D2456" s="2" t="s">
        <v>26</v>
      </c>
      <c r="E2456" s="3" t="s">
        <v>216</v>
      </c>
      <c r="F2456" s="3" t="s">
        <v>217</v>
      </c>
      <c r="G2456" s="3" t="s">
        <v>154</v>
      </c>
      <c r="H2456" s="2" t="s">
        <v>55</v>
      </c>
      <c r="I2456" s="2" t="s">
        <v>6719</v>
      </c>
      <c r="J2456" s="3" t="str">
        <f>HYPERLINK("https://www.boe.es/gazeta/dias/1809/12/05/pdfs/GGB-H-1809-542.pdf#page=1","Abrir facsímil")</f>
        <v>Abrir facsímil</v>
      </c>
      <c r="K2456" s="3" t="s">
        <v>57</v>
      </c>
    </row>
    <row r="2457" spans="1:11" ht="42" customHeight="1">
      <c r="A2457" s="2" t="s">
        <v>6720</v>
      </c>
      <c r="B2457" s="2" t="s">
        <v>6721</v>
      </c>
      <c r="C2457" s="2" t="s">
        <v>131</v>
      </c>
      <c r="D2457" s="2" t="s">
        <v>40</v>
      </c>
      <c r="E2457" s="3" t="s">
        <v>1954</v>
      </c>
      <c r="F2457" s="3" t="s">
        <v>1955</v>
      </c>
      <c r="G2457" s="3" t="s">
        <v>1956</v>
      </c>
      <c r="H2457" s="2" t="s">
        <v>55</v>
      </c>
      <c r="I2457" s="2" t="s">
        <v>6722</v>
      </c>
      <c r="J2457" s="3" t="str">
        <f>HYPERLINK("https://www.boe.es/gazeta/dias/1809/11/08/pdfs/GMD-1809-313.pdf#page=4","Abrir facsímil")</f>
        <v>Abrir facsímil</v>
      </c>
      <c r="K2457" s="3" t="s">
        <v>57</v>
      </c>
    </row>
    <row r="2458" spans="1:11" ht="42" customHeight="1">
      <c r="A2458" s="2" t="s">
        <v>6723</v>
      </c>
      <c r="B2458" s="2" t="s">
        <v>6724</v>
      </c>
      <c r="C2458" s="2" t="s">
        <v>25</v>
      </c>
      <c r="D2458" s="2" t="s">
        <v>26</v>
      </c>
      <c r="E2458" s="3" t="s">
        <v>201</v>
      </c>
      <c r="F2458" s="3" t="s">
        <v>202</v>
      </c>
      <c r="G2458" s="3" t="s">
        <v>186</v>
      </c>
      <c r="H2458" s="2" t="s">
        <v>55</v>
      </c>
      <c r="I2458" s="2" t="s">
        <v>6725</v>
      </c>
      <c r="J2458" s="3" t="str">
        <f>HYPERLINK("https://www.boe.es/gazeta/dias/1809/08/15/pdfs/GGB-1809-62.pdf#page=3","Abrir facsímil")</f>
        <v>Abrir facsímil</v>
      </c>
      <c r="K2458" s="3" t="s">
        <v>57</v>
      </c>
    </row>
    <row r="2459" spans="1:11" ht="42" customHeight="1">
      <c r="A2459" s="2" t="s">
        <v>6726</v>
      </c>
      <c r="B2459" s="2" t="s">
        <v>6727</v>
      </c>
      <c r="C2459" s="2" t="s">
        <v>25</v>
      </c>
      <c r="D2459" s="2" t="s">
        <v>40</v>
      </c>
      <c r="E2459" s="3" t="s">
        <v>216</v>
      </c>
      <c r="F2459" s="3" t="s">
        <v>217</v>
      </c>
      <c r="G2459" s="3" t="s">
        <v>439</v>
      </c>
      <c r="H2459" s="2" t="s">
        <v>55</v>
      </c>
      <c r="I2459" s="2" t="s">
        <v>6728</v>
      </c>
      <c r="J2459" s="3" t="str">
        <f>HYPERLINK("https://www.boe.es/gazeta/dias/1809/12/05/pdfs/GGB-H-1809-542.pdf#page=7","Abrir facsímil")</f>
        <v>Abrir facsímil</v>
      </c>
      <c r="K2459" s="3" t="s">
        <v>57</v>
      </c>
    </row>
    <row r="2460" spans="1:11" ht="42" customHeight="1">
      <c r="A2460" s="2" t="s">
        <v>6729</v>
      </c>
      <c r="B2460" s="2" t="s">
        <v>6729</v>
      </c>
      <c r="C2460" s="2" t="s">
        <v>25</v>
      </c>
      <c r="D2460" s="2" t="s">
        <v>26</v>
      </c>
      <c r="E2460" s="3" t="s">
        <v>1779</v>
      </c>
      <c r="F2460" s="3" t="s">
        <v>1780</v>
      </c>
      <c r="G2460" s="3" t="s">
        <v>2405</v>
      </c>
      <c r="H2460" s="2" t="s">
        <v>55</v>
      </c>
      <c r="I2460" s="2" t="s">
        <v>6730</v>
      </c>
      <c r="J2460" s="3" t="str">
        <f>HYPERLINK("https://www.boe.es/gazeta/dias/1809/08/22/pdfs/GGB-1809-92.pdf#page=4","Abrir facsímil")</f>
        <v>Abrir facsímil</v>
      </c>
      <c r="K2460" s="3" t="s">
        <v>57</v>
      </c>
    </row>
    <row r="2461" spans="1:11" ht="42" customHeight="1">
      <c r="A2461" s="2" t="s">
        <v>6731</v>
      </c>
      <c r="B2461" s="2" t="s">
        <v>6731</v>
      </c>
      <c r="C2461" s="2" t="s">
        <v>47</v>
      </c>
      <c r="D2461" s="2" t="s">
        <v>18</v>
      </c>
      <c r="E2461" s="3" t="s">
        <v>147</v>
      </c>
      <c r="F2461" s="3" t="s">
        <v>148</v>
      </c>
      <c r="G2461" s="3" t="s">
        <v>6732</v>
      </c>
      <c r="H2461" s="2" t="s">
        <v>55</v>
      </c>
      <c r="I2461" s="2" t="s">
        <v>6733</v>
      </c>
      <c r="J2461" s="3" t="str">
        <f>HYPERLINK("https://www.boe.es/gazeta/dias/1809/10/07/pdfs/GGB-1809-292.pdf#page=2","Abrir facsímil")</f>
        <v>Abrir facsímil</v>
      </c>
      <c r="K2461" s="3" t="s">
        <v>57</v>
      </c>
    </row>
    <row r="2462" spans="1:11" ht="42" customHeight="1">
      <c r="A2462" s="2" t="s">
        <v>6731</v>
      </c>
      <c r="B2462" s="2" t="s">
        <v>6731</v>
      </c>
      <c r="C2462" s="2" t="s">
        <v>47</v>
      </c>
      <c r="D2462" s="2" t="s">
        <v>18</v>
      </c>
      <c r="E2462" s="3" t="s">
        <v>635</v>
      </c>
      <c r="F2462" s="3" t="s">
        <v>636</v>
      </c>
      <c r="G2462" s="3" t="s">
        <v>6078</v>
      </c>
      <c r="H2462" s="2" t="s">
        <v>55</v>
      </c>
      <c r="I2462" s="2" t="s">
        <v>6734</v>
      </c>
      <c r="J2462" s="3" t="str">
        <f>HYPERLINK("https://www.boe.es/gazeta/dias/1809/12/16/pdfs/GGB-1809-592.pdf#page=8","Abrir facsímil")</f>
        <v>Abrir facsímil</v>
      </c>
      <c r="K2462" s="3" t="s">
        <v>57</v>
      </c>
    </row>
    <row r="2463" spans="1:11" ht="42" customHeight="1">
      <c r="A2463" s="2" t="s">
        <v>6735</v>
      </c>
      <c r="B2463" s="2" t="s">
        <v>6736</v>
      </c>
      <c r="C2463" s="2" t="s">
        <v>17</v>
      </c>
      <c r="D2463" s="2" t="s">
        <v>72</v>
      </c>
      <c r="E2463" s="3" t="s">
        <v>243</v>
      </c>
      <c r="F2463" s="3" t="s">
        <v>244</v>
      </c>
      <c r="G2463" s="3" t="s">
        <v>525</v>
      </c>
      <c r="H2463" s="2" t="s">
        <v>55</v>
      </c>
      <c r="I2463" s="2" t="s">
        <v>6737</v>
      </c>
      <c r="J2463" s="3" t="str">
        <f>HYPERLINK("https://www.boe.es/gazeta/dias/1809/02/17/pdfs/GGB-G-1809-8.pdf#page=4","Abrir facsímil")</f>
        <v>Abrir facsímil</v>
      </c>
      <c r="K2463" s="3" t="s">
        <v>57</v>
      </c>
    </row>
    <row r="2464" spans="1:11" ht="42" customHeight="1">
      <c r="A2464" s="2" t="s">
        <v>6738</v>
      </c>
      <c r="B2464" s="2" t="s">
        <v>6739</v>
      </c>
      <c r="C2464" s="2" t="s">
        <v>17</v>
      </c>
      <c r="D2464" s="2" t="s">
        <v>72</v>
      </c>
      <c r="E2464" s="3" t="s">
        <v>557</v>
      </c>
      <c r="F2464" s="3" t="s">
        <v>558</v>
      </c>
      <c r="G2464" s="3" t="s">
        <v>21</v>
      </c>
      <c r="H2464" s="2" t="s">
        <v>55</v>
      </c>
      <c r="I2464" s="2" t="s">
        <v>6740</v>
      </c>
      <c r="J2464" s="3" t="str">
        <f>HYPERLINK("https://www.boe.es/gazeta/dias/1809/04/19/pdfs/GMD-E-1809-109.pdf#page=1","Abrir facsímil")</f>
        <v>Abrir facsímil</v>
      </c>
      <c r="K2464" s="3" t="s">
        <v>57</v>
      </c>
    </row>
    <row r="2465" spans="1:11" ht="42" customHeight="1">
      <c r="A2465" s="2" t="s">
        <v>6741</v>
      </c>
      <c r="B2465" s="2" t="s">
        <v>6742</v>
      </c>
      <c r="C2465" s="2" t="s">
        <v>17</v>
      </c>
      <c r="D2465" s="2" t="s">
        <v>72</v>
      </c>
      <c r="E2465" s="3" t="s">
        <v>243</v>
      </c>
      <c r="F2465" s="3" t="s">
        <v>244</v>
      </c>
      <c r="G2465" s="3" t="s">
        <v>29</v>
      </c>
      <c r="H2465" s="2" t="s">
        <v>55</v>
      </c>
      <c r="I2465" s="2" t="s">
        <v>6743</v>
      </c>
      <c r="J2465" s="3" t="str">
        <f>HYPERLINK("https://www.boe.es/gazeta/dias/1809/02/17/pdfs/GGB-G-1809-8.pdf#page=3","Abrir facsímil")</f>
        <v>Abrir facsímil</v>
      </c>
      <c r="K2465" s="3" t="s">
        <v>57</v>
      </c>
    </row>
    <row r="2466" spans="1:11" ht="42" customHeight="1">
      <c r="A2466" s="2" t="s">
        <v>6744</v>
      </c>
      <c r="B2466" s="2" t="s">
        <v>6745</v>
      </c>
      <c r="C2466" s="2" t="s">
        <v>17</v>
      </c>
      <c r="D2466" s="2" t="s">
        <v>18</v>
      </c>
      <c r="E2466" s="3" t="s">
        <v>2249</v>
      </c>
      <c r="F2466" s="3" t="s">
        <v>2250</v>
      </c>
      <c r="G2466" s="3" t="s">
        <v>2251</v>
      </c>
      <c r="H2466" s="2" t="s">
        <v>55</v>
      </c>
      <c r="I2466" s="2" t="s">
        <v>6746</v>
      </c>
      <c r="J2466" s="3" t="str">
        <f>HYPERLINK("https://www.boe.es/gazeta/dias/1809/06/08/pdfs/GMD-1809-159.pdf#page=4","Abrir facsímil")</f>
        <v>Abrir facsímil</v>
      </c>
      <c r="K2466" s="3" t="s">
        <v>57</v>
      </c>
    </row>
    <row r="2467" spans="1:11" ht="42" customHeight="1">
      <c r="A2467" s="2" t="s">
        <v>6747</v>
      </c>
      <c r="B2467" s="2" t="s">
        <v>6748</v>
      </c>
      <c r="C2467" s="2" t="s">
        <v>25</v>
      </c>
      <c r="D2467" s="2" t="s">
        <v>26</v>
      </c>
      <c r="E2467" s="3" t="s">
        <v>258</v>
      </c>
      <c r="F2467" s="3" t="s">
        <v>910</v>
      </c>
      <c r="G2467" s="3" t="s">
        <v>1152</v>
      </c>
      <c r="H2467" s="2" t="s">
        <v>55</v>
      </c>
      <c r="I2467" s="2" t="s">
        <v>6749</v>
      </c>
      <c r="J2467" s="3" t="str">
        <f>HYPERLINK("https://www.boe.es/gazeta/dias/1809/03/17/pdfs/GGB-1809-12.pdf#page=11","Abrir facsímil")</f>
        <v>Abrir facsímil</v>
      </c>
      <c r="K2467" s="3" t="s">
        <v>57</v>
      </c>
    </row>
    <row r="2468" spans="1:11" ht="42" customHeight="1">
      <c r="A2468" s="2" t="s">
        <v>6750</v>
      </c>
      <c r="B2468" s="2" t="s">
        <v>6751</v>
      </c>
      <c r="C2468" s="2" t="s">
        <v>17</v>
      </c>
      <c r="D2468" s="2" t="s">
        <v>80</v>
      </c>
      <c r="E2468" s="3" t="s">
        <v>179</v>
      </c>
      <c r="F2468" s="3" t="s">
        <v>180</v>
      </c>
      <c r="G2468" s="3" t="s">
        <v>966</v>
      </c>
      <c r="H2468" s="2" t="s">
        <v>55</v>
      </c>
      <c r="I2468" s="2" t="s">
        <v>6752</v>
      </c>
      <c r="J2468" s="3" t="str">
        <f>HYPERLINK("https://www.boe.es/gazeta/dias/1809/12/08/pdfs/GGB-1809-552E.pdf#page=3","Abrir facsímil")</f>
        <v>Abrir facsímil</v>
      </c>
      <c r="K2468" s="3" t="s">
        <v>57</v>
      </c>
    </row>
    <row r="2469" spans="1:11" ht="42" customHeight="1">
      <c r="A2469" s="2" t="s">
        <v>6753</v>
      </c>
      <c r="B2469" s="2" t="s">
        <v>6754</v>
      </c>
      <c r="C2469" s="2" t="s">
        <v>25</v>
      </c>
      <c r="D2469" s="2" t="s">
        <v>26</v>
      </c>
      <c r="E2469" s="3" t="s">
        <v>108</v>
      </c>
      <c r="F2469" s="3" t="s">
        <v>109</v>
      </c>
      <c r="G2469" s="3" t="s">
        <v>110</v>
      </c>
      <c r="H2469" s="2" t="s">
        <v>55</v>
      </c>
      <c r="I2469" s="2" t="s">
        <v>6755</v>
      </c>
      <c r="J2469" s="3" t="str">
        <f>HYPERLINK("https://www.boe.es/gazeta/dias/1809/09/08/pdfs/GMD-1809-252.pdf#page=2","Abrir facsímil")</f>
        <v>Abrir facsímil</v>
      </c>
      <c r="K2469" s="3" t="s">
        <v>57</v>
      </c>
    </row>
    <row r="2470" spans="1:11" ht="42" customHeight="1">
      <c r="A2470" s="2" t="s">
        <v>6756</v>
      </c>
      <c r="B2470" s="2" t="s">
        <v>6757</v>
      </c>
      <c r="C2470" s="2" t="s">
        <v>47</v>
      </c>
      <c r="D2470" s="2" t="s">
        <v>18</v>
      </c>
      <c r="E2470" s="3" t="s">
        <v>508</v>
      </c>
      <c r="F2470" s="3" t="s">
        <v>509</v>
      </c>
      <c r="G2470" s="3" t="s">
        <v>316</v>
      </c>
      <c r="H2470" s="2" t="s">
        <v>55</v>
      </c>
      <c r="I2470" s="2" t="s">
        <v>6758</v>
      </c>
      <c r="J2470" s="3" t="str">
        <f>HYPERLINK("https://www.boe.es/gazeta/dias/1809/06/21/pdfs/GMD-1809-172.pdf#page=4","Abrir facsímil")</f>
        <v>Abrir facsímil</v>
      </c>
      <c r="K2470" s="3" t="s">
        <v>57</v>
      </c>
    </row>
    <row r="2471" spans="1:11" ht="42" customHeight="1">
      <c r="A2471" s="2" t="s">
        <v>6759</v>
      </c>
      <c r="B2471" s="2" t="s">
        <v>6760</v>
      </c>
      <c r="C2471" s="2" t="s">
        <v>79</v>
      </c>
      <c r="D2471" s="2" t="s">
        <v>18</v>
      </c>
      <c r="E2471" s="3" t="s">
        <v>102</v>
      </c>
      <c r="F2471" s="3" t="s">
        <v>103</v>
      </c>
      <c r="G2471" s="3" t="s">
        <v>104</v>
      </c>
      <c r="H2471" s="2" t="s">
        <v>55</v>
      </c>
      <c r="I2471" s="2" t="s">
        <v>6761</v>
      </c>
      <c r="J2471" s="3" t="str">
        <f>HYPERLINK("https://www.boe.es/gazeta/dias/1809/09/28/pdfs/GGB-1809-252.pdf#page=8","Abrir facsímil")</f>
        <v>Abrir facsímil</v>
      </c>
      <c r="K2471" s="3" t="s">
        <v>57</v>
      </c>
    </row>
    <row r="2472" spans="1:11" ht="42" customHeight="1">
      <c r="A2472" s="2" t="s">
        <v>6762</v>
      </c>
      <c r="B2472" s="2" t="s">
        <v>6762</v>
      </c>
      <c r="C2472" s="2" t="s">
        <v>25</v>
      </c>
      <c r="D2472" s="2" t="s">
        <v>26</v>
      </c>
      <c r="E2472" s="3" t="s">
        <v>616</v>
      </c>
      <c r="F2472" s="3" t="s">
        <v>617</v>
      </c>
      <c r="G2472" s="3" t="s">
        <v>75</v>
      </c>
      <c r="H2472" s="2" t="s">
        <v>55</v>
      </c>
      <c r="I2472" s="2" t="s">
        <v>6763</v>
      </c>
      <c r="J2472" s="3" t="str">
        <f>HYPERLINK("https://www.boe.es/gazeta/dias/1809/10/15/pdfs/GMD-1809-289.pdf#page=2","Abrir facsímil")</f>
        <v>Abrir facsímil</v>
      </c>
      <c r="K2472" s="3" t="s">
        <v>57</v>
      </c>
    </row>
    <row r="2473" spans="1:11" ht="42" customHeight="1">
      <c r="A2473" s="2" t="s">
        <v>6764</v>
      </c>
      <c r="B2473" s="2" t="s">
        <v>6765</v>
      </c>
      <c r="C2473" s="2" t="s">
        <v>288</v>
      </c>
      <c r="D2473" s="2" t="s">
        <v>18</v>
      </c>
      <c r="E2473" s="3" t="s">
        <v>1282</v>
      </c>
      <c r="F2473" s="3" t="s">
        <v>1283</v>
      </c>
      <c r="G2473" s="3" t="s">
        <v>4114</v>
      </c>
      <c r="H2473" s="2" t="s">
        <v>22</v>
      </c>
      <c r="I2473" s="2" t="s">
        <v>6766</v>
      </c>
      <c r="J2473" s="3" t="str">
        <f>HYPERLINK("https://www.boe.es/gazeta/dias/1809/06/26/pdfs/GGB-1809-40.pdf#page=12","Abrir facsímil")</f>
        <v>Abrir facsímil</v>
      </c>
      <c r="K2473" s="3" t="s">
        <v>24</v>
      </c>
    </row>
    <row r="2474" spans="1:11" ht="42" customHeight="1">
      <c r="A2474" s="2" t="s">
        <v>6767</v>
      </c>
      <c r="B2474" s="2" t="s">
        <v>6767</v>
      </c>
      <c r="C2474" s="2" t="s">
        <v>25</v>
      </c>
      <c r="D2474" s="2" t="s">
        <v>18</v>
      </c>
      <c r="E2474" s="3" t="s">
        <v>1891</v>
      </c>
      <c r="F2474" s="3" t="s">
        <v>6410</v>
      </c>
      <c r="G2474" s="3" t="s">
        <v>6015</v>
      </c>
      <c r="H2474" s="2" t="s">
        <v>55</v>
      </c>
      <c r="I2474" s="2" t="s">
        <v>6768</v>
      </c>
      <c r="J2474" s="3" t="str">
        <f>HYPERLINK("https://www.boe.es/gazeta/dias/1809/06/10/pdfs/GMD-1809-161.pdf#page=2","Abrir facsímil")</f>
        <v>Abrir facsímil</v>
      </c>
      <c r="K2474" s="3" t="s">
        <v>57</v>
      </c>
    </row>
    <row r="2475" spans="1:11" ht="42" customHeight="1">
      <c r="A2475" s="2" t="s">
        <v>6769</v>
      </c>
      <c r="B2475" s="2" t="s">
        <v>6769</v>
      </c>
      <c r="C2475" s="2" t="s">
        <v>25</v>
      </c>
      <c r="D2475" s="2" t="s">
        <v>26</v>
      </c>
      <c r="E2475" s="3" t="s">
        <v>449</v>
      </c>
      <c r="F2475" s="3" t="s">
        <v>450</v>
      </c>
      <c r="G2475" s="3" t="s">
        <v>6770</v>
      </c>
      <c r="H2475" s="2" t="s">
        <v>55</v>
      </c>
      <c r="I2475" s="2" t="s">
        <v>6771</v>
      </c>
      <c r="J2475" s="3" t="str">
        <f>HYPERLINK("https://www.boe.es/gazeta/dias/1809/10/10/pdfs/GGB-1809-302.pdf#page=5","Abrir facsímil")</f>
        <v>Abrir facsímil</v>
      </c>
      <c r="K2475" s="3" t="s">
        <v>57</v>
      </c>
    </row>
    <row r="2476" spans="1:11" ht="42" customHeight="1">
      <c r="A2476" s="2" t="s">
        <v>6769</v>
      </c>
      <c r="B2476" s="2" t="s">
        <v>6769</v>
      </c>
      <c r="C2476" s="2" t="s">
        <v>25</v>
      </c>
      <c r="D2476" s="2" t="s">
        <v>18</v>
      </c>
      <c r="E2476" s="3" t="s">
        <v>1117</v>
      </c>
      <c r="F2476" s="3" t="s">
        <v>6772</v>
      </c>
      <c r="G2476" s="3" t="s">
        <v>789</v>
      </c>
      <c r="H2476" s="2" t="s">
        <v>55</v>
      </c>
      <c r="I2476" s="2" t="s">
        <v>6773</v>
      </c>
      <c r="J2476" s="3" t="str">
        <f>HYPERLINK("https://www.boe.es/gazeta/dias/1809/11/04/pdfs/GMD-1809-309.pdf#page=3","Abrir facsímil")</f>
        <v>Abrir facsímil</v>
      </c>
      <c r="K2476" s="3" t="s">
        <v>57</v>
      </c>
    </row>
    <row r="2477" spans="1:11" ht="42" customHeight="1">
      <c r="A2477" s="2" t="s">
        <v>6774</v>
      </c>
      <c r="B2477" s="2" t="s">
        <v>6774</v>
      </c>
      <c r="C2477" s="2" t="s">
        <v>25</v>
      </c>
      <c r="D2477" s="2" t="s">
        <v>26</v>
      </c>
      <c r="E2477" s="3" t="s">
        <v>1856</v>
      </c>
      <c r="F2477" s="3" t="s">
        <v>1857</v>
      </c>
      <c r="G2477" s="3" t="s">
        <v>362</v>
      </c>
      <c r="H2477" s="2" t="s">
        <v>55</v>
      </c>
      <c r="I2477" s="2" t="s">
        <v>6775</v>
      </c>
      <c r="J2477" s="3" t="str">
        <f>HYPERLINK("https://www.boe.es/gazeta/dias/1809/07/12/pdfs/GMD-1809-193.pdf#page=1","Abrir facsímil")</f>
        <v>Abrir facsímil</v>
      </c>
      <c r="K2477" s="3" t="s">
        <v>57</v>
      </c>
    </row>
    <row r="2478" spans="1:11" ht="42" customHeight="1">
      <c r="A2478" s="2" t="s">
        <v>6776</v>
      </c>
      <c r="B2478" s="2" t="s">
        <v>6776</v>
      </c>
      <c r="C2478" s="2" t="s">
        <v>25</v>
      </c>
      <c r="D2478" s="2" t="s">
        <v>18</v>
      </c>
      <c r="E2478" s="3" t="s">
        <v>621</v>
      </c>
      <c r="F2478" s="3" t="s">
        <v>913</v>
      </c>
      <c r="G2478" s="3" t="s">
        <v>192</v>
      </c>
      <c r="H2478" s="2" t="s">
        <v>55</v>
      </c>
      <c r="I2478" s="2" t="s">
        <v>6777</v>
      </c>
      <c r="J2478" s="3" t="str">
        <f>HYPERLINK("https://www.boe.es/gazeta/dias/1809/07/04/pdfs/GMD-1809-185.pdf#page=3","Abrir facsímil")</f>
        <v>Abrir facsímil</v>
      </c>
      <c r="K2478" s="3" t="s">
        <v>57</v>
      </c>
    </row>
    <row r="2479" spans="1:11" ht="42" customHeight="1">
      <c r="A2479" s="2" t="s">
        <v>6778</v>
      </c>
      <c r="B2479" s="2" t="s">
        <v>6778</v>
      </c>
      <c r="C2479" s="2" t="s">
        <v>25</v>
      </c>
      <c r="D2479" s="2" t="s">
        <v>26</v>
      </c>
      <c r="E2479" s="3" t="s">
        <v>1213</v>
      </c>
      <c r="F2479" s="3" t="s">
        <v>1214</v>
      </c>
      <c r="G2479" s="3" t="s">
        <v>29</v>
      </c>
      <c r="H2479" s="2" t="s">
        <v>55</v>
      </c>
      <c r="I2479" s="2" t="s">
        <v>6779</v>
      </c>
      <c r="J2479" s="3" t="str">
        <f>HYPERLINK("https://www.boe.es/gazeta/dias/1809/12/20/pdfs/GMD-1809-355.pdf#page=3","Abrir facsímil")</f>
        <v>Abrir facsímil</v>
      </c>
      <c r="K2479" s="3" t="s">
        <v>57</v>
      </c>
    </row>
    <row r="2480" spans="1:11" ht="42" customHeight="1">
      <c r="A2480" s="2" t="s">
        <v>6780</v>
      </c>
      <c r="B2480" s="2" t="s">
        <v>6780</v>
      </c>
      <c r="C2480" s="2" t="s">
        <v>25</v>
      </c>
      <c r="D2480" s="2" t="s">
        <v>18</v>
      </c>
      <c r="E2480" s="3" t="s">
        <v>1206</v>
      </c>
      <c r="F2480" s="3" t="s">
        <v>6462</v>
      </c>
      <c r="G2480" s="3" t="s">
        <v>4391</v>
      </c>
      <c r="H2480" s="2" t="s">
        <v>55</v>
      </c>
      <c r="I2480" s="2" t="s">
        <v>6781</v>
      </c>
      <c r="J2480" s="3" t="str">
        <f>HYPERLINK("https://www.boe.es/gazeta/dias/1809/09/23/pdfs/GGB-1809-232.pdf#page=2","Abrir facsímil")</f>
        <v>Abrir facsímil</v>
      </c>
      <c r="K2480" s="3" t="s">
        <v>57</v>
      </c>
    </row>
    <row r="2481" spans="1:11" ht="42" customHeight="1">
      <c r="A2481" s="2" t="s">
        <v>6782</v>
      </c>
      <c r="B2481" s="2" t="s">
        <v>6782</v>
      </c>
      <c r="C2481" s="2" t="s">
        <v>25</v>
      </c>
      <c r="D2481" s="2" t="s">
        <v>26</v>
      </c>
      <c r="E2481" s="3" t="s">
        <v>2159</v>
      </c>
      <c r="F2481" s="3" t="s">
        <v>2160</v>
      </c>
      <c r="G2481" s="3" t="s">
        <v>21</v>
      </c>
      <c r="H2481" s="2" t="s">
        <v>55</v>
      </c>
      <c r="I2481" s="2" t="s">
        <v>6783</v>
      </c>
      <c r="J2481" s="3" t="str">
        <f>HYPERLINK("https://www.boe.es/gazeta/dias/1809/04/09/pdfs/GMD-1809-99.pdf#page=2","Abrir facsímil")</f>
        <v>Abrir facsímil</v>
      </c>
      <c r="K2481" s="3" t="s">
        <v>57</v>
      </c>
    </row>
    <row r="2482" spans="1:11" ht="42" customHeight="1">
      <c r="A2482" s="2" t="s">
        <v>6784</v>
      </c>
      <c r="B2482" s="2" t="s">
        <v>6784</v>
      </c>
      <c r="C2482" s="2" t="s">
        <v>25</v>
      </c>
      <c r="D2482" s="2" t="s">
        <v>18</v>
      </c>
      <c r="E2482" s="3" t="s">
        <v>381</v>
      </c>
      <c r="F2482" s="3" t="s">
        <v>382</v>
      </c>
      <c r="G2482" s="3" t="s">
        <v>62</v>
      </c>
      <c r="H2482" s="2" t="s">
        <v>55</v>
      </c>
      <c r="I2482" s="2" t="s">
        <v>6785</v>
      </c>
      <c r="J2482" s="3" t="str">
        <f>HYPERLINK("https://www.boe.es/gazeta/dias/1809/06/27/pdfs/GMD-1809-178.pdf#page=4","Abrir facsímil")</f>
        <v>Abrir facsímil</v>
      </c>
      <c r="K2482" s="3" t="s">
        <v>57</v>
      </c>
    </row>
    <row r="2483" spans="1:11" ht="42" customHeight="1">
      <c r="A2483" s="2" t="s">
        <v>6786</v>
      </c>
      <c r="B2483" s="2" t="s">
        <v>6786</v>
      </c>
      <c r="C2483" s="2" t="s">
        <v>25</v>
      </c>
      <c r="D2483" s="2" t="s">
        <v>26</v>
      </c>
      <c r="E2483" s="3" t="s">
        <v>102</v>
      </c>
      <c r="F2483" s="3" t="s">
        <v>103</v>
      </c>
      <c r="G2483" s="3" t="s">
        <v>5387</v>
      </c>
      <c r="H2483" s="2" t="s">
        <v>55</v>
      </c>
      <c r="I2483" s="2" t="s">
        <v>6787</v>
      </c>
      <c r="J2483" s="3" t="str">
        <f>HYPERLINK("https://www.boe.es/gazeta/dias/1809/09/28/pdfs/GGB-1809-252.pdf#page=3","Abrir facsímil")</f>
        <v>Abrir facsímil</v>
      </c>
      <c r="K2483" s="3" t="s">
        <v>57</v>
      </c>
    </row>
    <row r="2484" spans="1:11" ht="42" customHeight="1">
      <c r="A2484" s="2" t="s">
        <v>6788</v>
      </c>
      <c r="B2484" s="2" t="s">
        <v>6789</v>
      </c>
      <c r="C2484" s="2" t="s">
        <v>288</v>
      </c>
      <c r="D2484" s="2" t="s">
        <v>18</v>
      </c>
      <c r="E2484" s="3" t="s">
        <v>2602</v>
      </c>
      <c r="F2484" s="3" t="s">
        <v>2603</v>
      </c>
      <c r="G2484" s="3" t="s">
        <v>89</v>
      </c>
      <c r="H2484" s="2" t="s">
        <v>55</v>
      </c>
      <c r="I2484" s="2" t="s">
        <v>6790</v>
      </c>
      <c r="J2484" s="3" t="str">
        <f>HYPERLINK("https://www.boe.es/gazeta/dias/1809/11/15/pdfs/GMD-1809-320.pdf#page=4","Abrir facsímil")</f>
        <v>Abrir facsímil</v>
      </c>
      <c r="K2484" s="3" t="s">
        <v>57</v>
      </c>
    </row>
    <row r="2485" spans="1:11" ht="42" customHeight="1">
      <c r="A2485" s="2" t="s">
        <v>6791</v>
      </c>
      <c r="B2485" s="2" t="s">
        <v>6791</v>
      </c>
      <c r="C2485" s="2" t="s">
        <v>25</v>
      </c>
      <c r="D2485" s="2" t="s">
        <v>26</v>
      </c>
      <c r="E2485" s="3" t="s">
        <v>1126</v>
      </c>
      <c r="F2485" s="3" t="s">
        <v>1444</v>
      </c>
      <c r="G2485" s="3" t="s">
        <v>1152</v>
      </c>
      <c r="H2485" s="2" t="s">
        <v>55</v>
      </c>
      <c r="I2485" s="2" t="s">
        <v>6792</v>
      </c>
      <c r="J2485" s="3" t="str">
        <f>HYPERLINK("https://www.boe.es/gazeta/dias/1809/06/30/pdfs/GGB-1809-41.pdf#page=5","Abrir facsímil")</f>
        <v>Abrir facsímil</v>
      </c>
      <c r="K2485" s="3" t="s">
        <v>57</v>
      </c>
    </row>
    <row r="2486" spans="1:11" ht="42" customHeight="1">
      <c r="A2486" s="2" t="s">
        <v>6793</v>
      </c>
      <c r="B2486" s="2" t="s">
        <v>6794</v>
      </c>
      <c r="C2486" s="2" t="s">
        <v>47</v>
      </c>
      <c r="D2486" s="2" t="s">
        <v>18</v>
      </c>
      <c r="E2486" s="3" t="s">
        <v>4198</v>
      </c>
      <c r="F2486" s="3" t="s">
        <v>4199</v>
      </c>
      <c r="G2486" s="3" t="s">
        <v>6795</v>
      </c>
      <c r="H2486" s="2" t="s">
        <v>55</v>
      </c>
      <c r="I2486" s="2" t="s">
        <v>6796</v>
      </c>
      <c r="J2486" s="3" t="str">
        <f>HYPERLINK("https://www.boe.es/gazeta/dias/1809/11/20/pdfs/GMD-1809-325.pdf#page=4","Abrir facsímil")</f>
        <v>Abrir facsímil</v>
      </c>
      <c r="K2486" s="3" t="s">
        <v>57</v>
      </c>
    </row>
    <row r="2487" spans="1:11" ht="42" customHeight="1">
      <c r="A2487" s="2" t="s">
        <v>6797</v>
      </c>
      <c r="B2487" s="2" t="s">
        <v>6798</v>
      </c>
      <c r="C2487" s="2" t="s">
        <v>25</v>
      </c>
      <c r="D2487" s="2" t="s">
        <v>107</v>
      </c>
      <c r="E2487" s="3" t="s">
        <v>1126</v>
      </c>
      <c r="F2487" s="3" t="s">
        <v>1444</v>
      </c>
      <c r="G2487" s="3" t="s">
        <v>110</v>
      </c>
      <c r="H2487" s="2" t="s">
        <v>22</v>
      </c>
      <c r="I2487" s="2" t="s">
        <v>6799</v>
      </c>
      <c r="J2487" s="3" t="str">
        <f>HYPERLINK("https://www.boe.es/gazeta/dias/1809/06/30/pdfs/GGB-1809-41.pdf#page=8","Abrir facsímil")</f>
        <v>Abrir facsímil</v>
      </c>
      <c r="K2487" s="3" t="s">
        <v>24</v>
      </c>
    </row>
    <row r="2488" spans="1:11" ht="42" customHeight="1">
      <c r="A2488" s="2" t="s">
        <v>6800</v>
      </c>
      <c r="B2488" s="2" t="s">
        <v>6800</v>
      </c>
      <c r="C2488" s="2" t="s">
        <v>17</v>
      </c>
      <c r="D2488" s="2" t="s">
        <v>18</v>
      </c>
      <c r="E2488" s="3" t="s">
        <v>102</v>
      </c>
      <c r="F2488" s="3" t="s">
        <v>1095</v>
      </c>
      <c r="G2488" s="3" t="s">
        <v>29</v>
      </c>
      <c r="H2488" s="2" t="s">
        <v>55</v>
      </c>
      <c r="I2488" s="2" t="s">
        <v>6801</v>
      </c>
      <c r="J2488" s="3" t="str">
        <f>HYPERLINK("https://www.boe.es/gazeta/dias/1809/09/28/pdfs/GMD-1809-272.pdf#page=3","Abrir facsímil")</f>
        <v>Abrir facsímil</v>
      </c>
      <c r="K2488" s="3" t="s">
        <v>57</v>
      </c>
    </row>
    <row r="2489" spans="1:11" ht="42" customHeight="1">
      <c r="A2489" s="2" t="s">
        <v>6802</v>
      </c>
      <c r="B2489" s="2" t="s">
        <v>6803</v>
      </c>
      <c r="C2489" s="2" t="s">
        <v>25</v>
      </c>
      <c r="D2489" s="2" t="s">
        <v>26</v>
      </c>
      <c r="E2489" s="3" t="s">
        <v>163</v>
      </c>
      <c r="F2489" s="3" t="s">
        <v>164</v>
      </c>
      <c r="G2489" s="3" t="s">
        <v>21</v>
      </c>
      <c r="H2489" s="2" t="s">
        <v>55</v>
      </c>
      <c r="I2489" s="2" t="s">
        <v>6804</v>
      </c>
      <c r="J2489" s="3" t="str">
        <f>HYPERLINK("https://www.boe.es/gazeta/dias/1809/03/10/pdfs/GGB-H-1809-11.pdf#page=8","Abrir facsímil")</f>
        <v>Abrir facsímil</v>
      </c>
      <c r="K2489" s="3" t="s">
        <v>57</v>
      </c>
    </row>
    <row r="2490" spans="1:11" ht="42" customHeight="1">
      <c r="A2490" s="2" t="s">
        <v>6805</v>
      </c>
      <c r="B2490" s="2" t="s">
        <v>6805</v>
      </c>
      <c r="C2490" s="2" t="s">
        <v>25</v>
      </c>
      <c r="D2490" s="2" t="s">
        <v>26</v>
      </c>
      <c r="E2490" s="3" t="s">
        <v>2818</v>
      </c>
      <c r="F2490" s="3" t="s">
        <v>4265</v>
      </c>
      <c r="G2490" s="3" t="s">
        <v>225</v>
      </c>
      <c r="H2490" s="2" t="s">
        <v>55</v>
      </c>
      <c r="I2490" s="2" t="s">
        <v>6806</v>
      </c>
      <c r="J2490" s="3" t="str">
        <f>HYPERLINK("https://www.boe.es/gazeta/dias/1809/02/03/pdfs/GGB-G-1809-6.pdf#page=4","Abrir facsímil")</f>
        <v>Abrir facsímil</v>
      </c>
      <c r="K2490" s="3" t="s">
        <v>57</v>
      </c>
    </row>
    <row r="2491" spans="1:11" ht="42" customHeight="1">
      <c r="A2491" s="2" t="s">
        <v>6805</v>
      </c>
      <c r="B2491" s="2" t="s">
        <v>6805</v>
      </c>
      <c r="C2491" s="2" t="s">
        <v>25</v>
      </c>
      <c r="D2491" s="2" t="s">
        <v>26</v>
      </c>
      <c r="E2491" s="3" t="s">
        <v>3880</v>
      </c>
      <c r="F2491" s="3" t="s">
        <v>3881</v>
      </c>
      <c r="G2491" s="3" t="s">
        <v>75</v>
      </c>
      <c r="H2491" s="2" t="s">
        <v>55</v>
      </c>
      <c r="I2491" s="2" t="s">
        <v>6807</v>
      </c>
      <c r="J2491" s="3" t="str">
        <f>HYPERLINK("https://www.boe.es/gazeta/dias/1809/03/25/pdfs/GGB-1809-13E.pdf#page=6","Abrir facsímil")</f>
        <v>Abrir facsímil</v>
      </c>
      <c r="K2491" s="3" t="s">
        <v>57</v>
      </c>
    </row>
    <row r="2492" spans="1:11" ht="42" customHeight="1">
      <c r="A2492" s="2" t="s">
        <v>6808</v>
      </c>
      <c r="B2492" s="2" t="s">
        <v>6808</v>
      </c>
      <c r="C2492" s="2" t="s">
        <v>25</v>
      </c>
      <c r="D2492" s="2" t="s">
        <v>26</v>
      </c>
      <c r="E2492" s="3" t="s">
        <v>883</v>
      </c>
      <c r="F2492" s="3" t="s">
        <v>884</v>
      </c>
      <c r="G2492" s="3" t="s">
        <v>21</v>
      </c>
      <c r="H2492" s="2" t="s">
        <v>55</v>
      </c>
      <c r="I2492" s="2" t="s">
        <v>6809</v>
      </c>
      <c r="J2492" s="3" t="str">
        <f>HYPERLINK("https://www.boe.es/gazeta/dias/1809/12/21/pdfs/GMD-1809-356.pdf#page=3","Abrir facsímil")</f>
        <v>Abrir facsímil</v>
      </c>
      <c r="K2492" s="3" t="s">
        <v>57</v>
      </c>
    </row>
    <row r="2493" spans="1:11" ht="42" customHeight="1">
      <c r="A2493" s="2" t="s">
        <v>6808</v>
      </c>
      <c r="B2493" s="2" t="s">
        <v>6808</v>
      </c>
      <c r="C2493" s="2" t="s">
        <v>25</v>
      </c>
      <c r="D2493" s="2" t="s">
        <v>18</v>
      </c>
      <c r="E2493" s="3" t="s">
        <v>883</v>
      </c>
      <c r="F2493" s="3" t="s">
        <v>884</v>
      </c>
      <c r="G2493" s="3" t="s">
        <v>316</v>
      </c>
      <c r="H2493" s="2" t="s">
        <v>55</v>
      </c>
      <c r="I2493" s="2" t="s">
        <v>6810</v>
      </c>
      <c r="J2493" s="3" t="str">
        <f>HYPERLINK("https://www.boe.es/gazeta/dias/1809/12/21/pdfs/GMD-1809-356.pdf#page=4","Abrir facsímil")</f>
        <v>Abrir facsímil</v>
      </c>
      <c r="K2493" s="3" t="s">
        <v>57</v>
      </c>
    </row>
    <row r="2494" spans="1:11" ht="42" customHeight="1">
      <c r="A2494" s="2" t="s">
        <v>6811</v>
      </c>
      <c r="B2494" s="2" t="s">
        <v>6811</v>
      </c>
      <c r="C2494" s="2" t="s">
        <v>17</v>
      </c>
      <c r="D2494" s="2" t="s">
        <v>18</v>
      </c>
      <c r="E2494" s="3" t="s">
        <v>6812</v>
      </c>
      <c r="F2494" s="3" t="s">
        <v>6813</v>
      </c>
      <c r="G2494" s="3" t="s">
        <v>6383</v>
      </c>
      <c r="H2494" s="2" t="s">
        <v>55</v>
      </c>
      <c r="I2494" s="2" t="s">
        <v>6814</v>
      </c>
      <c r="J2494" s="3" t="str">
        <f>HYPERLINK("https://www.boe.es/gazeta/dias/1809/02/01/pdfs/GMD-1809-32.pdf#page=1","Abrir facsímil")</f>
        <v>Abrir facsímil</v>
      </c>
      <c r="K2494" s="3" t="s">
        <v>57</v>
      </c>
    </row>
    <row r="2495" spans="1:11" ht="42" customHeight="1">
      <c r="A2495" s="2" t="s">
        <v>6811</v>
      </c>
      <c r="B2495" s="2" t="s">
        <v>6811</v>
      </c>
      <c r="C2495" s="2" t="s">
        <v>17</v>
      </c>
      <c r="D2495" s="2" t="s">
        <v>18</v>
      </c>
      <c r="E2495" s="3" t="s">
        <v>508</v>
      </c>
      <c r="F2495" s="3" t="s">
        <v>509</v>
      </c>
      <c r="G2495" s="3" t="s">
        <v>316</v>
      </c>
      <c r="H2495" s="2" t="s">
        <v>55</v>
      </c>
      <c r="I2495" s="2" t="s">
        <v>6815</v>
      </c>
      <c r="J2495" s="3" t="str">
        <f>HYPERLINK("https://www.boe.es/gazeta/dias/1809/06/21/pdfs/GMD-1809-172.pdf#page=4","Abrir facsímil")</f>
        <v>Abrir facsímil</v>
      </c>
      <c r="K2495" s="3" t="s">
        <v>57</v>
      </c>
    </row>
    <row r="2496" spans="1:11" ht="42" customHeight="1">
      <c r="A2496" s="2" t="s">
        <v>6811</v>
      </c>
      <c r="B2496" s="2" t="s">
        <v>6811</v>
      </c>
      <c r="C2496" s="2" t="s">
        <v>17</v>
      </c>
      <c r="D2496" s="2" t="s">
        <v>18</v>
      </c>
      <c r="E2496" s="3" t="s">
        <v>503</v>
      </c>
      <c r="F2496" s="3" t="s">
        <v>504</v>
      </c>
      <c r="G2496" s="3" t="s">
        <v>62</v>
      </c>
      <c r="H2496" s="2" t="s">
        <v>55</v>
      </c>
      <c r="I2496" s="2" t="s">
        <v>6816</v>
      </c>
      <c r="J2496" s="3" t="str">
        <f>HYPERLINK("https://www.boe.es/gazeta/dias/1809/09/01/pdfs/GMD-1809-245.pdf#page=4","Abrir facsímil")</f>
        <v>Abrir facsímil</v>
      </c>
      <c r="K2496" s="3" t="s">
        <v>57</v>
      </c>
    </row>
    <row r="2497" spans="1:11" ht="42" customHeight="1">
      <c r="A2497" s="2" t="s">
        <v>6811</v>
      </c>
      <c r="B2497" s="2" t="s">
        <v>6811</v>
      </c>
      <c r="C2497" s="2" t="s">
        <v>25</v>
      </c>
      <c r="D2497" s="2" t="s">
        <v>18</v>
      </c>
      <c r="E2497" s="3" t="s">
        <v>6817</v>
      </c>
      <c r="F2497" s="3" t="s">
        <v>6818</v>
      </c>
      <c r="G2497" s="3" t="s">
        <v>6819</v>
      </c>
      <c r="H2497" s="2" t="s">
        <v>55</v>
      </c>
      <c r="I2497" s="2" t="s">
        <v>6820</v>
      </c>
      <c r="J2497" s="3" t="str">
        <f>HYPERLINK("https://www.boe.es/gazeta/dias/1809/10/26/pdfs/GMD-1809-300.pdf#page=1","Abrir facsímil")</f>
        <v>Abrir facsímil</v>
      </c>
      <c r="K2497" s="3" t="s">
        <v>57</v>
      </c>
    </row>
    <row r="2498" spans="1:11" ht="42" customHeight="1">
      <c r="A2498" s="2" t="s">
        <v>6811</v>
      </c>
      <c r="B2498" s="2" t="s">
        <v>6811</v>
      </c>
      <c r="C2498" s="2" t="s">
        <v>25</v>
      </c>
      <c r="D2498" s="2" t="s">
        <v>26</v>
      </c>
      <c r="E2498" s="3" t="s">
        <v>933</v>
      </c>
      <c r="F2498" s="3" t="s">
        <v>6821</v>
      </c>
      <c r="G2498" s="3" t="s">
        <v>6822</v>
      </c>
      <c r="H2498" s="2" t="s">
        <v>55</v>
      </c>
      <c r="I2498" s="2" t="s">
        <v>6823</v>
      </c>
      <c r="J2498" s="3" t="str">
        <f>HYPERLINK("https://www.boe.es/gazeta/dias/1809/10/28/pdfs/GGB-1809-382E.pdf#page=1","Abrir facsímil")</f>
        <v>Abrir facsímil</v>
      </c>
      <c r="K2498" s="3" t="s">
        <v>57</v>
      </c>
    </row>
    <row r="2499" spans="1:11" ht="42" customHeight="1">
      <c r="A2499" s="2" t="s">
        <v>6824</v>
      </c>
      <c r="B2499" s="2" t="s">
        <v>6825</v>
      </c>
      <c r="C2499" s="2" t="s">
        <v>17</v>
      </c>
      <c r="D2499" s="2" t="s">
        <v>72</v>
      </c>
      <c r="E2499" s="3" t="s">
        <v>163</v>
      </c>
      <c r="F2499" s="3" t="s">
        <v>164</v>
      </c>
      <c r="G2499" s="3" t="s">
        <v>21</v>
      </c>
      <c r="H2499" s="2" t="s">
        <v>55</v>
      </c>
      <c r="I2499" s="2" t="s">
        <v>6826</v>
      </c>
      <c r="J2499" s="3" t="str">
        <f>HYPERLINK("https://www.boe.es/gazeta/dias/1809/03/10/pdfs/GGB-H-1809-11.pdf#page=8","Abrir facsímil")</f>
        <v>Abrir facsímil</v>
      </c>
      <c r="K2499" s="3" t="s">
        <v>57</v>
      </c>
    </row>
    <row r="2500" spans="1:11" ht="42" customHeight="1">
      <c r="A2500" s="2" t="s">
        <v>6827</v>
      </c>
      <c r="B2500" s="2" t="s">
        <v>6828</v>
      </c>
      <c r="C2500" s="2" t="s">
        <v>17</v>
      </c>
      <c r="D2500" s="2" t="s">
        <v>18</v>
      </c>
      <c r="E2500" s="3" t="s">
        <v>442</v>
      </c>
      <c r="F2500" s="3" t="s">
        <v>2171</v>
      </c>
      <c r="G2500" s="3" t="s">
        <v>2172</v>
      </c>
      <c r="H2500" s="2" t="s">
        <v>55</v>
      </c>
      <c r="I2500" s="2" t="s">
        <v>6829</v>
      </c>
      <c r="J2500" s="3" t="str">
        <f>HYPERLINK("https://www.boe.es/gazeta/dias/1809/09/05/pdfs/GMD-1809-249.pdf#page=4","Abrir facsímil")</f>
        <v>Abrir facsímil</v>
      </c>
      <c r="K2500" s="3" t="s">
        <v>57</v>
      </c>
    </row>
    <row r="2501" spans="1:11" ht="42" customHeight="1">
      <c r="A2501" s="2" t="s">
        <v>6830</v>
      </c>
      <c r="B2501" s="2" t="s">
        <v>6831</v>
      </c>
      <c r="C2501" s="2" t="s">
        <v>79</v>
      </c>
      <c r="D2501" s="2" t="s">
        <v>18</v>
      </c>
      <c r="E2501" s="3" t="s">
        <v>2473</v>
      </c>
      <c r="F2501" s="3" t="s">
        <v>2474</v>
      </c>
      <c r="G2501" s="3" t="s">
        <v>29</v>
      </c>
      <c r="H2501" s="2" t="s">
        <v>55</v>
      </c>
      <c r="I2501" s="2" t="s">
        <v>6832</v>
      </c>
      <c r="J2501" s="3" t="str">
        <f>HYPERLINK("https://www.boe.es/gazeta/dias/1809/02/16/pdfs/GMD-1809-47.pdf#page=3","Abrir facsímil")</f>
        <v>Abrir facsímil</v>
      </c>
      <c r="K2501" s="3" t="s">
        <v>57</v>
      </c>
    </row>
    <row r="2502" spans="1:11" ht="42" customHeight="1">
      <c r="A2502" s="2" t="s">
        <v>6833</v>
      </c>
      <c r="B2502" s="2" t="s">
        <v>6834</v>
      </c>
      <c r="C2502" s="2" t="s">
        <v>17</v>
      </c>
      <c r="D2502" s="2" t="s">
        <v>18</v>
      </c>
      <c r="E2502" s="3" t="s">
        <v>33</v>
      </c>
      <c r="F2502" s="3" t="s">
        <v>34</v>
      </c>
      <c r="G2502" s="3" t="s">
        <v>595</v>
      </c>
      <c r="H2502" s="2" t="s">
        <v>55</v>
      </c>
      <c r="I2502" s="2" t="s">
        <v>6835</v>
      </c>
      <c r="J2502" s="3" t="str">
        <f>HYPERLINK("https://www.boe.es/gazeta/dias/1809/12/19/pdfs/GGB-1809-602.pdf#page=7","Abrir facsímil")</f>
        <v>Abrir facsímil</v>
      </c>
      <c r="K2502" s="3" t="s">
        <v>57</v>
      </c>
    </row>
    <row r="2503" spans="1:11" ht="42" customHeight="1">
      <c r="A2503" s="2" t="s">
        <v>6836</v>
      </c>
      <c r="B2503" s="2" t="s">
        <v>6837</v>
      </c>
      <c r="C2503" s="2" t="s">
        <v>39</v>
      </c>
      <c r="D2503" s="2" t="s">
        <v>18</v>
      </c>
      <c r="E2503" s="3" t="s">
        <v>33</v>
      </c>
      <c r="F2503" s="3" t="s">
        <v>34</v>
      </c>
      <c r="G2503" s="3" t="s">
        <v>6838</v>
      </c>
      <c r="H2503" s="2" t="s">
        <v>55</v>
      </c>
      <c r="I2503" s="2" t="s">
        <v>6839</v>
      </c>
      <c r="J2503" s="3" t="str">
        <f>HYPERLINK("https://www.boe.es/gazeta/dias/1809/12/19/pdfs/GGB-1809-602.pdf#page=4","Abrir facsímil")</f>
        <v>Abrir facsímil</v>
      </c>
      <c r="K2503" s="3" t="s">
        <v>57</v>
      </c>
    </row>
    <row r="2504" spans="1:11" ht="42" customHeight="1">
      <c r="A2504" s="2" t="s">
        <v>6840</v>
      </c>
      <c r="B2504" s="2" t="s">
        <v>6841</v>
      </c>
      <c r="C2504" s="2" t="s">
        <v>25</v>
      </c>
      <c r="D2504" s="2" t="s">
        <v>18</v>
      </c>
      <c r="E2504" s="3" t="s">
        <v>390</v>
      </c>
      <c r="F2504" s="3" t="s">
        <v>391</v>
      </c>
      <c r="G2504" s="3" t="s">
        <v>3729</v>
      </c>
      <c r="H2504" s="2" t="s">
        <v>55</v>
      </c>
      <c r="I2504" s="2" t="s">
        <v>6842</v>
      </c>
      <c r="J2504" s="3" t="str">
        <f>HYPERLINK("https://www.boe.es/gazeta/dias/1809/10/19/pdfs/GGB-1809-342.pdf#page=7","Abrir facsímil")</f>
        <v>Abrir facsímil</v>
      </c>
      <c r="K2504" s="3" t="s">
        <v>57</v>
      </c>
    </row>
    <row r="2505" spans="1:11" ht="42" customHeight="1">
      <c r="A2505" s="2" t="s">
        <v>6843</v>
      </c>
      <c r="B2505" s="2" t="s">
        <v>6844</v>
      </c>
      <c r="C2505" s="2" t="s">
        <v>288</v>
      </c>
      <c r="D2505" s="2" t="s">
        <v>40</v>
      </c>
      <c r="E2505" s="3" t="s">
        <v>2346</v>
      </c>
      <c r="F2505" s="3" t="s">
        <v>2347</v>
      </c>
      <c r="G2505" s="3" t="s">
        <v>29</v>
      </c>
      <c r="H2505" s="2" t="s">
        <v>55</v>
      </c>
      <c r="I2505" s="2" t="s">
        <v>6845</v>
      </c>
      <c r="J2505" s="3" t="str">
        <f>HYPERLINK("https://www.boe.es/gazeta/dias/1809/05/02/pdfs/GMD-1809-122.pdf#page=3","Abrir facsímil")</f>
        <v>Abrir facsímil</v>
      </c>
      <c r="K2505" s="3" t="s">
        <v>57</v>
      </c>
    </row>
    <row r="2506" spans="1:11" ht="42" customHeight="1">
      <c r="A2506" s="2" t="s">
        <v>6846</v>
      </c>
      <c r="B2506" s="2" t="s">
        <v>6847</v>
      </c>
      <c r="C2506" s="2" t="s">
        <v>17</v>
      </c>
      <c r="D2506" s="2" t="s">
        <v>18</v>
      </c>
      <c r="E2506" s="3" t="s">
        <v>370</v>
      </c>
      <c r="F2506" s="3" t="s">
        <v>371</v>
      </c>
      <c r="G2506" s="3" t="s">
        <v>239</v>
      </c>
      <c r="H2506" s="2" t="s">
        <v>55</v>
      </c>
      <c r="I2506" s="2" t="s">
        <v>6848</v>
      </c>
      <c r="J2506" s="3" t="str">
        <f>HYPERLINK("https://www.boe.es/gazeta/dias/1809/08/20/pdfs/GMD-1809-233.pdf#page=3","Abrir facsímil")</f>
        <v>Abrir facsímil</v>
      </c>
      <c r="K2506" s="3" t="s">
        <v>57</v>
      </c>
    </row>
    <row r="2507" spans="1:11" ht="42" customHeight="1">
      <c r="A2507" s="2" t="s">
        <v>6849</v>
      </c>
      <c r="B2507" s="2" t="s">
        <v>6849</v>
      </c>
      <c r="C2507" s="2" t="s">
        <v>17</v>
      </c>
      <c r="D2507" s="2" t="s">
        <v>107</v>
      </c>
      <c r="E2507" s="3" t="s">
        <v>48</v>
      </c>
      <c r="F2507" s="3" t="s">
        <v>49</v>
      </c>
      <c r="G2507" s="3" t="s">
        <v>75</v>
      </c>
      <c r="H2507" s="2" t="s">
        <v>55</v>
      </c>
      <c r="I2507" s="2" t="s">
        <v>6850</v>
      </c>
      <c r="J2507" s="3" t="str">
        <f>HYPERLINK("https://www.boe.es/gazeta/dias/1809/10/03/pdfs/GMD-1809-277.pdf#page=2","Abrir facsímil")</f>
        <v>Abrir facsímil</v>
      </c>
      <c r="K2507" s="3" t="s">
        <v>57</v>
      </c>
    </row>
    <row r="2508" spans="1:11" ht="42" customHeight="1">
      <c r="A2508" s="2" t="s">
        <v>6851</v>
      </c>
      <c r="B2508" s="2" t="s">
        <v>6852</v>
      </c>
      <c r="C2508" s="2" t="s">
        <v>17</v>
      </c>
      <c r="D2508" s="2" t="s">
        <v>18</v>
      </c>
      <c r="E2508" s="3" t="s">
        <v>864</v>
      </c>
      <c r="F2508" s="3" t="s">
        <v>865</v>
      </c>
      <c r="G2508" s="3" t="s">
        <v>225</v>
      </c>
      <c r="H2508" s="2" t="s">
        <v>55</v>
      </c>
      <c r="I2508" s="2" t="s">
        <v>6853</v>
      </c>
      <c r="J2508" s="3" t="str">
        <f>HYPERLINK("https://www.boe.es/gazeta/dias/1809/08/31/pdfs/GMD-1809-244.pdf#page=4","Abrir facsímil")</f>
        <v>Abrir facsímil</v>
      </c>
      <c r="K2508" s="3" t="s">
        <v>57</v>
      </c>
    </row>
    <row r="2509" spans="1:11" ht="42" customHeight="1">
      <c r="A2509" s="2" t="s">
        <v>6854</v>
      </c>
      <c r="B2509" s="2" t="s">
        <v>6855</v>
      </c>
      <c r="C2509" s="2" t="s">
        <v>17</v>
      </c>
      <c r="D2509" s="2" t="s">
        <v>80</v>
      </c>
      <c r="E2509" s="3" t="s">
        <v>179</v>
      </c>
      <c r="F2509" s="3" t="s">
        <v>180</v>
      </c>
      <c r="G2509" s="3" t="s">
        <v>239</v>
      </c>
      <c r="H2509" s="2" t="s">
        <v>55</v>
      </c>
      <c r="I2509" s="2" t="s">
        <v>6856</v>
      </c>
      <c r="J2509" s="3" t="str">
        <f>HYPERLINK("https://www.boe.es/gazeta/dias/1809/12/08/pdfs/GGB-1809-552E.pdf#page=2","Abrir facsímil")</f>
        <v>Abrir facsímil</v>
      </c>
      <c r="K2509" s="3" t="s">
        <v>57</v>
      </c>
    </row>
    <row r="2510" spans="1:11" ht="42" customHeight="1">
      <c r="A2510" s="2" t="s">
        <v>6857</v>
      </c>
      <c r="B2510" s="2" t="s">
        <v>6858</v>
      </c>
      <c r="C2510" s="2" t="s">
        <v>25</v>
      </c>
      <c r="D2510" s="2" t="s">
        <v>26</v>
      </c>
      <c r="E2510" s="3" t="s">
        <v>243</v>
      </c>
      <c r="F2510" s="3" t="s">
        <v>735</v>
      </c>
      <c r="G2510" s="3" t="s">
        <v>736</v>
      </c>
      <c r="H2510" s="2" t="s">
        <v>55</v>
      </c>
      <c r="I2510" s="2" t="s">
        <v>6859</v>
      </c>
      <c r="J2510" s="3" t="str">
        <f>HYPERLINK("https://www.boe.es/gazeta/dias/1809/02/17/pdfs/GGB-1809-8.pdf#page=8","Abrir facsímil")</f>
        <v>Abrir facsímil</v>
      </c>
      <c r="K2510" s="3" t="s">
        <v>57</v>
      </c>
    </row>
    <row r="2511" spans="1:11" ht="42" customHeight="1">
      <c r="A2511" s="2" t="s">
        <v>6860</v>
      </c>
      <c r="B2511" s="2" t="s">
        <v>6861</v>
      </c>
      <c r="C2511" s="2" t="s">
        <v>17</v>
      </c>
      <c r="D2511" s="2" t="s">
        <v>18</v>
      </c>
      <c r="E2511" s="3" t="s">
        <v>196</v>
      </c>
      <c r="F2511" s="3" t="s">
        <v>197</v>
      </c>
      <c r="G2511" s="3" t="s">
        <v>198</v>
      </c>
      <c r="H2511" s="2" t="s">
        <v>55</v>
      </c>
      <c r="I2511" s="2" t="s">
        <v>6862</v>
      </c>
      <c r="J2511" s="3" t="str">
        <f>HYPERLINK("https://www.boe.es/gazeta/dias/1809/09/04/pdfs/GMD-1809-248.pdf#page=3","Abrir facsímil")</f>
        <v>Abrir facsímil</v>
      </c>
      <c r="K2511" s="3" t="s">
        <v>57</v>
      </c>
    </row>
    <row r="2512" spans="1:11" ht="42" customHeight="1">
      <c r="A2512" s="2" t="s">
        <v>6863</v>
      </c>
      <c r="B2512" s="2" t="s">
        <v>6864</v>
      </c>
      <c r="C2512" s="2" t="s">
        <v>39</v>
      </c>
      <c r="D2512" s="2" t="s">
        <v>80</v>
      </c>
      <c r="E2512" s="3" t="s">
        <v>1891</v>
      </c>
      <c r="F2512" s="3" t="s">
        <v>1892</v>
      </c>
      <c r="G2512" s="3" t="s">
        <v>623</v>
      </c>
      <c r="H2512" s="2" t="s">
        <v>55</v>
      </c>
      <c r="I2512" s="2" t="s">
        <v>6865</v>
      </c>
      <c r="J2512" s="3" t="str">
        <f>HYPERLINK("https://www.boe.es/gazeta/dias/1809/06/10/pdfs/GGB-1809-35E.pdf#page=6","Abrir facsímil")</f>
        <v>Abrir facsímil</v>
      </c>
      <c r="K2512" s="3" t="s">
        <v>57</v>
      </c>
    </row>
    <row r="2513" spans="1:11" ht="42" customHeight="1">
      <c r="A2513" s="2" t="s">
        <v>6866</v>
      </c>
      <c r="B2513" s="2" t="s">
        <v>6867</v>
      </c>
      <c r="C2513" s="2" t="s">
        <v>369</v>
      </c>
      <c r="D2513" s="2" t="s">
        <v>18</v>
      </c>
      <c r="E2513" s="3" t="s">
        <v>3167</v>
      </c>
      <c r="F2513" s="3" t="s">
        <v>5463</v>
      </c>
      <c r="G2513" s="3" t="s">
        <v>316</v>
      </c>
      <c r="H2513" s="2" t="s">
        <v>55</v>
      </c>
      <c r="I2513" s="2" t="s">
        <v>6868</v>
      </c>
      <c r="J2513" s="3" t="str">
        <f>HYPERLINK("https://www.boe.es/gazeta/dias/1809/04/07/pdfs/GMD-1809-97.pdf#page=3","Abrir facsímil")</f>
        <v>Abrir facsímil</v>
      </c>
      <c r="K2513" s="3" t="s">
        <v>57</v>
      </c>
    </row>
    <row r="2514" spans="1:11" ht="42" customHeight="1">
      <c r="A2514" s="2" t="s">
        <v>6869</v>
      </c>
      <c r="B2514" s="2" t="s">
        <v>6870</v>
      </c>
      <c r="C2514" s="2" t="s">
        <v>25</v>
      </c>
      <c r="D2514" s="2" t="s">
        <v>26</v>
      </c>
      <c r="E2514" s="3" t="s">
        <v>143</v>
      </c>
      <c r="F2514" s="3" t="s">
        <v>705</v>
      </c>
      <c r="G2514" s="3" t="s">
        <v>3010</v>
      </c>
      <c r="H2514" s="2" t="s">
        <v>55</v>
      </c>
      <c r="I2514" s="2" t="s">
        <v>6871</v>
      </c>
      <c r="J2514" s="3" t="str">
        <f>HYPERLINK("https://www.boe.es/gazeta/dias/1809/11/16/pdfs/GGB-H-1809-462.pdf#page=5","Abrir facsímil")</f>
        <v>Abrir facsímil</v>
      </c>
      <c r="K2514" s="3" t="s">
        <v>57</v>
      </c>
    </row>
    <row r="2515" spans="1:11" ht="42" customHeight="1">
      <c r="A2515" s="2" t="s">
        <v>6872</v>
      </c>
      <c r="B2515" s="2" t="s">
        <v>6872</v>
      </c>
      <c r="C2515" s="2" t="s">
        <v>47</v>
      </c>
      <c r="D2515" s="2" t="s">
        <v>18</v>
      </c>
      <c r="E2515" s="3" t="s">
        <v>1460</v>
      </c>
      <c r="F2515" s="3" t="s">
        <v>1461</v>
      </c>
      <c r="G2515" s="3" t="s">
        <v>75</v>
      </c>
      <c r="H2515" s="2" t="s">
        <v>55</v>
      </c>
      <c r="I2515" s="2" t="s">
        <v>6873</v>
      </c>
      <c r="J2515" s="3" t="str">
        <f>HYPERLINK("https://www.boe.es/gazeta/dias/1809/04/02/pdfs/GMD-1809-92.pdf#page=4","Abrir facsímil")</f>
        <v>Abrir facsímil</v>
      </c>
      <c r="K2515" s="3" t="s">
        <v>57</v>
      </c>
    </row>
    <row r="2516" spans="1:11" ht="42" customHeight="1">
      <c r="A2516" s="2" t="s">
        <v>6874</v>
      </c>
      <c r="B2516" s="2" t="s">
        <v>6875</v>
      </c>
      <c r="C2516" s="2" t="s">
        <v>17</v>
      </c>
      <c r="D2516" s="2" t="s">
        <v>18</v>
      </c>
      <c r="E2516" s="3" t="s">
        <v>442</v>
      </c>
      <c r="F2516" s="3" t="s">
        <v>2171</v>
      </c>
      <c r="G2516" s="3" t="s">
        <v>2172</v>
      </c>
      <c r="H2516" s="2" t="s">
        <v>55</v>
      </c>
      <c r="I2516" s="2" t="s">
        <v>6876</v>
      </c>
      <c r="J2516" s="3" t="str">
        <f>HYPERLINK("https://www.boe.es/gazeta/dias/1809/09/05/pdfs/GMD-1809-249.pdf#page=4","Abrir facsímil")</f>
        <v>Abrir facsímil</v>
      </c>
      <c r="K2516" s="3" t="s">
        <v>57</v>
      </c>
    </row>
    <row r="2517" spans="1:11" ht="42" customHeight="1">
      <c r="A2517" s="2" t="s">
        <v>6877</v>
      </c>
      <c r="B2517" s="2" t="s">
        <v>6878</v>
      </c>
      <c r="C2517" s="2" t="s">
        <v>17</v>
      </c>
      <c r="D2517" s="2" t="s">
        <v>18</v>
      </c>
      <c r="E2517" s="3" t="s">
        <v>27</v>
      </c>
      <c r="F2517" s="3" t="s">
        <v>254</v>
      </c>
      <c r="G2517" s="3" t="s">
        <v>239</v>
      </c>
      <c r="H2517" s="2" t="s">
        <v>55</v>
      </c>
      <c r="I2517" s="2" t="s">
        <v>6879</v>
      </c>
      <c r="J2517" s="3" t="str">
        <f>HYPERLINK("https://www.boe.es/gazeta/dias/1809/05/12/pdfs/GGB-1809-26.pdf#page=11","Abrir facsímil")</f>
        <v>Abrir facsímil</v>
      </c>
      <c r="K2517" s="3" t="s">
        <v>57</v>
      </c>
    </row>
    <row r="2518" spans="1:11" ht="42" customHeight="1">
      <c r="A2518" s="2" t="s">
        <v>6880</v>
      </c>
      <c r="B2518" s="2" t="s">
        <v>6881</v>
      </c>
      <c r="C2518" s="2" t="s">
        <v>288</v>
      </c>
      <c r="D2518" s="2" t="s">
        <v>72</v>
      </c>
      <c r="E2518" s="3" t="s">
        <v>243</v>
      </c>
      <c r="F2518" s="3" t="s">
        <v>244</v>
      </c>
      <c r="G2518" s="3" t="s">
        <v>541</v>
      </c>
      <c r="H2518" s="2" t="s">
        <v>55</v>
      </c>
      <c r="I2518" s="2" t="s">
        <v>6882</v>
      </c>
      <c r="J2518" s="3" t="str">
        <f>HYPERLINK("https://www.boe.es/gazeta/dias/1809/02/17/pdfs/GGB-G-1809-8.pdf#page=8","Abrir facsímil")</f>
        <v>Abrir facsímil</v>
      </c>
      <c r="K2518" s="3" t="s">
        <v>57</v>
      </c>
    </row>
    <row r="2519" spans="1:11" ht="42" customHeight="1">
      <c r="A2519" s="2" t="s">
        <v>6883</v>
      </c>
      <c r="B2519" s="2" t="s">
        <v>6884</v>
      </c>
      <c r="C2519" s="2" t="s">
        <v>39</v>
      </c>
      <c r="D2519" s="2" t="s">
        <v>18</v>
      </c>
      <c r="E2519" s="3" t="s">
        <v>232</v>
      </c>
      <c r="F2519" s="3" t="s">
        <v>233</v>
      </c>
      <c r="G2519" s="3" t="s">
        <v>234</v>
      </c>
      <c r="H2519" s="2" t="s">
        <v>55</v>
      </c>
      <c r="I2519" s="2" t="s">
        <v>6885</v>
      </c>
      <c r="J2519" s="3" t="str">
        <f>HYPERLINK("https://www.boe.es/gazeta/dias/1809/06/04/pdfs/GMD-1809-155.pdf#page=4","Abrir facsímil")</f>
        <v>Abrir facsímil</v>
      </c>
      <c r="K2519" s="3" t="s">
        <v>57</v>
      </c>
    </row>
    <row r="2520" spans="1:11" ht="42" customHeight="1">
      <c r="A2520" s="2" t="s">
        <v>6886</v>
      </c>
      <c r="B2520" s="2" t="s">
        <v>6887</v>
      </c>
      <c r="C2520" s="2" t="s">
        <v>25</v>
      </c>
      <c r="D2520" s="2" t="s">
        <v>72</v>
      </c>
      <c r="E2520" s="3" t="s">
        <v>473</v>
      </c>
      <c r="F2520" s="3" t="s">
        <v>1199</v>
      </c>
      <c r="G2520" s="3" t="s">
        <v>75</v>
      </c>
      <c r="H2520" s="2" t="s">
        <v>55</v>
      </c>
      <c r="I2520" s="2" t="s">
        <v>6888</v>
      </c>
      <c r="J2520" s="3" t="str">
        <f>HYPERLINK("https://www.boe.es/gazeta/dias/1809/12/28/pdfs/GGB-H-1809-642.pdf#page=4","Abrir facsímil")</f>
        <v>Abrir facsímil</v>
      </c>
      <c r="K2520" s="3" t="s">
        <v>57</v>
      </c>
    </row>
    <row r="2521" spans="1:11" ht="42" customHeight="1">
      <c r="A2521" s="2" t="s">
        <v>6889</v>
      </c>
      <c r="B2521" s="2" t="s">
        <v>6890</v>
      </c>
      <c r="C2521" s="2" t="s">
        <v>25</v>
      </c>
      <c r="D2521" s="2" t="s">
        <v>26</v>
      </c>
      <c r="E2521" s="3" t="s">
        <v>143</v>
      </c>
      <c r="F2521" s="3" t="s">
        <v>705</v>
      </c>
      <c r="G2521" s="3" t="s">
        <v>110</v>
      </c>
      <c r="H2521" s="2" t="s">
        <v>55</v>
      </c>
      <c r="I2521" s="2" t="s">
        <v>6891</v>
      </c>
      <c r="J2521" s="3" t="str">
        <f>HYPERLINK("https://www.boe.es/gazeta/dias/1809/11/16/pdfs/GGB-H-1809-462.pdf#page=3","Abrir facsímil")</f>
        <v>Abrir facsímil</v>
      </c>
      <c r="K2521" s="3" t="s">
        <v>57</v>
      </c>
    </row>
    <row r="2522" spans="1:11" ht="42" customHeight="1">
      <c r="A2522" s="2" t="s">
        <v>6892</v>
      </c>
      <c r="B2522" s="2" t="s">
        <v>6892</v>
      </c>
      <c r="C2522" s="2" t="s">
        <v>25</v>
      </c>
      <c r="D2522" s="2" t="s">
        <v>18</v>
      </c>
      <c r="E2522" s="3" t="s">
        <v>1132</v>
      </c>
      <c r="F2522" s="3" t="s">
        <v>1499</v>
      </c>
      <c r="G2522" s="3" t="s">
        <v>62</v>
      </c>
      <c r="H2522" s="2" t="s">
        <v>55</v>
      </c>
      <c r="I2522" s="2" t="s">
        <v>6893</v>
      </c>
      <c r="J2522" s="3" t="str">
        <f>HYPERLINK("https://www.boe.es/gazeta/dias/1809/11/11/pdfs/GMD-1809-316.pdf#page=2","Abrir facsímil")</f>
        <v>Abrir facsímil</v>
      </c>
      <c r="K2522" s="3" t="s">
        <v>57</v>
      </c>
    </row>
    <row r="2523" spans="1:11" ht="42" customHeight="1">
      <c r="A2523" s="2" t="s">
        <v>6894</v>
      </c>
      <c r="B2523" s="2" t="s">
        <v>6895</v>
      </c>
      <c r="C2523" s="2" t="s">
        <v>79</v>
      </c>
      <c r="D2523" s="2" t="s">
        <v>18</v>
      </c>
      <c r="E2523" s="3" t="s">
        <v>299</v>
      </c>
      <c r="F2523" s="3" t="s">
        <v>300</v>
      </c>
      <c r="G2523" s="3" t="s">
        <v>301</v>
      </c>
      <c r="H2523" s="2" t="s">
        <v>55</v>
      </c>
      <c r="I2523" s="2" t="s">
        <v>6896</v>
      </c>
      <c r="J2523" s="3" t="str">
        <f>HYPERLINK("https://www.boe.es/gazeta/dias/1809/05/26/pdfs/GGB-1809-31.pdf#page=10","Abrir facsímil")</f>
        <v>Abrir facsímil</v>
      </c>
      <c r="K2523" s="3" t="s">
        <v>57</v>
      </c>
    </row>
    <row r="2524" spans="1:11" ht="42" customHeight="1">
      <c r="A2524" s="2" t="s">
        <v>6897</v>
      </c>
      <c r="B2524" s="2" t="s">
        <v>6897</v>
      </c>
      <c r="C2524" s="2" t="s">
        <v>25</v>
      </c>
      <c r="D2524" s="2" t="s">
        <v>18</v>
      </c>
      <c r="E2524" s="3" t="s">
        <v>1053</v>
      </c>
      <c r="F2524" s="3" t="s">
        <v>1054</v>
      </c>
      <c r="G2524" s="3" t="s">
        <v>110</v>
      </c>
      <c r="H2524" s="2" t="s">
        <v>55</v>
      </c>
      <c r="I2524" s="2" t="s">
        <v>6898</v>
      </c>
      <c r="J2524" s="3" t="str">
        <f>HYPERLINK("https://www.boe.es/gazeta/dias/1809/05/13/pdfs/GMD-1809-133.pdf#page=6","Abrir facsímil")</f>
        <v>Abrir facsímil</v>
      </c>
      <c r="K2524" s="3" t="s">
        <v>57</v>
      </c>
    </row>
    <row r="2525" spans="1:11" ht="42" customHeight="1">
      <c r="A2525" s="2" t="s">
        <v>6899</v>
      </c>
      <c r="B2525" s="2" t="s">
        <v>6900</v>
      </c>
      <c r="C2525" s="2" t="s">
        <v>25</v>
      </c>
      <c r="D2525" s="2" t="s">
        <v>26</v>
      </c>
      <c r="E2525" s="3" t="s">
        <v>108</v>
      </c>
      <c r="F2525" s="3" t="s">
        <v>109</v>
      </c>
      <c r="G2525" s="3" t="s">
        <v>110</v>
      </c>
      <c r="H2525" s="2" t="s">
        <v>55</v>
      </c>
      <c r="I2525" s="2" t="s">
        <v>6901</v>
      </c>
      <c r="J2525" s="3" t="str">
        <f>HYPERLINK("https://www.boe.es/gazeta/dias/1809/09/08/pdfs/GMD-1809-252.pdf#page=2","Abrir facsímil")</f>
        <v>Abrir facsímil</v>
      </c>
      <c r="K2525" s="3" t="s">
        <v>57</v>
      </c>
    </row>
    <row r="2526" spans="1:11" ht="42" customHeight="1">
      <c r="A2526" s="2" t="s">
        <v>6902</v>
      </c>
      <c r="B2526" s="2" t="s">
        <v>6903</v>
      </c>
      <c r="C2526" s="2" t="s">
        <v>17</v>
      </c>
      <c r="D2526" s="2" t="s">
        <v>72</v>
      </c>
      <c r="E2526" s="3" t="s">
        <v>243</v>
      </c>
      <c r="F2526" s="3" t="s">
        <v>244</v>
      </c>
      <c r="G2526" s="3" t="s">
        <v>29</v>
      </c>
      <c r="H2526" s="2" t="s">
        <v>55</v>
      </c>
      <c r="I2526" s="2" t="s">
        <v>6904</v>
      </c>
      <c r="J2526" s="3" t="str">
        <f>HYPERLINK("https://www.boe.es/gazeta/dias/1809/02/17/pdfs/GGB-G-1809-8.pdf#page=3","Abrir facsímil")</f>
        <v>Abrir facsímil</v>
      </c>
      <c r="K2526" s="3" t="s">
        <v>57</v>
      </c>
    </row>
    <row r="2527" spans="1:11" ht="42" customHeight="1">
      <c r="A2527" s="2" t="s">
        <v>6905</v>
      </c>
      <c r="B2527" s="2" t="s">
        <v>6905</v>
      </c>
      <c r="C2527" s="2" t="s">
        <v>25</v>
      </c>
      <c r="D2527" s="2" t="s">
        <v>72</v>
      </c>
      <c r="E2527" s="3" t="s">
        <v>118</v>
      </c>
      <c r="F2527" s="3" t="s">
        <v>819</v>
      </c>
      <c r="G2527" s="3" t="s">
        <v>826</v>
      </c>
      <c r="H2527" s="2" t="s">
        <v>55</v>
      </c>
      <c r="I2527" s="2" t="s">
        <v>6906</v>
      </c>
      <c r="J2527" s="3" t="str">
        <f>HYPERLINK("https://www.boe.es/gazeta/dias/1809/09/07/pdfs/GGB-H-1809-162.pdf#page=4","Abrir facsímil")</f>
        <v>Abrir facsímil</v>
      </c>
      <c r="K2527" s="3" t="s">
        <v>57</v>
      </c>
    </row>
    <row r="2528" spans="1:11" ht="42" customHeight="1">
      <c r="A2528" s="2" t="s">
        <v>6907</v>
      </c>
      <c r="B2528" s="2" t="s">
        <v>6907</v>
      </c>
      <c r="C2528" s="2" t="s">
        <v>25</v>
      </c>
      <c r="D2528" s="2" t="s">
        <v>18</v>
      </c>
      <c r="E2528" s="3" t="s">
        <v>724</v>
      </c>
      <c r="F2528" s="3" t="s">
        <v>725</v>
      </c>
      <c r="G2528" s="3" t="s">
        <v>6908</v>
      </c>
      <c r="H2528" s="2" t="s">
        <v>55</v>
      </c>
      <c r="I2528" s="2" t="s">
        <v>6909</v>
      </c>
      <c r="J2528" s="3" t="str">
        <f>HYPERLINK("https://www.boe.es/gazeta/dias/1809/11/19/pdfs/GMD-1809-324.pdf#page=1","Abrir facsímil")</f>
        <v>Abrir facsímil</v>
      </c>
      <c r="K2528" s="3" t="s">
        <v>57</v>
      </c>
    </row>
    <row r="2529" spans="1:11" ht="42" customHeight="1">
      <c r="A2529" s="2" t="s">
        <v>6910</v>
      </c>
      <c r="B2529" s="2" t="s">
        <v>6911</v>
      </c>
      <c r="C2529" s="2" t="s">
        <v>25</v>
      </c>
      <c r="D2529" s="2" t="s">
        <v>26</v>
      </c>
      <c r="E2529" s="3" t="s">
        <v>4993</v>
      </c>
      <c r="F2529" s="3" t="s">
        <v>4994</v>
      </c>
      <c r="G2529" s="3" t="s">
        <v>4762</v>
      </c>
      <c r="H2529" s="2" t="s">
        <v>55</v>
      </c>
      <c r="I2529" s="2" t="s">
        <v>6912</v>
      </c>
      <c r="J2529" s="3" t="str">
        <f>HYPERLINK("https://www.boe.es/gazeta/dias/1809/01/15/pdfs/GMD-1809-15.pdf#page=2","Abrir facsímil")</f>
        <v>Abrir facsímil</v>
      </c>
      <c r="K2529" s="3" t="s">
        <v>57</v>
      </c>
    </row>
    <row r="2530" spans="1:11" ht="42" customHeight="1">
      <c r="A2530" s="2" t="s">
        <v>6913</v>
      </c>
      <c r="B2530" s="2" t="s">
        <v>6913</v>
      </c>
      <c r="C2530" s="2" t="s">
        <v>25</v>
      </c>
      <c r="D2530" s="2" t="s">
        <v>18</v>
      </c>
      <c r="E2530" s="3" t="s">
        <v>211</v>
      </c>
      <c r="F2530" s="3" t="s">
        <v>212</v>
      </c>
      <c r="G2530" s="3" t="s">
        <v>467</v>
      </c>
      <c r="H2530" s="2" t="s">
        <v>55</v>
      </c>
      <c r="I2530" s="2" t="s">
        <v>6914</v>
      </c>
      <c r="J2530" s="3" t="str">
        <f>HYPERLINK("https://www.boe.es/gazeta/dias/1809/10/27/pdfs/GMD-1809-301.pdf#page=2","Abrir facsímil")</f>
        <v>Abrir facsímil</v>
      </c>
      <c r="K2530" s="3" t="s">
        <v>57</v>
      </c>
    </row>
    <row r="2531" spans="1:11" ht="42" customHeight="1">
      <c r="A2531" s="2" t="s">
        <v>6913</v>
      </c>
      <c r="B2531" s="2" t="s">
        <v>6913</v>
      </c>
      <c r="C2531" s="2" t="s">
        <v>25</v>
      </c>
      <c r="D2531" s="2" t="s">
        <v>26</v>
      </c>
      <c r="E2531" s="3" t="s">
        <v>216</v>
      </c>
      <c r="F2531" s="3" t="s">
        <v>217</v>
      </c>
      <c r="G2531" s="3" t="s">
        <v>270</v>
      </c>
      <c r="H2531" s="2" t="s">
        <v>55</v>
      </c>
      <c r="I2531" s="2" t="s">
        <v>6915</v>
      </c>
      <c r="J2531" s="3" t="str">
        <f>HYPERLINK("https://www.boe.es/gazeta/dias/1809/12/05/pdfs/GGB-H-1809-542.pdf#page=3","Abrir facsímil")</f>
        <v>Abrir facsímil</v>
      </c>
      <c r="K2531" s="3" t="s">
        <v>57</v>
      </c>
    </row>
    <row r="2532" spans="1:11" ht="42" customHeight="1">
      <c r="A2532" s="2" t="s">
        <v>6916</v>
      </c>
      <c r="B2532" s="2" t="s">
        <v>6916</v>
      </c>
      <c r="C2532" s="2" t="s">
        <v>25</v>
      </c>
      <c r="D2532" s="2" t="s">
        <v>26</v>
      </c>
      <c r="E2532" s="3" t="s">
        <v>1667</v>
      </c>
      <c r="F2532" s="3" t="s">
        <v>1668</v>
      </c>
      <c r="G2532" s="3" t="s">
        <v>21</v>
      </c>
      <c r="H2532" s="2" t="s">
        <v>55</v>
      </c>
      <c r="I2532" s="2" t="s">
        <v>6917</v>
      </c>
      <c r="J2532" s="3" t="str">
        <f>HYPERLINK("https://www.boe.es/gazeta/dias/1809/02/21/pdfs/GMD-1809-52.pdf#page=4","Abrir facsímil")</f>
        <v>Abrir facsímil</v>
      </c>
      <c r="K2532" s="3" t="s">
        <v>57</v>
      </c>
    </row>
    <row r="2533" spans="1:11" ht="42" customHeight="1">
      <c r="A2533" s="2" t="s">
        <v>6916</v>
      </c>
      <c r="B2533" s="2" t="s">
        <v>6916</v>
      </c>
      <c r="C2533" s="2" t="s">
        <v>25</v>
      </c>
      <c r="D2533" s="2" t="s">
        <v>26</v>
      </c>
      <c r="E2533" s="3" t="s">
        <v>258</v>
      </c>
      <c r="F2533" s="3" t="s">
        <v>2612</v>
      </c>
      <c r="G2533" s="3" t="s">
        <v>129</v>
      </c>
      <c r="H2533" s="2" t="s">
        <v>55</v>
      </c>
      <c r="I2533" s="2" t="s">
        <v>6918</v>
      </c>
      <c r="J2533" s="3" t="str">
        <f>HYPERLINK("https://www.boe.es/gazeta/dias/1809/03/17/pdfs/GGB-H-1809-12.pdf#page=2","Abrir facsímil")</f>
        <v>Abrir facsímil</v>
      </c>
      <c r="K2533" s="3" t="s">
        <v>57</v>
      </c>
    </row>
    <row r="2534" spans="1:11" ht="42" customHeight="1">
      <c r="A2534" s="2" t="s">
        <v>6916</v>
      </c>
      <c r="B2534" s="2" t="s">
        <v>6916</v>
      </c>
      <c r="C2534" s="2" t="s">
        <v>25</v>
      </c>
      <c r="D2534" s="2" t="s">
        <v>72</v>
      </c>
      <c r="E2534" s="3" t="s">
        <v>118</v>
      </c>
      <c r="F2534" s="3" t="s">
        <v>819</v>
      </c>
      <c r="G2534" s="3" t="s">
        <v>820</v>
      </c>
      <c r="H2534" s="2" t="s">
        <v>55</v>
      </c>
      <c r="I2534" s="2" t="s">
        <v>6919</v>
      </c>
      <c r="J2534" s="3" t="str">
        <f>HYPERLINK("https://www.boe.es/gazeta/dias/1809/09/07/pdfs/GGB-H-1809-162.pdf#page=5","Abrir facsímil")</f>
        <v>Abrir facsímil</v>
      </c>
      <c r="K2534" s="3" t="s">
        <v>57</v>
      </c>
    </row>
    <row r="2535" spans="1:11" ht="42" customHeight="1">
      <c r="A2535" s="2" t="s">
        <v>6920</v>
      </c>
      <c r="B2535" s="2" t="s">
        <v>6920</v>
      </c>
      <c r="C2535" s="2" t="s">
        <v>17</v>
      </c>
      <c r="D2535" s="2" t="s">
        <v>18</v>
      </c>
      <c r="E2535" s="3" t="s">
        <v>969</v>
      </c>
      <c r="F2535" s="3" t="s">
        <v>6921</v>
      </c>
      <c r="G2535" s="3" t="s">
        <v>154</v>
      </c>
      <c r="H2535" s="2" t="s">
        <v>55</v>
      </c>
      <c r="I2535" s="2" t="s">
        <v>6922</v>
      </c>
      <c r="J2535" s="3" t="str">
        <f>HYPERLINK("https://www.boe.es/gazeta/dias/1809/09/19/pdfs/GMD-1809-263.pdf#page=2","Abrir facsímil")</f>
        <v>Abrir facsímil</v>
      </c>
      <c r="K2535" s="3" t="s">
        <v>57</v>
      </c>
    </row>
    <row r="2536" spans="1:11" ht="42" customHeight="1">
      <c r="A2536" s="2" t="s">
        <v>6923</v>
      </c>
      <c r="B2536" s="2" t="s">
        <v>6923</v>
      </c>
      <c r="C2536" s="2" t="s">
        <v>25</v>
      </c>
      <c r="D2536" s="2" t="s">
        <v>26</v>
      </c>
      <c r="E2536" s="3" t="s">
        <v>289</v>
      </c>
      <c r="F2536" s="3" t="s">
        <v>3937</v>
      </c>
      <c r="G2536" s="3" t="s">
        <v>270</v>
      </c>
      <c r="H2536" s="2" t="s">
        <v>55</v>
      </c>
      <c r="I2536" s="2" t="s">
        <v>6924</v>
      </c>
      <c r="J2536" s="3" t="str">
        <f>HYPERLINK("https://www.boe.es/gazeta/dias/1809/05/15/pdfs/GGB-1809-27.pdf#page=3","Abrir facsímil")</f>
        <v>Abrir facsímil</v>
      </c>
      <c r="K2536" s="3" t="s">
        <v>57</v>
      </c>
    </row>
    <row r="2537" spans="1:11" ht="42" customHeight="1">
      <c r="A2537" s="2" t="s">
        <v>6923</v>
      </c>
      <c r="B2537" s="2" t="s">
        <v>6923</v>
      </c>
      <c r="C2537" s="2" t="s">
        <v>25</v>
      </c>
      <c r="D2537" s="2" t="s">
        <v>18</v>
      </c>
      <c r="E2537" s="3" t="s">
        <v>289</v>
      </c>
      <c r="F2537" s="3" t="s">
        <v>3937</v>
      </c>
      <c r="G2537" s="3" t="s">
        <v>2300</v>
      </c>
      <c r="H2537" s="2" t="s">
        <v>55</v>
      </c>
      <c r="I2537" s="2" t="s">
        <v>6925</v>
      </c>
      <c r="J2537" s="3" t="str">
        <f>HYPERLINK("https://www.boe.es/gazeta/dias/1809/05/15/pdfs/GGB-1809-27.pdf#page=7","Abrir facsímil")</f>
        <v>Abrir facsímil</v>
      </c>
      <c r="K2537" s="3" t="s">
        <v>57</v>
      </c>
    </row>
    <row r="2538" spans="1:11" ht="42" customHeight="1">
      <c r="A2538" s="2" t="s">
        <v>6923</v>
      </c>
      <c r="B2538" s="2" t="s">
        <v>6923</v>
      </c>
      <c r="C2538" s="2" t="s">
        <v>25</v>
      </c>
      <c r="D2538" s="2" t="s">
        <v>18</v>
      </c>
      <c r="E2538" s="3" t="s">
        <v>5350</v>
      </c>
      <c r="F2538" s="3" t="s">
        <v>5351</v>
      </c>
      <c r="G2538" s="3" t="s">
        <v>62</v>
      </c>
      <c r="H2538" s="2" t="s">
        <v>55</v>
      </c>
      <c r="I2538" s="2" t="s">
        <v>6926</v>
      </c>
      <c r="J2538" s="3" t="str">
        <f>HYPERLINK("https://www.boe.es/gazeta/dias/1809/05/25/pdfs/GMD-1809-145.pdf#page=1","Abrir facsímil")</f>
        <v>Abrir facsímil</v>
      </c>
      <c r="K2538" s="3" t="s">
        <v>57</v>
      </c>
    </row>
    <row r="2539" spans="1:11" ht="42" customHeight="1">
      <c r="A2539" s="2" t="s">
        <v>6923</v>
      </c>
      <c r="B2539" s="2" t="s">
        <v>6923</v>
      </c>
      <c r="C2539" s="2" t="s">
        <v>25</v>
      </c>
      <c r="D2539" s="2" t="s">
        <v>18</v>
      </c>
      <c r="E2539" s="3" t="s">
        <v>5350</v>
      </c>
      <c r="F2539" s="3" t="s">
        <v>5351</v>
      </c>
      <c r="G2539" s="3" t="s">
        <v>29</v>
      </c>
      <c r="H2539" s="2" t="s">
        <v>55</v>
      </c>
      <c r="I2539" s="2" t="s">
        <v>6927</v>
      </c>
      <c r="J2539" s="3" t="str">
        <f>HYPERLINK("https://www.boe.es/gazeta/dias/1809/05/25/pdfs/GMD-1809-145.pdf#page=3","Abrir facsímil")</f>
        <v>Abrir facsímil</v>
      </c>
      <c r="K2539" s="3" t="s">
        <v>57</v>
      </c>
    </row>
    <row r="2540" spans="1:11" ht="42" customHeight="1">
      <c r="A2540" s="2" t="s">
        <v>6923</v>
      </c>
      <c r="B2540" s="2" t="s">
        <v>6923</v>
      </c>
      <c r="C2540" s="2" t="s">
        <v>25</v>
      </c>
      <c r="D2540" s="2" t="s">
        <v>26</v>
      </c>
      <c r="E2540" s="3" t="s">
        <v>299</v>
      </c>
      <c r="F2540" s="3" t="s">
        <v>6928</v>
      </c>
      <c r="G2540" s="3" t="s">
        <v>75</v>
      </c>
      <c r="H2540" s="2" t="s">
        <v>55</v>
      </c>
      <c r="I2540" s="2" t="s">
        <v>6929</v>
      </c>
      <c r="J2540" s="3" t="str">
        <f>HYPERLINK("https://www.boe.es/gazeta/dias/1809/05/26/pdfs/GMD-1809-146.pdf#page=2","Abrir facsímil")</f>
        <v>Abrir facsímil</v>
      </c>
      <c r="K2540" s="3" t="s">
        <v>57</v>
      </c>
    </row>
    <row r="2541" spans="1:11" ht="42" customHeight="1">
      <c r="A2541" s="2" t="s">
        <v>6923</v>
      </c>
      <c r="B2541" s="2" t="s">
        <v>6923</v>
      </c>
      <c r="C2541" s="2" t="s">
        <v>25</v>
      </c>
      <c r="D2541" s="2" t="s">
        <v>26</v>
      </c>
      <c r="E2541" s="3" t="s">
        <v>268</v>
      </c>
      <c r="F2541" s="3" t="s">
        <v>2768</v>
      </c>
      <c r="G2541" s="3" t="s">
        <v>62</v>
      </c>
      <c r="H2541" s="2" t="s">
        <v>55</v>
      </c>
      <c r="I2541" s="2" t="s">
        <v>6930</v>
      </c>
      <c r="J2541" s="3" t="str">
        <f>HYPERLINK("https://www.boe.es/gazeta/dias/1809/06/05/pdfs/GGB-1809-34.pdf#page=1","Abrir facsímil")</f>
        <v>Abrir facsímil</v>
      </c>
      <c r="K2541" s="3" t="s">
        <v>57</v>
      </c>
    </row>
    <row r="2542" spans="1:11" ht="42" customHeight="1">
      <c r="A2542" s="2" t="s">
        <v>6923</v>
      </c>
      <c r="B2542" s="2" t="s">
        <v>6923</v>
      </c>
      <c r="C2542" s="2" t="s">
        <v>25</v>
      </c>
      <c r="D2542" s="2" t="s">
        <v>18</v>
      </c>
      <c r="E2542" s="3" t="s">
        <v>134</v>
      </c>
      <c r="F2542" s="3" t="s">
        <v>135</v>
      </c>
      <c r="G2542" s="3" t="s">
        <v>29</v>
      </c>
      <c r="H2542" s="2" t="s">
        <v>55</v>
      </c>
      <c r="I2542" s="2" t="s">
        <v>6931</v>
      </c>
      <c r="J2542" s="3" t="str">
        <f>HYPERLINK("https://www.boe.es/gazeta/dias/1809/06/07/pdfs/GMD-1809-158.pdf#page=3","Abrir facsímil")</f>
        <v>Abrir facsímil</v>
      </c>
      <c r="K2542" s="3" t="s">
        <v>57</v>
      </c>
    </row>
    <row r="2543" spans="1:11" ht="42" customHeight="1">
      <c r="A2543" s="2" t="s">
        <v>6923</v>
      </c>
      <c r="B2543" s="2" t="s">
        <v>6923</v>
      </c>
      <c r="C2543" s="2" t="s">
        <v>25</v>
      </c>
      <c r="D2543" s="2" t="s">
        <v>26</v>
      </c>
      <c r="E2543" s="3" t="s">
        <v>2595</v>
      </c>
      <c r="F2543" s="3" t="s">
        <v>6932</v>
      </c>
      <c r="G2543" s="3" t="s">
        <v>75</v>
      </c>
      <c r="H2543" s="2" t="s">
        <v>55</v>
      </c>
      <c r="I2543" s="2" t="s">
        <v>6933</v>
      </c>
      <c r="J2543" s="3" t="str">
        <f>HYPERLINK("https://www.boe.es/gazeta/dias/1809/06/16/pdfs/GGB-1809-37.pdf#page=5","Abrir facsímil")</f>
        <v>Abrir facsímil</v>
      </c>
      <c r="K2543" s="3" t="s">
        <v>57</v>
      </c>
    </row>
    <row r="2544" spans="1:11" ht="42" customHeight="1">
      <c r="A2544" s="2" t="s">
        <v>6923</v>
      </c>
      <c r="B2544" s="2" t="s">
        <v>6923</v>
      </c>
      <c r="C2544" s="2" t="s">
        <v>25</v>
      </c>
      <c r="D2544" s="2" t="s">
        <v>26</v>
      </c>
      <c r="E2544" s="3" t="s">
        <v>730</v>
      </c>
      <c r="F2544" s="3" t="s">
        <v>3423</v>
      </c>
      <c r="G2544" s="3" t="s">
        <v>379</v>
      </c>
      <c r="H2544" s="2" t="s">
        <v>55</v>
      </c>
      <c r="I2544" s="2" t="s">
        <v>6934</v>
      </c>
      <c r="J2544" s="3" t="str">
        <f>HYPERLINK("https://www.boe.es/gazeta/dias/1809/06/23/pdfs/GGB-1809-39.pdf#page=4","Abrir facsímil")</f>
        <v>Abrir facsímil</v>
      </c>
      <c r="K2544" s="3" t="s">
        <v>57</v>
      </c>
    </row>
    <row r="2545" spans="1:11" ht="42" customHeight="1">
      <c r="A2545" s="2" t="s">
        <v>6923</v>
      </c>
      <c r="B2545" s="2" t="s">
        <v>6923</v>
      </c>
      <c r="C2545" s="2" t="s">
        <v>25</v>
      </c>
      <c r="D2545" s="2" t="s">
        <v>26</v>
      </c>
      <c r="E2545" s="3" t="s">
        <v>730</v>
      </c>
      <c r="F2545" s="3" t="s">
        <v>3423</v>
      </c>
      <c r="G2545" s="3" t="s">
        <v>120</v>
      </c>
      <c r="H2545" s="2" t="s">
        <v>55</v>
      </c>
      <c r="I2545" s="2" t="s">
        <v>6935</v>
      </c>
      <c r="J2545" s="3" t="str">
        <f>HYPERLINK("https://www.boe.es/gazeta/dias/1809/06/23/pdfs/GGB-1809-39.pdf#page=9","Abrir facsímil")</f>
        <v>Abrir facsímil</v>
      </c>
      <c r="K2545" s="3" t="s">
        <v>57</v>
      </c>
    </row>
    <row r="2546" spans="1:11" ht="42" customHeight="1">
      <c r="A2546" s="2" t="s">
        <v>6923</v>
      </c>
      <c r="B2546" s="2" t="s">
        <v>6923</v>
      </c>
      <c r="C2546" s="2" t="s">
        <v>25</v>
      </c>
      <c r="D2546" s="2" t="s">
        <v>18</v>
      </c>
      <c r="E2546" s="3" t="s">
        <v>730</v>
      </c>
      <c r="F2546" s="3" t="s">
        <v>3423</v>
      </c>
      <c r="G2546" s="3" t="s">
        <v>5400</v>
      </c>
      <c r="H2546" s="2" t="s">
        <v>55</v>
      </c>
      <c r="I2546" s="2" t="s">
        <v>6936</v>
      </c>
      <c r="J2546" s="3" t="str">
        <f>HYPERLINK("https://www.boe.es/gazeta/dias/1809/06/23/pdfs/GGB-1809-39.pdf#page=10","Abrir facsímil")</f>
        <v>Abrir facsímil</v>
      </c>
      <c r="K2546" s="3" t="s">
        <v>57</v>
      </c>
    </row>
    <row r="2547" spans="1:11" ht="42" customHeight="1">
      <c r="A2547" s="2" t="s">
        <v>6923</v>
      </c>
      <c r="B2547" s="2" t="s">
        <v>6923</v>
      </c>
      <c r="C2547" s="2" t="s">
        <v>25</v>
      </c>
      <c r="D2547" s="2" t="s">
        <v>26</v>
      </c>
      <c r="E2547" s="3" t="s">
        <v>1126</v>
      </c>
      <c r="F2547" s="3" t="s">
        <v>1444</v>
      </c>
      <c r="G2547" s="3" t="s">
        <v>29</v>
      </c>
      <c r="H2547" s="2" t="s">
        <v>55</v>
      </c>
      <c r="I2547" s="2" t="s">
        <v>6937</v>
      </c>
      <c r="J2547" s="3" t="str">
        <f>HYPERLINK("https://www.boe.es/gazeta/dias/1809/06/30/pdfs/GGB-1809-41.pdf#page=3","Abrir facsímil")</f>
        <v>Abrir facsímil</v>
      </c>
      <c r="K2547" s="3" t="s">
        <v>57</v>
      </c>
    </row>
    <row r="2548" spans="1:11" ht="42" customHeight="1">
      <c r="A2548" s="2" t="s">
        <v>6923</v>
      </c>
      <c r="B2548" s="2" t="s">
        <v>6923</v>
      </c>
      <c r="C2548" s="2" t="s">
        <v>25</v>
      </c>
      <c r="D2548" s="2" t="s">
        <v>26</v>
      </c>
      <c r="E2548" s="3" t="s">
        <v>1126</v>
      </c>
      <c r="F2548" s="3" t="s">
        <v>1444</v>
      </c>
      <c r="G2548" s="3" t="s">
        <v>75</v>
      </c>
      <c r="H2548" s="2" t="s">
        <v>55</v>
      </c>
      <c r="I2548" s="2" t="s">
        <v>6938</v>
      </c>
      <c r="J2548" s="3" t="str">
        <f>HYPERLINK("https://www.boe.es/gazeta/dias/1809/06/30/pdfs/GGB-1809-41.pdf#page=10","Abrir facsímil")</f>
        <v>Abrir facsímil</v>
      </c>
      <c r="K2548" s="3" t="s">
        <v>57</v>
      </c>
    </row>
    <row r="2549" spans="1:11" ht="42" customHeight="1">
      <c r="A2549" s="2" t="s">
        <v>6923</v>
      </c>
      <c r="B2549" s="2" t="s">
        <v>6923</v>
      </c>
      <c r="C2549" s="2" t="s">
        <v>25</v>
      </c>
      <c r="D2549" s="2" t="s">
        <v>26</v>
      </c>
      <c r="E2549" s="3" t="s">
        <v>2395</v>
      </c>
      <c r="F2549" s="3" t="s">
        <v>3941</v>
      </c>
      <c r="G2549" s="3" t="s">
        <v>270</v>
      </c>
      <c r="H2549" s="2" t="s">
        <v>55</v>
      </c>
      <c r="I2549" s="2" t="s">
        <v>6939</v>
      </c>
      <c r="J2549" s="3" t="str">
        <f>HYPERLINK("https://www.boe.es/gazeta/dias/1809/07/14/pdfs/GGB-1809-45.pdf#page=6","Abrir facsímil")</f>
        <v>Abrir facsímil</v>
      </c>
      <c r="K2549" s="3" t="s">
        <v>57</v>
      </c>
    </row>
    <row r="2550" spans="1:11" ht="42" customHeight="1">
      <c r="A2550" s="2" t="s">
        <v>6923</v>
      </c>
      <c r="B2550" s="2" t="s">
        <v>6923</v>
      </c>
      <c r="C2550" s="2" t="s">
        <v>131</v>
      </c>
      <c r="D2550" s="2" t="s">
        <v>18</v>
      </c>
      <c r="E2550" s="3" t="s">
        <v>627</v>
      </c>
      <c r="F2550" s="3" t="s">
        <v>628</v>
      </c>
      <c r="G2550" s="3" t="s">
        <v>75</v>
      </c>
      <c r="H2550" s="2" t="s">
        <v>55</v>
      </c>
      <c r="I2550" s="2" t="s">
        <v>6940</v>
      </c>
      <c r="J2550" s="3" t="str">
        <f>HYPERLINK("https://www.boe.es/gazeta/dias/1809/08/28/pdfs/GMD-1809-241.pdf#page=1","Abrir facsímil")</f>
        <v>Abrir facsímil</v>
      </c>
      <c r="K2550" s="3" t="s">
        <v>57</v>
      </c>
    </row>
    <row r="2551" spans="1:11" ht="42" customHeight="1">
      <c r="A2551" s="2" t="s">
        <v>6923</v>
      </c>
      <c r="B2551" s="2" t="s">
        <v>6923</v>
      </c>
      <c r="C2551" s="2" t="s">
        <v>25</v>
      </c>
      <c r="D2551" s="2" t="s">
        <v>26</v>
      </c>
      <c r="E2551" s="3" t="s">
        <v>445</v>
      </c>
      <c r="F2551" s="3" t="s">
        <v>446</v>
      </c>
      <c r="G2551" s="3" t="s">
        <v>270</v>
      </c>
      <c r="H2551" s="2" t="s">
        <v>55</v>
      </c>
      <c r="I2551" s="2" t="s">
        <v>6941</v>
      </c>
      <c r="J2551" s="3" t="str">
        <f>HYPERLINK("https://www.boe.es/gazeta/dias/1809/10/01/pdfs/GMD-1809-275.pdf#page=1","Abrir facsímil")</f>
        <v>Abrir facsímil</v>
      </c>
      <c r="K2551" s="3" t="s">
        <v>57</v>
      </c>
    </row>
    <row r="2552" spans="1:11" ht="42" customHeight="1">
      <c r="A2552" s="2" t="s">
        <v>6942</v>
      </c>
      <c r="B2552" s="2" t="s">
        <v>6943</v>
      </c>
      <c r="C2552" s="2" t="s">
        <v>17</v>
      </c>
      <c r="D2552" s="2" t="s">
        <v>72</v>
      </c>
      <c r="E2552" s="3" t="s">
        <v>2818</v>
      </c>
      <c r="F2552" s="3" t="s">
        <v>4265</v>
      </c>
      <c r="G2552" s="3" t="s">
        <v>693</v>
      </c>
      <c r="H2552" s="2" t="s">
        <v>55</v>
      </c>
      <c r="I2552" s="2" t="s">
        <v>6944</v>
      </c>
      <c r="J2552" s="3" t="str">
        <f>HYPERLINK("https://www.boe.es/gazeta/dias/1809/02/03/pdfs/GGB-G-1809-6.pdf#page=9","Abrir facsímil")</f>
        <v>Abrir facsímil</v>
      </c>
      <c r="K2552" s="3" t="s">
        <v>57</v>
      </c>
    </row>
    <row r="2553" spans="1:11" ht="42" customHeight="1">
      <c r="A2553" s="2" t="s">
        <v>6945</v>
      </c>
      <c r="B2553" s="2" t="s">
        <v>6945</v>
      </c>
      <c r="C2553" s="2" t="s">
        <v>25</v>
      </c>
      <c r="D2553" s="2" t="s">
        <v>107</v>
      </c>
      <c r="E2553" s="3" t="s">
        <v>6946</v>
      </c>
      <c r="F2553" s="3" t="s">
        <v>6947</v>
      </c>
      <c r="G2553" s="3" t="s">
        <v>75</v>
      </c>
      <c r="H2553" s="2" t="s">
        <v>55</v>
      </c>
      <c r="I2553" s="2" t="s">
        <v>6948</v>
      </c>
      <c r="J2553" s="3" t="str">
        <f>HYPERLINK("https://www.boe.es/gazeta/dias/1809/01/17/pdfs/GMD-1809-17.pdf#page=4","Abrir facsímil")</f>
        <v>Abrir facsímil</v>
      </c>
      <c r="K2553" s="3" t="s">
        <v>57</v>
      </c>
    </row>
    <row r="2554" spans="1:11" ht="42" customHeight="1">
      <c r="A2554" s="2" t="s">
        <v>6949</v>
      </c>
      <c r="B2554" s="2" t="s">
        <v>6950</v>
      </c>
      <c r="C2554" s="2" t="s">
        <v>25</v>
      </c>
      <c r="D2554" s="2" t="s">
        <v>26</v>
      </c>
      <c r="E2554" s="3" t="s">
        <v>384</v>
      </c>
      <c r="F2554" s="3" t="s">
        <v>385</v>
      </c>
      <c r="G2554" s="3" t="s">
        <v>2747</v>
      </c>
      <c r="H2554" s="2" t="s">
        <v>22</v>
      </c>
      <c r="I2554" s="2" t="s">
        <v>6951</v>
      </c>
      <c r="J2554" s="3" t="str">
        <f>HYPERLINK("https://www.boe.es/gazeta/dias/1809/07/27/pdfs/GMD-1809-208.pdf#page=2","Abrir facsímil")</f>
        <v>Abrir facsímil</v>
      </c>
      <c r="K2554" s="3" t="s">
        <v>24</v>
      </c>
    </row>
    <row r="2555" spans="1:11" ht="42" customHeight="1">
      <c r="A2555" s="2" t="s">
        <v>6952</v>
      </c>
      <c r="B2555" s="2" t="s">
        <v>6952</v>
      </c>
      <c r="C2555" s="2" t="s">
        <v>17</v>
      </c>
      <c r="D2555" s="2" t="s">
        <v>18</v>
      </c>
      <c r="E2555" s="3" t="s">
        <v>695</v>
      </c>
      <c r="F2555" s="3" t="s">
        <v>696</v>
      </c>
      <c r="G2555" s="3" t="s">
        <v>1175</v>
      </c>
      <c r="H2555" s="2" t="s">
        <v>55</v>
      </c>
      <c r="I2555" s="2" t="s">
        <v>6953</v>
      </c>
      <c r="J2555" s="3" t="str">
        <f>HYPERLINK("https://www.boe.es/gazeta/dias/1809/10/24/pdfs/GGB-1809-362.pdf#page=2","Abrir facsímil")</f>
        <v>Abrir facsímil</v>
      </c>
      <c r="K2555" s="3" t="s">
        <v>57</v>
      </c>
    </row>
    <row r="2556" spans="1:11" ht="42" customHeight="1">
      <c r="A2556" s="2" t="s">
        <v>6954</v>
      </c>
      <c r="B2556" s="2" t="s">
        <v>6954</v>
      </c>
      <c r="C2556" s="2" t="s">
        <v>25</v>
      </c>
      <c r="D2556" s="2" t="s">
        <v>18</v>
      </c>
      <c r="E2556" s="3" t="s">
        <v>1803</v>
      </c>
      <c r="F2556" s="3" t="s">
        <v>6955</v>
      </c>
      <c r="G2556" s="3" t="s">
        <v>6956</v>
      </c>
      <c r="H2556" s="2" t="s">
        <v>55</v>
      </c>
      <c r="I2556" s="2" t="s">
        <v>6957</v>
      </c>
      <c r="J2556" s="3" t="str">
        <f>HYPERLINK("https://www.boe.es/gazeta/dias/1809/10/12/pdfs/GGB-1809-312.pdf#page=5","Abrir facsímil")</f>
        <v>Abrir facsímil</v>
      </c>
      <c r="K2556" s="3" t="s">
        <v>57</v>
      </c>
    </row>
    <row r="2557" spans="1:11" ht="42" customHeight="1">
      <c r="A2557" s="2" t="s">
        <v>6958</v>
      </c>
      <c r="B2557" s="2" t="s">
        <v>6958</v>
      </c>
      <c r="C2557" s="2" t="s">
        <v>25</v>
      </c>
      <c r="D2557" s="2" t="s">
        <v>26</v>
      </c>
      <c r="E2557" s="3" t="s">
        <v>739</v>
      </c>
      <c r="F2557" s="3" t="s">
        <v>1137</v>
      </c>
      <c r="G2557" s="3" t="s">
        <v>582</v>
      </c>
      <c r="H2557" s="2" t="s">
        <v>55</v>
      </c>
      <c r="I2557" s="2" t="s">
        <v>6959</v>
      </c>
      <c r="J2557" s="3" t="str">
        <f>HYPERLINK("https://www.boe.es/gazeta/dias/1809/05/08/pdfs/GGB-1809-25.pdf#page=4","Abrir facsímil")</f>
        <v>Abrir facsímil</v>
      </c>
      <c r="K2557" s="3" t="s">
        <v>57</v>
      </c>
    </row>
    <row r="2558" spans="1:11" ht="42" customHeight="1">
      <c r="A2558" s="2" t="s">
        <v>6960</v>
      </c>
      <c r="B2558" s="2" t="s">
        <v>6961</v>
      </c>
      <c r="C2558" s="2" t="s">
        <v>25</v>
      </c>
      <c r="D2558" s="2" t="s">
        <v>18</v>
      </c>
      <c r="E2558" s="3" t="s">
        <v>139</v>
      </c>
      <c r="F2558" s="3" t="s">
        <v>140</v>
      </c>
      <c r="G2558" s="3" t="s">
        <v>6962</v>
      </c>
      <c r="H2558" s="2" t="s">
        <v>55</v>
      </c>
      <c r="I2558" s="2" t="s">
        <v>6963</v>
      </c>
      <c r="J2558" s="3" t="str">
        <f>HYPERLINK("https://www.boe.es/gazeta/dias/1809/05/06/pdfs/GMD-1809-126.pdf#page=1","Abrir facsímil")</f>
        <v>Abrir facsímil</v>
      </c>
      <c r="K2558" s="3" t="s">
        <v>57</v>
      </c>
    </row>
    <row r="2559" spans="1:11" ht="42" customHeight="1">
      <c r="A2559" s="2" t="s">
        <v>6964</v>
      </c>
      <c r="B2559" s="2" t="s">
        <v>6964</v>
      </c>
      <c r="C2559" s="2" t="s">
        <v>25</v>
      </c>
      <c r="D2559" s="2" t="s">
        <v>26</v>
      </c>
      <c r="E2559" s="3" t="s">
        <v>868</v>
      </c>
      <c r="F2559" s="3" t="s">
        <v>869</v>
      </c>
      <c r="G2559" s="3" t="s">
        <v>270</v>
      </c>
      <c r="H2559" s="2" t="s">
        <v>22</v>
      </c>
      <c r="I2559" s="2" t="s">
        <v>6965</v>
      </c>
      <c r="J2559" s="3" t="str">
        <f>HYPERLINK("https://www.boe.es/gazeta/dias/1809/09/22/pdfs/GMD-1809-266.pdf#page=2","Abrir facsímil")</f>
        <v>Abrir facsímil</v>
      </c>
      <c r="K2559" s="3" t="s">
        <v>24</v>
      </c>
    </row>
    <row r="2560" spans="1:11" ht="42" customHeight="1">
      <c r="A2560" s="2" t="s">
        <v>6966</v>
      </c>
      <c r="B2560" s="2" t="s">
        <v>6967</v>
      </c>
      <c r="C2560" s="2" t="s">
        <v>25</v>
      </c>
      <c r="D2560" s="2" t="s">
        <v>26</v>
      </c>
      <c r="E2560" s="3" t="s">
        <v>567</v>
      </c>
      <c r="F2560" s="3" t="s">
        <v>568</v>
      </c>
      <c r="G2560" s="3" t="s">
        <v>239</v>
      </c>
      <c r="H2560" s="2" t="s">
        <v>55</v>
      </c>
      <c r="I2560" s="2" t="s">
        <v>6968</v>
      </c>
      <c r="J2560" s="3" t="str">
        <f>HYPERLINK("https://www.boe.es/gazeta/dias/1809/06/03/pdfs/GMD-1809-154.pdf#page=2","Abrir facsímil")</f>
        <v>Abrir facsímil</v>
      </c>
      <c r="K2560" s="3" t="s">
        <v>57</v>
      </c>
    </row>
    <row r="2561" spans="1:11" ht="42" customHeight="1">
      <c r="A2561" s="2" t="s">
        <v>6969</v>
      </c>
      <c r="B2561" s="2" t="s">
        <v>6970</v>
      </c>
      <c r="C2561" s="2" t="s">
        <v>25</v>
      </c>
      <c r="D2561" s="2" t="s">
        <v>26</v>
      </c>
      <c r="E2561" s="3" t="s">
        <v>113</v>
      </c>
      <c r="F2561" s="3" t="s">
        <v>1982</v>
      </c>
      <c r="G2561" s="3" t="s">
        <v>141</v>
      </c>
      <c r="H2561" s="2" t="s">
        <v>55</v>
      </c>
      <c r="I2561" s="2" t="s">
        <v>6971</v>
      </c>
      <c r="J2561" s="3" t="str">
        <f>HYPERLINK("https://www.boe.es/gazeta/dias/1809/04/24/pdfs/GGB-1809-21.pdf#page=9","Abrir facsímil")</f>
        <v>Abrir facsímil</v>
      </c>
      <c r="K2561" s="3" t="s">
        <v>57</v>
      </c>
    </row>
    <row r="2562" spans="1:11" ht="42" customHeight="1">
      <c r="A2562" s="2" t="s">
        <v>6972</v>
      </c>
      <c r="B2562" s="2" t="s">
        <v>6972</v>
      </c>
      <c r="C2562" s="2" t="s">
        <v>79</v>
      </c>
      <c r="D2562" s="2" t="s">
        <v>18</v>
      </c>
      <c r="E2562" s="3" t="s">
        <v>53</v>
      </c>
      <c r="F2562" s="3" t="s">
        <v>54</v>
      </c>
      <c r="G2562" s="3" t="s">
        <v>6973</v>
      </c>
      <c r="H2562" s="2" t="s">
        <v>55</v>
      </c>
      <c r="I2562" s="2" t="s">
        <v>6974</v>
      </c>
      <c r="J2562" s="3" t="str">
        <f>HYPERLINK("https://www.boe.es/gazeta/dias/1809/03/03/pdfs/GMD-1809-62.pdf#page=1","Abrir facsímil")</f>
        <v>Abrir facsímil</v>
      </c>
      <c r="K2562" s="3" t="s">
        <v>57</v>
      </c>
    </row>
    <row r="2563" spans="1:11" ht="42" customHeight="1">
      <c r="A2563" s="2" t="s">
        <v>6975</v>
      </c>
      <c r="B2563" s="2" t="s">
        <v>6975</v>
      </c>
      <c r="C2563" s="2" t="s">
        <v>25</v>
      </c>
      <c r="D2563" s="2" t="s">
        <v>18</v>
      </c>
      <c r="E2563" s="3" t="s">
        <v>1667</v>
      </c>
      <c r="F2563" s="3" t="s">
        <v>1668</v>
      </c>
      <c r="G2563" s="3" t="s">
        <v>21</v>
      </c>
      <c r="H2563" s="2" t="s">
        <v>55</v>
      </c>
      <c r="I2563" s="2" t="s">
        <v>6976</v>
      </c>
      <c r="J2563" s="3" t="str">
        <f>HYPERLINK("https://www.boe.es/gazeta/dias/1809/02/21/pdfs/GMD-1809-52.pdf#page=1","Abrir facsímil")</f>
        <v>Abrir facsímil</v>
      </c>
      <c r="K2563" s="3" t="s">
        <v>57</v>
      </c>
    </row>
    <row r="2564" spans="1:11" ht="42" customHeight="1">
      <c r="A2564" s="2" t="s">
        <v>6977</v>
      </c>
      <c r="B2564" s="2" t="s">
        <v>6977</v>
      </c>
      <c r="C2564" s="2" t="s">
        <v>25</v>
      </c>
      <c r="D2564" s="2" t="s">
        <v>18</v>
      </c>
      <c r="E2564" s="3" t="s">
        <v>332</v>
      </c>
      <c r="F2564" s="3" t="s">
        <v>333</v>
      </c>
      <c r="G2564" s="3" t="s">
        <v>29</v>
      </c>
      <c r="H2564" s="2" t="s">
        <v>55</v>
      </c>
      <c r="I2564" s="2" t="s">
        <v>6978</v>
      </c>
      <c r="J2564" s="3" t="str">
        <f>HYPERLINK("https://www.boe.es/gazeta/dias/1809/02/23/pdfs/GMD-1809-54.pdf#page=3","Abrir facsímil")</f>
        <v>Abrir facsímil</v>
      </c>
      <c r="K2564" s="3" t="s">
        <v>57</v>
      </c>
    </row>
    <row r="2565" spans="1:11" ht="42" customHeight="1">
      <c r="A2565" s="2" t="s">
        <v>6975</v>
      </c>
      <c r="B2565" s="2" t="s">
        <v>6975</v>
      </c>
      <c r="C2565" s="2" t="s">
        <v>25</v>
      </c>
      <c r="D2565" s="2" t="s">
        <v>26</v>
      </c>
      <c r="E2565" s="3" t="s">
        <v>258</v>
      </c>
      <c r="F2565" s="3" t="s">
        <v>910</v>
      </c>
      <c r="G2565" s="3" t="s">
        <v>62</v>
      </c>
      <c r="H2565" s="2" t="s">
        <v>55</v>
      </c>
      <c r="I2565" s="2" t="s">
        <v>6979</v>
      </c>
      <c r="J2565" s="3" t="str">
        <f>HYPERLINK("https://www.boe.es/gazeta/dias/1809/03/17/pdfs/GGB-1809-12.pdf#page=1","Abrir facsímil")</f>
        <v>Abrir facsímil</v>
      </c>
      <c r="K2565" s="3" t="s">
        <v>57</v>
      </c>
    </row>
    <row r="2566" spans="1:11" ht="42" customHeight="1">
      <c r="A2566" s="2" t="s">
        <v>6975</v>
      </c>
      <c r="B2566" s="2" t="s">
        <v>6975</v>
      </c>
      <c r="C2566" s="2" t="s">
        <v>25</v>
      </c>
      <c r="D2566" s="2" t="s">
        <v>107</v>
      </c>
      <c r="E2566" s="3" t="s">
        <v>1603</v>
      </c>
      <c r="F2566" s="3" t="s">
        <v>2120</v>
      </c>
      <c r="G2566" s="3" t="s">
        <v>6980</v>
      </c>
      <c r="H2566" s="2" t="s">
        <v>55</v>
      </c>
      <c r="I2566" s="2" t="s">
        <v>6981</v>
      </c>
      <c r="J2566" s="3" t="str">
        <f>HYPERLINK("https://www.boe.es/gazeta/dias/1809/03/31/pdfs/GMD-1809-90.pdf#page=1","Abrir facsímil")</f>
        <v>Abrir facsímil</v>
      </c>
      <c r="K2566" s="3" t="s">
        <v>57</v>
      </c>
    </row>
    <row r="2567" spans="1:11" ht="42" customHeight="1">
      <c r="A2567" s="2" t="s">
        <v>6975</v>
      </c>
      <c r="B2567" s="2" t="s">
        <v>6975</v>
      </c>
      <c r="C2567" s="2" t="s">
        <v>131</v>
      </c>
      <c r="D2567" s="2" t="s">
        <v>18</v>
      </c>
      <c r="E2567" s="3" t="s">
        <v>1786</v>
      </c>
      <c r="F2567" s="3" t="s">
        <v>2296</v>
      </c>
      <c r="G2567" s="3" t="s">
        <v>3066</v>
      </c>
      <c r="H2567" s="2" t="s">
        <v>55</v>
      </c>
      <c r="I2567" s="2" t="s">
        <v>6982</v>
      </c>
      <c r="J2567" s="3" t="str">
        <f>HYPERLINK("https://www.boe.es/gazeta/dias/1809/08/24/pdfs/GGB-1809-102.pdf#page=4","Abrir facsímil")</f>
        <v>Abrir facsímil</v>
      </c>
      <c r="K2567" s="3" t="s">
        <v>57</v>
      </c>
    </row>
    <row r="2568" spans="1:11" ht="42" customHeight="1">
      <c r="A2568" s="2" t="s">
        <v>6983</v>
      </c>
      <c r="B2568" s="2" t="s">
        <v>6984</v>
      </c>
      <c r="C2568" s="2" t="s">
        <v>25</v>
      </c>
      <c r="D2568" s="2" t="s">
        <v>18</v>
      </c>
      <c r="E2568" s="3" t="s">
        <v>102</v>
      </c>
      <c r="F2568" s="3" t="s">
        <v>103</v>
      </c>
      <c r="G2568" s="3" t="s">
        <v>736</v>
      </c>
      <c r="H2568" s="2" t="s">
        <v>55</v>
      </c>
      <c r="I2568" s="2" t="s">
        <v>6985</v>
      </c>
      <c r="J2568" s="3" t="str">
        <f>HYPERLINK("https://www.boe.es/gazeta/dias/1809/09/28/pdfs/GGB-1809-252.pdf#page=2","Abrir facsímil")</f>
        <v>Abrir facsímil</v>
      </c>
      <c r="K2568" s="3" t="s">
        <v>57</v>
      </c>
    </row>
    <row r="2569" spans="1:11" ht="42" customHeight="1">
      <c r="A2569" s="2" t="s">
        <v>6986</v>
      </c>
      <c r="B2569" s="2" t="s">
        <v>6986</v>
      </c>
      <c r="C2569" s="2" t="s">
        <v>369</v>
      </c>
      <c r="D2569" s="2" t="s">
        <v>18</v>
      </c>
      <c r="E2569" s="3" t="s">
        <v>1678</v>
      </c>
      <c r="F2569" s="3" t="s">
        <v>1679</v>
      </c>
      <c r="G2569" s="3" t="s">
        <v>6987</v>
      </c>
      <c r="H2569" s="2" t="s">
        <v>55</v>
      </c>
      <c r="I2569" s="2" t="s">
        <v>6988</v>
      </c>
      <c r="J2569" s="3" t="str">
        <f>HYPERLINK("https://www.boe.es/gazeta/dias/1809/05/29/pdfs/GGB-1809-32.pdf#page=8","Abrir facsímil")</f>
        <v>Abrir facsímil</v>
      </c>
      <c r="K2569" s="3" t="s">
        <v>57</v>
      </c>
    </row>
    <row r="2570" spans="1:11" ht="42" customHeight="1">
      <c r="A2570" s="2" t="s">
        <v>6989</v>
      </c>
      <c r="B2570" s="2" t="s">
        <v>6989</v>
      </c>
      <c r="C2570" s="2" t="s">
        <v>25</v>
      </c>
      <c r="D2570" s="2" t="s">
        <v>72</v>
      </c>
      <c r="E2570" s="3" t="s">
        <v>118</v>
      </c>
      <c r="F2570" s="3" t="s">
        <v>819</v>
      </c>
      <c r="G2570" s="3" t="s">
        <v>541</v>
      </c>
      <c r="H2570" s="2" t="s">
        <v>55</v>
      </c>
      <c r="I2570" s="2" t="s">
        <v>6990</v>
      </c>
      <c r="J2570" s="3" t="str">
        <f>HYPERLINK("https://www.boe.es/gazeta/dias/1809/09/07/pdfs/GGB-H-1809-162.pdf#page=6","Abrir facsímil")</f>
        <v>Abrir facsímil</v>
      </c>
      <c r="K2570" s="3" t="s">
        <v>57</v>
      </c>
    </row>
    <row r="2571" spans="1:11" ht="42" customHeight="1">
      <c r="A2571" s="2" t="s">
        <v>6991</v>
      </c>
      <c r="B2571" s="2" t="s">
        <v>6991</v>
      </c>
      <c r="C2571" s="2" t="s">
        <v>25</v>
      </c>
      <c r="D2571" s="2" t="s">
        <v>18</v>
      </c>
      <c r="E2571" s="3" t="s">
        <v>179</v>
      </c>
      <c r="F2571" s="3" t="s">
        <v>2418</v>
      </c>
      <c r="G2571" s="3" t="s">
        <v>1646</v>
      </c>
      <c r="H2571" s="2" t="s">
        <v>55</v>
      </c>
      <c r="I2571" s="2" t="s">
        <v>6992</v>
      </c>
      <c r="J2571" s="3" t="str">
        <f>HYPERLINK("https://www.boe.es/gazeta/dias/1809/12/08/pdfs/GMD-1809-343.pdf#page=1","Abrir facsímil")</f>
        <v>Abrir facsímil</v>
      </c>
      <c r="K2571" s="3" t="s">
        <v>57</v>
      </c>
    </row>
    <row r="2572" spans="1:11" ht="42" customHeight="1">
      <c r="A2572" s="2" t="s">
        <v>6993</v>
      </c>
      <c r="B2572" s="2" t="s">
        <v>6993</v>
      </c>
      <c r="C2572" s="2" t="s">
        <v>25</v>
      </c>
      <c r="D2572" s="2" t="s">
        <v>18</v>
      </c>
      <c r="E2572" s="3" t="s">
        <v>883</v>
      </c>
      <c r="F2572" s="3" t="s">
        <v>884</v>
      </c>
      <c r="G2572" s="3" t="s">
        <v>316</v>
      </c>
      <c r="H2572" s="2" t="s">
        <v>55</v>
      </c>
      <c r="I2572" s="2" t="s">
        <v>6994</v>
      </c>
      <c r="J2572" s="3" t="str">
        <f>HYPERLINK("https://www.boe.es/gazeta/dias/1809/12/21/pdfs/GMD-1809-356.pdf#page=4","Abrir facsímil")</f>
        <v>Abrir facsímil</v>
      </c>
      <c r="K2572" s="3" t="s">
        <v>57</v>
      </c>
    </row>
    <row r="2573" spans="1:11" ht="42" customHeight="1">
      <c r="A2573" s="2" t="s">
        <v>6995</v>
      </c>
      <c r="B2573" s="2" t="s">
        <v>6995</v>
      </c>
      <c r="C2573" s="2" t="s">
        <v>25</v>
      </c>
      <c r="D2573" s="2" t="s">
        <v>18</v>
      </c>
      <c r="E2573" s="3" t="s">
        <v>1670</v>
      </c>
      <c r="F2573" s="3" t="s">
        <v>1671</v>
      </c>
      <c r="G2573" s="3" t="s">
        <v>239</v>
      </c>
      <c r="H2573" s="2" t="s">
        <v>55</v>
      </c>
      <c r="I2573" s="2" t="s">
        <v>6996</v>
      </c>
      <c r="J2573" s="3" t="str">
        <f>HYPERLINK("https://www.boe.es/gazeta/dias/1809/02/22/pdfs/GMD-1809-53.pdf#page=2","Abrir facsímil")</f>
        <v>Abrir facsímil</v>
      </c>
      <c r="K2573" s="3" t="s">
        <v>57</v>
      </c>
    </row>
    <row r="2574" spans="1:11" ht="42" customHeight="1">
      <c r="A2574" s="2" t="s">
        <v>6997</v>
      </c>
      <c r="B2574" s="2" t="s">
        <v>6998</v>
      </c>
      <c r="C2574" s="2" t="s">
        <v>131</v>
      </c>
      <c r="D2574" s="2" t="s">
        <v>18</v>
      </c>
      <c r="E2574" s="3" t="s">
        <v>2473</v>
      </c>
      <c r="F2574" s="3" t="s">
        <v>2474</v>
      </c>
      <c r="G2574" s="3" t="s">
        <v>270</v>
      </c>
      <c r="H2574" s="2" t="s">
        <v>55</v>
      </c>
      <c r="I2574" s="2" t="s">
        <v>6999</v>
      </c>
      <c r="J2574" s="3" t="str">
        <f>HYPERLINK("https://www.boe.es/gazeta/dias/1809/02/16/pdfs/GMD-1809-47.pdf#page=4","Abrir facsímil")</f>
        <v>Abrir facsímil</v>
      </c>
      <c r="K2574" s="3" t="s">
        <v>57</v>
      </c>
    </row>
    <row r="2575" spans="1:11" ht="42" customHeight="1">
      <c r="A2575" s="2" t="s">
        <v>7000</v>
      </c>
      <c r="B2575" s="2" t="s">
        <v>7001</v>
      </c>
      <c r="C2575" s="2" t="s">
        <v>25</v>
      </c>
      <c r="D2575" s="2" t="s">
        <v>72</v>
      </c>
      <c r="E2575" s="3" t="s">
        <v>143</v>
      </c>
      <c r="F2575" s="3" t="s">
        <v>705</v>
      </c>
      <c r="G2575" s="3" t="s">
        <v>260</v>
      </c>
      <c r="H2575" s="2" t="s">
        <v>55</v>
      </c>
      <c r="I2575" s="2" t="s">
        <v>7002</v>
      </c>
      <c r="J2575" s="3" t="str">
        <f>HYPERLINK("https://www.boe.es/gazeta/dias/1809/11/16/pdfs/GGB-H-1809-462.pdf#page=7","Abrir facsímil")</f>
        <v>Abrir facsímil</v>
      </c>
      <c r="K2575" s="3" t="s">
        <v>57</v>
      </c>
    </row>
    <row r="2576" spans="1:11" ht="42" customHeight="1">
      <c r="A2576" s="2" t="s">
        <v>7003</v>
      </c>
      <c r="B2576" s="2" t="s">
        <v>7003</v>
      </c>
      <c r="C2576" s="2" t="s">
        <v>17</v>
      </c>
      <c r="D2576" s="2" t="s">
        <v>18</v>
      </c>
      <c r="E2576" s="3" t="s">
        <v>1141</v>
      </c>
      <c r="F2576" s="3" t="s">
        <v>1142</v>
      </c>
      <c r="G2576" s="3" t="s">
        <v>125</v>
      </c>
      <c r="H2576" s="2" t="s">
        <v>55</v>
      </c>
      <c r="I2576" s="2" t="s">
        <v>7004</v>
      </c>
      <c r="J2576" s="3" t="str">
        <f>HYPERLINK("https://www.boe.es/gazeta/dias/1809/03/02/pdfs/GMD-1809-61.pdf#page=3","Abrir facsímil")</f>
        <v>Abrir facsímil</v>
      </c>
      <c r="K2576" s="3" t="s">
        <v>57</v>
      </c>
    </row>
    <row r="2577" spans="1:11" ht="42" customHeight="1">
      <c r="A2577" s="2" t="s">
        <v>7005</v>
      </c>
      <c r="B2577" s="2" t="s">
        <v>7006</v>
      </c>
      <c r="C2577" s="2" t="s">
        <v>17</v>
      </c>
      <c r="D2577" s="2" t="s">
        <v>18</v>
      </c>
      <c r="E2577" s="3" t="s">
        <v>33</v>
      </c>
      <c r="F2577" s="3" t="s">
        <v>34</v>
      </c>
      <c r="G2577" s="3" t="s">
        <v>493</v>
      </c>
      <c r="H2577" s="2" t="s">
        <v>55</v>
      </c>
      <c r="I2577" s="2" t="s">
        <v>7007</v>
      </c>
      <c r="J2577" s="3" t="str">
        <f>HYPERLINK("https://www.boe.es/gazeta/dias/1809/12/19/pdfs/GGB-1809-602.pdf#page=6","Abrir facsímil")</f>
        <v>Abrir facsímil</v>
      </c>
      <c r="K2577" s="3" t="s">
        <v>57</v>
      </c>
    </row>
    <row r="2578" spans="1:11" ht="42" customHeight="1">
      <c r="A2578" s="2" t="s">
        <v>7008</v>
      </c>
      <c r="B2578" s="2" t="s">
        <v>7008</v>
      </c>
      <c r="C2578" s="2" t="s">
        <v>25</v>
      </c>
      <c r="D2578" s="2" t="s">
        <v>26</v>
      </c>
      <c r="E2578" s="3" t="s">
        <v>1502</v>
      </c>
      <c r="F2578" s="3" t="s">
        <v>1503</v>
      </c>
      <c r="G2578" s="3" t="s">
        <v>1504</v>
      </c>
      <c r="H2578" s="2" t="s">
        <v>55</v>
      </c>
      <c r="I2578" s="2" t="s">
        <v>7009</v>
      </c>
      <c r="J2578" s="3" t="str">
        <f>HYPERLINK("https://www.boe.es/gazeta/dias/1809/06/18/pdfs/GMD-1809-169.pdf#page=3","Abrir facsímil")</f>
        <v>Abrir facsímil</v>
      </c>
      <c r="K2578" s="3" t="s">
        <v>57</v>
      </c>
    </row>
    <row r="2579" spans="1:11" ht="42" customHeight="1">
      <c r="A2579" s="2" t="s">
        <v>7010</v>
      </c>
      <c r="B2579" s="2" t="s">
        <v>7010</v>
      </c>
      <c r="C2579" s="2" t="s">
        <v>17</v>
      </c>
      <c r="D2579" s="2" t="s">
        <v>18</v>
      </c>
      <c r="E2579" s="3" t="s">
        <v>616</v>
      </c>
      <c r="F2579" s="3" t="s">
        <v>617</v>
      </c>
      <c r="G2579" s="3" t="s">
        <v>75</v>
      </c>
      <c r="H2579" s="2" t="s">
        <v>22</v>
      </c>
      <c r="I2579" s="2" t="s">
        <v>7011</v>
      </c>
      <c r="J2579" s="3" t="str">
        <f>HYPERLINK("https://www.boe.es/gazeta/dias/1809/10/15/pdfs/GMD-1809-289.pdf#page=1","Abrir facsímil")</f>
        <v>Abrir facsímil</v>
      </c>
      <c r="K2579" s="3" t="s">
        <v>24</v>
      </c>
    </row>
    <row r="2580" spans="1:11" ht="42" customHeight="1">
      <c r="A2580" s="2" t="s">
        <v>7012</v>
      </c>
      <c r="B2580" s="2" t="s">
        <v>7012</v>
      </c>
      <c r="C2580" s="2" t="s">
        <v>131</v>
      </c>
      <c r="D2580" s="2" t="s">
        <v>26</v>
      </c>
      <c r="E2580" s="3" t="s">
        <v>1011</v>
      </c>
      <c r="F2580" s="3" t="s">
        <v>1012</v>
      </c>
      <c r="G2580" s="3" t="s">
        <v>120</v>
      </c>
      <c r="H2580" s="2" t="s">
        <v>55</v>
      </c>
      <c r="I2580" s="2" t="s">
        <v>7013</v>
      </c>
      <c r="J2580" s="3" t="str">
        <f>HYPERLINK("https://www.boe.es/gazeta/dias/1809/08/01/pdfs/GGB-1809-50.pdf#page=3","Abrir facsímil")</f>
        <v>Abrir facsímil</v>
      </c>
      <c r="K2580" s="3" t="s">
        <v>57</v>
      </c>
    </row>
    <row r="2581" spans="1:11" ht="42" customHeight="1">
      <c r="A2581" s="2" t="s">
        <v>7014</v>
      </c>
      <c r="B2581" s="2" t="s">
        <v>7015</v>
      </c>
      <c r="C2581" s="2" t="s">
        <v>25</v>
      </c>
      <c r="D2581" s="2" t="s">
        <v>72</v>
      </c>
      <c r="E2581" s="3" t="s">
        <v>3521</v>
      </c>
      <c r="F2581" s="3" t="s">
        <v>5399</v>
      </c>
      <c r="G2581" s="3" t="s">
        <v>1516</v>
      </c>
      <c r="H2581" s="2" t="s">
        <v>22</v>
      </c>
      <c r="I2581" s="2" t="s">
        <v>7016</v>
      </c>
      <c r="J2581" s="3" t="str">
        <f>HYPERLINK("https://www.boe.es/gazeta/dias/1809/02/24/pdfs/GGB-G-1809-9.pdf#page=5","Abrir facsímil")</f>
        <v>Abrir facsímil</v>
      </c>
      <c r="K2581" s="3" t="s">
        <v>24</v>
      </c>
    </row>
    <row r="2582" spans="1:11" ht="42" customHeight="1">
      <c r="A2582" s="2" t="s">
        <v>7017</v>
      </c>
      <c r="B2582" s="2" t="s">
        <v>7018</v>
      </c>
      <c r="C2582" s="2" t="s">
        <v>25</v>
      </c>
      <c r="D2582" s="2" t="s">
        <v>18</v>
      </c>
      <c r="E2582" s="3" t="s">
        <v>211</v>
      </c>
      <c r="F2582" s="3" t="s">
        <v>212</v>
      </c>
      <c r="G2582" s="3" t="s">
        <v>29</v>
      </c>
      <c r="H2582" s="2" t="s">
        <v>22</v>
      </c>
      <c r="I2582" s="2" t="s">
        <v>7019</v>
      </c>
      <c r="J2582" s="3" t="str">
        <f>HYPERLINK("https://www.boe.es/gazeta/dias/1809/10/27/pdfs/GMD-1809-301.pdf#page=3","Abrir facsímil")</f>
        <v>Abrir facsímil</v>
      </c>
      <c r="K2582" s="3" t="s">
        <v>24</v>
      </c>
    </row>
    <row r="2583" spans="1:11" ht="42" customHeight="1">
      <c r="A2583" s="2" t="s">
        <v>7020</v>
      </c>
      <c r="B2583" s="2" t="s">
        <v>7020</v>
      </c>
      <c r="C2583" s="2" t="s">
        <v>25</v>
      </c>
      <c r="D2583" s="2" t="s">
        <v>107</v>
      </c>
      <c r="E2583" s="3" t="s">
        <v>2705</v>
      </c>
      <c r="F2583" s="3" t="s">
        <v>3622</v>
      </c>
      <c r="G2583" s="3" t="s">
        <v>316</v>
      </c>
      <c r="H2583" s="2" t="s">
        <v>55</v>
      </c>
      <c r="I2583" s="2" t="s">
        <v>7021</v>
      </c>
      <c r="J2583" s="3" t="str">
        <f>HYPERLINK("https://www.boe.es/gazeta/dias/1809/08/05/pdfs/GGB-1809-22.pdf#page=3","Abrir facsímil")</f>
        <v>Abrir facsímil</v>
      </c>
      <c r="K2583" s="3" t="s">
        <v>57</v>
      </c>
    </row>
    <row r="2584" spans="1:11" ht="42" customHeight="1">
      <c r="A2584" s="2" t="s">
        <v>7022</v>
      </c>
      <c r="B2584" s="2" t="s">
        <v>7023</v>
      </c>
      <c r="C2584" s="2" t="s">
        <v>17</v>
      </c>
      <c r="D2584" s="2" t="s">
        <v>18</v>
      </c>
      <c r="E2584" s="3" t="s">
        <v>102</v>
      </c>
      <c r="F2584" s="3" t="s">
        <v>103</v>
      </c>
      <c r="G2584" s="3" t="s">
        <v>1091</v>
      </c>
      <c r="H2584" s="2" t="s">
        <v>55</v>
      </c>
      <c r="I2584" s="2" t="s">
        <v>7024</v>
      </c>
      <c r="J2584" s="3" t="str">
        <f>HYPERLINK("https://www.boe.es/gazeta/dias/1809/09/28/pdfs/GGB-1809-252.pdf#page=6","Abrir facsímil")</f>
        <v>Abrir facsímil</v>
      </c>
      <c r="K2584" s="3" t="s">
        <v>57</v>
      </c>
    </row>
    <row r="2585" spans="1:11" ht="42" customHeight="1">
      <c r="A2585" s="2" t="s">
        <v>7025</v>
      </c>
      <c r="B2585" s="2" t="s">
        <v>7026</v>
      </c>
      <c r="C2585" s="2" t="s">
        <v>25</v>
      </c>
      <c r="D2585" s="2" t="s">
        <v>26</v>
      </c>
      <c r="E2585" s="3" t="s">
        <v>712</v>
      </c>
      <c r="F2585" s="3" t="s">
        <v>713</v>
      </c>
      <c r="G2585" s="3" t="s">
        <v>154</v>
      </c>
      <c r="H2585" s="2" t="s">
        <v>55</v>
      </c>
      <c r="I2585" s="2" t="s">
        <v>7027</v>
      </c>
      <c r="J2585" s="3" t="str">
        <f>HYPERLINK("https://www.boe.es/gazeta/dias/1809/09/10/pdfs/GMD-1809-254.pdf#page=3","Abrir facsímil")</f>
        <v>Abrir facsímil</v>
      </c>
      <c r="K2585" s="3" t="s">
        <v>57</v>
      </c>
    </row>
    <row r="2586" spans="1:11" ht="42" customHeight="1">
      <c r="A2586" s="2" t="s">
        <v>7028</v>
      </c>
      <c r="B2586" s="2" t="s">
        <v>7029</v>
      </c>
      <c r="C2586" s="2" t="s">
        <v>25</v>
      </c>
      <c r="D2586" s="2" t="s">
        <v>80</v>
      </c>
      <c r="E2586" s="3" t="s">
        <v>179</v>
      </c>
      <c r="F2586" s="3" t="s">
        <v>180</v>
      </c>
      <c r="G2586" s="3" t="s">
        <v>239</v>
      </c>
      <c r="H2586" s="2" t="s">
        <v>55</v>
      </c>
      <c r="I2586" s="2" t="s">
        <v>7030</v>
      </c>
      <c r="J2586" s="3" t="str">
        <f>HYPERLINK("https://www.boe.es/gazeta/dias/1809/12/08/pdfs/GGB-1809-552E.pdf#page=2","Abrir facsímil")</f>
        <v>Abrir facsímil</v>
      </c>
      <c r="K2586" s="3" t="s">
        <v>57</v>
      </c>
    </row>
    <row r="2587" spans="1:11" ht="42" customHeight="1">
      <c r="A2587" s="2" t="s">
        <v>7031</v>
      </c>
      <c r="B2587" s="2" t="s">
        <v>7032</v>
      </c>
      <c r="C2587" s="2" t="s">
        <v>17</v>
      </c>
      <c r="D2587" s="2" t="s">
        <v>18</v>
      </c>
      <c r="E2587" s="3" t="s">
        <v>893</v>
      </c>
      <c r="F2587" s="3" t="s">
        <v>1348</v>
      </c>
      <c r="G2587" s="3" t="s">
        <v>1349</v>
      </c>
      <c r="H2587" s="2" t="s">
        <v>55</v>
      </c>
      <c r="I2587" s="2" t="s">
        <v>7033</v>
      </c>
      <c r="J2587" s="3" t="str">
        <f>HYPERLINK("https://www.boe.es/gazeta/dias/1809/11/02/pdfs/GGB-1809-402.pdf#page=4","Abrir facsímil")</f>
        <v>Abrir facsímil</v>
      </c>
      <c r="K2587" s="3" t="s">
        <v>57</v>
      </c>
    </row>
    <row r="2588" spans="1:11" ht="42" customHeight="1">
      <c r="A2588" s="2" t="s">
        <v>7034</v>
      </c>
      <c r="B2588" s="2" t="s">
        <v>7034</v>
      </c>
      <c r="C2588" s="2" t="s">
        <v>25</v>
      </c>
      <c r="D2588" s="2" t="s">
        <v>18</v>
      </c>
      <c r="E2588" s="3" t="s">
        <v>1603</v>
      </c>
      <c r="F2588" s="3" t="s">
        <v>2120</v>
      </c>
      <c r="G2588" s="3" t="s">
        <v>154</v>
      </c>
      <c r="H2588" s="2" t="s">
        <v>55</v>
      </c>
      <c r="I2588" s="2" t="s">
        <v>7035</v>
      </c>
      <c r="J2588" s="3" t="str">
        <f>HYPERLINK("https://www.boe.es/gazeta/dias/1809/03/31/pdfs/GMD-1809-90.pdf#page=2","Abrir facsímil")</f>
        <v>Abrir facsímil</v>
      </c>
      <c r="K2588" s="3" t="s">
        <v>57</v>
      </c>
    </row>
    <row r="2589" spans="1:11" ht="42" customHeight="1">
      <c r="A2589" s="2" t="s">
        <v>7036</v>
      </c>
      <c r="B2589" s="2" t="s">
        <v>7037</v>
      </c>
      <c r="C2589" s="2" t="s">
        <v>25</v>
      </c>
      <c r="D2589" s="2" t="s">
        <v>80</v>
      </c>
      <c r="E2589" s="3" t="s">
        <v>81</v>
      </c>
      <c r="F2589" s="3" t="s">
        <v>82</v>
      </c>
      <c r="G2589" s="3" t="s">
        <v>3332</v>
      </c>
      <c r="H2589" s="2" t="s">
        <v>55</v>
      </c>
      <c r="I2589" s="2" t="s">
        <v>7038</v>
      </c>
      <c r="J2589" s="3" t="str">
        <f>HYPERLINK("https://www.boe.es/gazeta/dias/1809/04/11/pdfs/GGB-1809-16E.pdf#page=8","Abrir facsímil")</f>
        <v>Abrir facsímil</v>
      </c>
      <c r="K2589" s="3" t="s">
        <v>57</v>
      </c>
    </row>
    <row r="2590" spans="1:11" ht="42" customHeight="1">
      <c r="A2590" s="2" t="s">
        <v>7039</v>
      </c>
      <c r="B2590" s="2" t="s">
        <v>7040</v>
      </c>
      <c r="C2590" s="2" t="s">
        <v>288</v>
      </c>
      <c r="D2590" s="2" t="s">
        <v>80</v>
      </c>
      <c r="E2590" s="3" t="s">
        <v>179</v>
      </c>
      <c r="F2590" s="3" t="s">
        <v>180</v>
      </c>
      <c r="G2590" s="3" t="s">
        <v>2814</v>
      </c>
      <c r="H2590" s="2" t="s">
        <v>55</v>
      </c>
      <c r="I2590" s="2" t="s">
        <v>7041</v>
      </c>
      <c r="J2590" s="3" t="str">
        <f>HYPERLINK("https://www.boe.es/gazeta/dias/1809/12/08/pdfs/GGB-1809-552E.pdf#page=4","Abrir facsímil")</f>
        <v>Abrir facsímil</v>
      </c>
      <c r="K2590" s="3" t="s">
        <v>57</v>
      </c>
    </row>
    <row r="2591" spans="1:11" ht="42" customHeight="1">
      <c r="A2591" s="2" t="s">
        <v>7042</v>
      </c>
      <c r="B2591" s="2" t="s">
        <v>7043</v>
      </c>
      <c r="C2591" s="2" t="s">
        <v>25</v>
      </c>
      <c r="D2591" s="2" t="s">
        <v>80</v>
      </c>
      <c r="E2591" s="3" t="s">
        <v>179</v>
      </c>
      <c r="F2591" s="3" t="s">
        <v>180</v>
      </c>
      <c r="G2591" s="3" t="s">
        <v>239</v>
      </c>
      <c r="H2591" s="2" t="s">
        <v>55</v>
      </c>
      <c r="I2591" s="2" t="s">
        <v>7044</v>
      </c>
      <c r="J2591" s="3" t="str">
        <f>HYPERLINK("https://www.boe.es/gazeta/dias/1809/12/08/pdfs/GGB-1809-552E.pdf#page=2","Abrir facsímil")</f>
        <v>Abrir facsímil</v>
      </c>
      <c r="K2591" s="3" t="s">
        <v>57</v>
      </c>
    </row>
    <row r="2592" spans="1:11" ht="42" customHeight="1">
      <c r="A2592" s="2" t="s">
        <v>7045</v>
      </c>
      <c r="B2592" s="2" t="s">
        <v>7046</v>
      </c>
      <c r="C2592" s="2" t="s">
        <v>17</v>
      </c>
      <c r="D2592" s="2" t="s">
        <v>18</v>
      </c>
      <c r="E2592" s="3" t="s">
        <v>33</v>
      </c>
      <c r="F2592" s="3" t="s">
        <v>34</v>
      </c>
      <c r="G2592" s="3" t="s">
        <v>595</v>
      </c>
      <c r="H2592" s="2" t="s">
        <v>55</v>
      </c>
      <c r="I2592" s="2" t="s">
        <v>7047</v>
      </c>
      <c r="J2592" s="3" t="str">
        <f>HYPERLINK("https://www.boe.es/gazeta/dias/1809/12/19/pdfs/GGB-1809-602.pdf#page=7","Abrir facsímil")</f>
        <v>Abrir facsímil</v>
      </c>
      <c r="K2592" s="3" t="s">
        <v>57</v>
      </c>
    </row>
    <row r="2593" spans="1:11" ht="42" customHeight="1">
      <c r="A2593" s="2" t="s">
        <v>7048</v>
      </c>
      <c r="B2593" s="2" t="s">
        <v>7049</v>
      </c>
      <c r="C2593" s="2" t="s">
        <v>25</v>
      </c>
      <c r="D2593" s="2" t="s">
        <v>40</v>
      </c>
      <c r="E2593" s="3" t="s">
        <v>27</v>
      </c>
      <c r="F2593" s="3" t="s">
        <v>254</v>
      </c>
      <c r="G2593" s="3" t="s">
        <v>255</v>
      </c>
      <c r="H2593" s="2" t="s">
        <v>55</v>
      </c>
      <c r="I2593" s="2" t="s">
        <v>7050</v>
      </c>
      <c r="J2593" s="3" t="str">
        <f>HYPERLINK("https://www.boe.es/gazeta/dias/1809/05/12/pdfs/GGB-1809-26.pdf#page=12","Abrir facsímil")</f>
        <v>Abrir facsímil</v>
      </c>
      <c r="K2593" s="3" t="s">
        <v>57</v>
      </c>
    </row>
    <row r="2594" spans="1:11" ht="42" customHeight="1">
      <c r="A2594" s="2" t="s">
        <v>7051</v>
      </c>
      <c r="B2594" s="2" t="s">
        <v>7052</v>
      </c>
      <c r="C2594" s="2" t="s">
        <v>25</v>
      </c>
      <c r="D2594" s="2" t="s">
        <v>72</v>
      </c>
      <c r="E2594" s="3" t="s">
        <v>118</v>
      </c>
      <c r="F2594" s="3" t="s">
        <v>819</v>
      </c>
      <c r="G2594" s="3" t="s">
        <v>541</v>
      </c>
      <c r="H2594" s="2" t="s">
        <v>55</v>
      </c>
      <c r="I2594" s="2" t="s">
        <v>7053</v>
      </c>
      <c r="J2594" s="3" t="str">
        <f>HYPERLINK("https://www.boe.es/gazeta/dias/1809/09/07/pdfs/GGB-H-1809-162.pdf#page=6","Abrir facsímil")</f>
        <v>Abrir facsímil</v>
      </c>
      <c r="K2594" s="3" t="s">
        <v>57</v>
      </c>
    </row>
    <row r="2595" spans="1:11" ht="42" customHeight="1">
      <c r="A2595" s="2" t="s">
        <v>7054</v>
      </c>
      <c r="B2595" s="2" t="s">
        <v>7054</v>
      </c>
      <c r="C2595" s="2" t="s">
        <v>25</v>
      </c>
      <c r="D2595" s="2" t="s">
        <v>18</v>
      </c>
      <c r="E2595" s="3" t="s">
        <v>211</v>
      </c>
      <c r="F2595" s="3" t="s">
        <v>212</v>
      </c>
      <c r="G2595" s="3" t="s">
        <v>872</v>
      </c>
      <c r="H2595" s="2" t="s">
        <v>55</v>
      </c>
      <c r="I2595" s="2" t="s">
        <v>7055</v>
      </c>
      <c r="J2595" s="3" t="str">
        <f>HYPERLINK("https://www.boe.es/gazeta/dias/1809/10/27/pdfs/GMD-1809-301.pdf#page=1","Abrir facsímil")</f>
        <v>Abrir facsímil</v>
      </c>
      <c r="K2595" s="3" t="s">
        <v>57</v>
      </c>
    </row>
    <row r="2596" spans="1:11" ht="42" customHeight="1">
      <c r="A2596" s="2" t="s">
        <v>7054</v>
      </c>
      <c r="B2596" s="2" t="s">
        <v>7054</v>
      </c>
      <c r="C2596" s="2" t="s">
        <v>25</v>
      </c>
      <c r="D2596" s="2" t="s">
        <v>18</v>
      </c>
      <c r="E2596" s="3" t="s">
        <v>211</v>
      </c>
      <c r="F2596" s="3" t="s">
        <v>212</v>
      </c>
      <c r="G2596" s="3" t="s">
        <v>467</v>
      </c>
      <c r="H2596" s="2" t="s">
        <v>55</v>
      </c>
      <c r="I2596" s="2" t="s">
        <v>7056</v>
      </c>
      <c r="J2596" s="3" t="str">
        <f>HYPERLINK("https://www.boe.es/gazeta/dias/1809/10/27/pdfs/GMD-1809-301.pdf#page=2","Abrir facsímil")</f>
        <v>Abrir facsímil</v>
      </c>
      <c r="K2596" s="3" t="s">
        <v>57</v>
      </c>
    </row>
    <row r="2597" spans="1:11" ht="42" customHeight="1">
      <c r="A2597" s="2" t="s">
        <v>7054</v>
      </c>
      <c r="B2597" s="2" t="s">
        <v>7054</v>
      </c>
      <c r="C2597" s="2" t="s">
        <v>25</v>
      </c>
      <c r="D2597" s="2" t="s">
        <v>18</v>
      </c>
      <c r="E2597" s="3" t="s">
        <v>211</v>
      </c>
      <c r="F2597" s="3" t="s">
        <v>212</v>
      </c>
      <c r="G2597" s="3" t="s">
        <v>29</v>
      </c>
      <c r="H2597" s="2" t="s">
        <v>55</v>
      </c>
      <c r="I2597" s="2" t="s">
        <v>7057</v>
      </c>
      <c r="J2597" s="3" t="str">
        <f>HYPERLINK("https://www.boe.es/gazeta/dias/1809/10/27/pdfs/GMD-1809-301.pdf#page=3","Abrir facsímil")</f>
        <v>Abrir facsímil</v>
      </c>
      <c r="K2597" s="3" t="s">
        <v>57</v>
      </c>
    </row>
    <row r="2598" spans="1:11" ht="42" customHeight="1">
      <c r="A2598" s="2" t="s">
        <v>7054</v>
      </c>
      <c r="B2598" s="2" t="s">
        <v>7054</v>
      </c>
      <c r="C2598" s="2" t="s">
        <v>25</v>
      </c>
      <c r="D2598" s="2" t="s">
        <v>18</v>
      </c>
      <c r="E2598" s="3" t="s">
        <v>211</v>
      </c>
      <c r="F2598" s="3" t="s">
        <v>212</v>
      </c>
      <c r="G2598" s="3" t="s">
        <v>213</v>
      </c>
      <c r="H2598" s="2" t="s">
        <v>55</v>
      </c>
      <c r="I2598" s="2" t="s">
        <v>7058</v>
      </c>
      <c r="J2598" s="3" t="str">
        <f>HYPERLINK("https://www.boe.es/gazeta/dias/1809/10/27/pdfs/GMD-1809-301.pdf#page=4","Abrir facsímil")</f>
        <v>Abrir facsímil</v>
      </c>
      <c r="K2598" s="3" t="s">
        <v>57</v>
      </c>
    </row>
    <row r="2599" spans="1:11" ht="42" customHeight="1">
      <c r="A2599" s="2" t="s">
        <v>7054</v>
      </c>
      <c r="B2599" s="2" t="s">
        <v>7054</v>
      </c>
      <c r="C2599" s="2" t="s">
        <v>25</v>
      </c>
      <c r="D2599" s="2" t="s">
        <v>26</v>
      </c>
      <c r="E2599" s="3" t="s">
        <v>216</v>
      </c>
      <c r="F2599" s="3" t="s">
        <v>217</v>
      </c>
      <c r="G2599" s="3" t="s">
        <v>75</v>
      </c>
      <c r="H2599" s="2" t="s">
        <v>55</v>
      </c>
      <c r="I2599" s="2" t="s">
        <v>7059</v>
      </c>
      <c r="J2599" s="3" t="str">
        <f>HYPERLINK("https://www.boe.es/gazeta/dias/1809/12/05/pdfs/GGB-H-1809-542.pdf#page=2","Abrir facsímil")</f>
        <v>Abrir facsímil</v>
      </c>
      <c r="K2599" s="3" t="s">
        <v>57</v>
      </c>
    </row>
    <row r="2600" spans="1:11" ht="42" customHeight="1">
      <c r="A2600" s="2" t="s">
        <v>7054</v>
      </c>
      <c r="B2600" s="2" t="s">
        <v>7054</v>
      </c>
      <c r="C2600" s="2" t="s">
        <v>25</v>
      </c>
      <c r="D2600" s="2" t="s">
        <v>26</v>
      </c>
      <c r="E2600" s="3" t="s">
        <v>216</v>
      </c>
      <c r="F2600" s="3" t="s">
        <v>217</v>
      </c>
      <c r="G2600" s="3" t="s">
        <v>94</v>
      </c>
      <c r="H2600" s="2" t="s">
        <v>55</v>
      </c>
      <c r="I2600" s="2" t="s">
        <v>7060</v>
      </c>
      <c r="J2600" s="3" t="str">
        <f>HYPERLINK("https://www.boe.es/gazeta/dias/1809/12/05/pdfs/GGB-H-1809-542.pdf#page=5","Abrir facsímil")</f>
        <v>Abrir facsímil</v>
      </c>
      <c r="K2600" s="3" t="s">
        <v>57</v>
      </c>
    </row>
    <row r="2601" spans="1:11" ht="42" customHeight="1">
      <c r="A2601" s="2" t="s">
        <v>7054</v>
      </c>
      <c r="B2601" s="2" t="s">
        <v>7054</v>
      </c>
      <c r="C2601" s="2" t="s">
        <v>25</v>
      </c>
      <c r="D2601" s="2" t="s">
        <v>72</v>
      </c>
      <c r="E2601" s="3" t="s">
        <v>216</v>
      </c>
      <c r="F2601" s="3" t="s">
        <v>217</v>
      </c>
      <c r="G2601" s="3" t="s">
        <v>218</v>
      </c>
      <c r="H2601" s="2" t="s">
        <v>55</v>
      </c>
      <c r="I2601" s="2" t="s">
        <v>7061</v>
      </c>
      <c r="J2601" s="3" t="str">
        <f>HYPERLINK("https://www.boe.es/gazeta/dias/1809/12/05/pdfs/GGB-H-1809-542.pdf#page=6","Abrir facsímil")</f>
        <v>Abrir facsímil</v>
      </c>
      <c r="K2601" s="3" t="s">
        <v>57</v>
      </c>
    </row>
    <row r="2602" spans="1:11" ht="42" customHeight="1">
      <c r="A2602" s="2" t="s">
        <v>7054</v>
      </c>
      <c r="B2602" s="2" t="s">
        <v>7054</v>
      </c>
      <c r="C2602" s="2" t="s">
        <v>25</v>
      </c>
      <c r="D2602" s="2" t="s">
        <v>26</v>
      </c>
      <c r="E2602" s="3" t="s">
        <v>473</v>
      </c>
      <c r="F2602" s="3" t="s">
        <v>474</v>
      </c>
      <c r="G2602" s="3" t="s">
        <v>234</v>
      </c>
      <c r="H2602" s="2" t="s">
        <v>55</v>
      </c>
      <c r="I2602" s="2" t="s">
        <v>7062</v>
      </c>
      <c r="J2602" s="3" t="str">
        <f>HYPERLINK("https://www.boe.es/gazeta/dias/1809/12/28/pdfs/GMD-1809-363.pdf#page=3","Abrir facsímil")</f>
        <v>Abrir facsímil</v>
      </c>
      <c r="K2602" s="3" t="s">
        <v>57</v>
      </c>
    </row>
    <row r="2603" spans="1:11" ht="42" customHeight="1">
      <c r="A2603" s="2" t="s">
        <v>7063</v>
      </c>
      <c r="B2603" s="2" t="s">
        <v>7064</v>
      </c>
      <c r="C2603" s="2" t="s">
        <v>25</v>
      </c>
      <c r="D2603" s="2" t="s">
        <v>40</v>
      </c>
      <c r="E2603" s="3" t="s">
        <v>211</v>
      </c>
      <c r="F2603" s="3" t="s">
        <v>212</v>
      </c>
      <c r="G2603" s="3" t="s">
        <v>872</v>
      </c>
      <c r="H2603" s="2" t="s">
        <v>55</v>
      </c>
      <c r="I2603" s="2" t="s">
        <v>7065</v>
      </c>
      <c r="J2603" s="3" t="str">
        <f>HYPERLINK("https://www.boe.es/gazeta/dias/1809/10/27/pdfs/GMD-1809-301.pdf#page=1","Abrir facsímil")</f>
        <v>Abrir facsímil</v>
      </c>
      <c r="K2603" s="3" t="s">
        <v>57</v>
      </c>
    </row>
    <row r="2604" spans="1:11" ht="42" customHeight="1">
      <c r="A2604" s="2" t="s">
        <v>7063</v>
      </c>
      <c r="B2604" s="2" t="s">
        <v>7064</v>
      </c>
      <c r="C2604" s="2" t="s">
        <v>25</v>
      </c>
      <c r="D2604" s="2" t="s">
        <v>40</v>
      </c>
      <c r="E2604" s="3" t="s">
        <v>216</v>
      </c>
      <c r="F2604" s="3" t="s">
        <v>217</v>
      </c>
      <c r="G2604" s="3" t="s">
        <v>75</v>
      </c>
      <c r="H2604" s="2" t="s">
        <v>55</v>
      </c>
      <c r="I2604" s="2" t="s">
        <v>7066</v>
      </c>
      <c r="J2604" s="3" t="str">
        <f>HYPERLINK("https://www.boe.es/gazeta/dias/1809/12/05/pdfs/GGB-H-1809-542.pdf#page=2","Abrir facsímil")</f>
        <v>Abrir facsímil</v>
      </c>
      <c r="K2604" s="3" t="s">
        <v>57</v>
      </c>
    </row>
    <row r="2605" spans="1:11" ht="42" customHeight="1">
      <c r="A2605" s="2" t="s">
        <v>7067</v>
      </c>
      <c r="B2605" s="2" t="s">
        <v>7068</v>
      </c>
      <c r="C2605" s="2" t="s">
        <v>17</v>
      </c>
      <c r="D2605" s="2" t="s">
        <v>18</v>
      </c>
      <c r="E2605" s="3" t="s">
        <v>211</v>
      </c>
      <c r="F2605" s="3" t="s">
        <v>212</v>
      </c>
      <c r="G2605" s="3" t="s">
        <v>29</v>
      </c>
      <c r="H2605" s="2" t="s">
        <v>55</v>
      </c>
      <c r="I2605" s="2" t="s">
        <v>7069</v>
      </c>
      <c r="J2605" s="3" t="str">
        <f>HYPERLINK("https://www.boe.es/gazeta/dias/1809/10/27/pdfs/GMD-1809-301.pdf#page=3","Abrir facsímil")</f>
        <v>Abrir facsímil</v>
      </c>
      <c r="K2605" s="3" t="s">
        <v>57</v>
      </c>
    </row>
    <row r="2606" spans="1:11" ht="42" customHeight="1">
      <c r="A2606" s="2" t="s">
        <v>7067</v>
      </c>
      <c r="B2606" s="2" t="s">
        <v>7068</v>
      </c>
      <c r="C2606" s="2" t="s">
        <v>25</v>
      </c>
      <c r="D2606" s="2" t="s">
        <v>72</v>
      </c>
      <c r="E2606" s="3" t="s">
        <v>216</v>
      </c>
      <c r="F2606" s="3" t="s">
        <v>217</v>
      </c>
      <c r="G2606" s="3" t="s">
        <v>94</v>
      </c>
      <c r="H2606" s="2" t="s">
        <v>55</v>
      </c>
      <c r="I2606" s="2" t="s">
        <v>7070</v>
      </c>
      <c r="J2606" s="3" t="str">
        <f>HYPERLINK("https://www.boe.es/gazeta/dias/1809/12/05/pdfs/GGB-H-1809-542.pdf#page=5","Abrir facsímil")</f>
        <v>Abrir facsímil</v>
      </c>
      <c r="K2606" s="3" t="s">
        <v>57</v>
      </c>
    </row>
    <row r="2607" spans="1:11" ht="42" customHeight="1">
      <c r="A2607" s="2" t="s">
        <v>7071</v>
      </c>
      <c r="B2607" s="2" t="s">
        <v>7072</v>
      </c>
      <c r="C2607" s="2" t="s">
        <v>25</v>
      </c>
      <c r="D2607" s="2" t="s">
        <v>26</v>
      </c>
      <c r="E2607" s="3" t="s">
        <v>216</v>
      </c>
      <c r="F2607" s="3" t="s">
        <v>217</v>
      </c>
      <c r="G2607" s="3" t="s">
        <v>587</v>
      </c>
      <c r="H2607" s="2" t="s">
        <v>55</v>
      </c>
      <c r="I2607" s="2" t="s">
        <v>7073</v>
      </c>
      <c r="J2607" s="3" t="str">
        <f>HYPERLINK("https://www.boe.es/gazeta/dias/1809/12/05/pdfs/GGB-H-1809-542.pdf#page=4","Abrir facsímil")</f>
        <v>Abrir facsímil</v>
      </c>
      <c r="K2607" s="3" t="s">
        <v>57</v>
      </c>
    </row>
    <row r="2608" spans="1:11" ht="42" customHeight="1">
      <c r="A2608" s="2" t="s">
        <v>7074</v>
      </c>
      <c r="B2608" s="2" t="s">
        <v>7075</v>
      </c>
      <c r="C2608" s="2" t="s">
        <v>25</v>
      </c>
      <c r="D2608" s="2" t="s">
        <v>18</v>
      </c>
      <c r="E2608" s="3" t="s">
        <v>211</v>
      </c>
      <c r="F2608" s="3" t="s">
        <v>212</v>
      </c>
      <c r="G2608" s="3" t="s">
        <v>29</v>
      </c>
      <c r="H2608" s="2" t="s">
        <v>55</v>
      </c>
      <c r="I2608" s="2" t="s">
        <v>7076</v>
      </c>
      <c r="J2608" s="3" t="str">
        <f>HYPERLINK("https://www.boe.es/gazeta/dias/1809/10/27/pdfs/GMD-1809-301.pdf#page=3","Abrir facsímil")</f>
        <v>Abrir facsímil</v>
      </c>
      <c r="K2608" s="3" t="s">
        <v>57</v>
      </c>
    </row>
    <row r="2609" spans="1:11" ht="42" customHeight="1">
      <c r="A2609" s="2" t="s">
        <v>7074</v>
      </c>
      <c r="B2609" s="2" t="s">
        <v>7075</v>
      </c>
      <c r="C2609" s="2" t="s">
        <v>17</v>
      </c>
      <c r="D2609" s="2" t="s">
        <v>80</v>
      </c>
      <c r="E2609" s="3" t="s">
        <v>179</v>
      </c>
      <c r="F2609" s="3" t="s">
        <v>180</v>
      </c>
      <c r="G2609" s="3" t="s">
        <v>62</v>
      </c>
      <c r="H2609" s="2" t="s">
        <v>55</v>
      </c>
      <c r="I2609" s="2" t="s">
        <v>7077</v>
      </c>
      <c r="J2609" s="3" t="str">
        <f>HYPERLINK("https://www.boe.es/gazeta/dias/1809/12/08/pdfs/GGB-1809-552E.pdf#page=1","Abrir facsímil")</f>
        <v>Abrir facsímil</v>
      </c>
      <c r="K2609" s="3" t="s">
        <v>57</v>
      </c>
    </row>
    <row r="2610" spans="1:11" ht="42" customHeight="1">
      <c r="A2610" s="2" t="s">
        <v>7078</v>
      </c>
      <c r="B2610" s="2" t="s">
        <v>7079</v>
      </c>
      <c r="C2610" s="2" t="s">
        <v>17</v>
      </c>
      <c r="D2610" s="2" t="s">
        <v>40</v>
      </c>
      <c r="E2610" s="3" t="s">
        <v>1586</v>
      </c>
      <c r="F2610" s="3" t="s">
        <v>1587</v>
      </c>
      <c r="G2610" s="3" t="s">
        <v>1909</v>
      </c>
      <c r="H2610" s="2" t="s">
        <v>55</v>
      </c>
      <c r="I2610" s="2" t="s">
        <v>7080</v>
      </c>
      <c r="J2610" s="3" t="str">
        <f>HYPERLINK("https://www.boe.es/gazeta/dias/1809/02/20/pdfs/GMD-1809-51.pdf#page=4","Abrir facsímil")</f>
        <v>Abrir facsímil</v>
      </c>
      <c r="K2610" s="3" t="s">
        <v>57</v>
      </c>
    </row>
    <row r="2611" spans="1:11" ht="42" customHeight="1">
      <c r="A2611" s="2" t="s">
        <v>7081</v>
      </c>
      <c r="B2611" s="2" t="s">
        <v>7082</v>
      </c>
      <c r="C2611" s="2" t="s">
        <v>369</v>
      </c>
      <c r="D2611" s="2" t="s">
        <v>18</v>
      </c>
      <c r="E2611" s="3" t="s">
        <v>635</v>
      </c>
      <c r="F2611" s="3" t="s">
        <v>636</v>
      </c>
      <c r="G2611" s="3" t="s">
        <v>553</v>
      </c>
      <c r="H2611" s="2" t="s">
        <v>55</v>
      </c>
      <c r="I2611" s="2" t="s">
        <v>7083</v>
      </c>
      <c r="J2611" s="3" t="str">
        <f>HYPERLINK("https://www.boe.es/gazeta/dias/1809/12/16/pdfs/GGB-1809-592.pdf#page=1","Abrir facsímil")</f>
        <v>Abrir facsímil</v>
      </c>
      <c r="K2611" s="3" t="s">
        <v>57</v>
      </c>
    </row>
    <row r="2612" spans="1:11" ht="42" customHeight="1">
      <c r="A2612" s="2" t="s">
        <v>7084</v>
      </c>
      <c r="B2612" s="2" t="s">
        <v>7084</v>
      </c>
      <c r="C2612" s="2" t="s">
        <v>25</v>
      </c>
      <c r="D2612" s="2" t="s">
        <v>18</v>
      </c>
      <c r="E2612" s="3" t="s">
        <v>134</v>
      </c>
      <c r="F2612" s="3" t="s">
        <v>135</v>
      </c>
      <c r="G2612" s="3" t="s">
        <v>29</v>
      </c>
      <c r="H2612" s="2" t="s">
        <v>55</v>
      </c>
      <c r="I2612" s="2" t="s">
        <v>7085</v>
      </c>
      <c r="J2612" s="3" t="str">
        <f>HYPERLINK("https://www.boe.es/gazeta/dias/1809/06/07/pdfs/GMD-1809-158.pdf#page=3","Abrir facsímil")</f>
        <v>Abrir facsímil</v>
      </c>
      <c r="K2612" s="3" t="s">
        <v>57</v>
      </c>
    </row>
    <row r="2613" spans="1:11" ht="42" customHeight="1">
      <c r="A2613" s="2" t="s">
        <v>7086</v>
      </c>
      <c r="B2613" s="2" t="s">
        <v>7087</v>
      </c>
      <c r="C2613" s="2" t="s">
        <v>17</v>
      </c>
      <c r="D2613" s="2" t="s">
        <v>18</v>
      </c>
      <c r="E2613" s="3" t="s">
        <v>599</v>
      </c>
      <c r="F2613" s="3" t="s">
        <v>600</v>
      </c>
      <c r="G2613" s="3" t="s">
        <v>601</v>
      </c>
      <c r="H2613" s="2" t="s">
        <v>55</v>
      </c>
      <c r="I2613" s="2" t="s">
        <v>7088</v>
      </c>
      <c r="J2613" s="3" t="str">
        <f>HYPERLINK("https://www.boe.es/gazeta/dias/1809/01/19/pdfs/GMD-1809-19.pdf#page=4","Abrir facsímil")</f>
        <v>Abrir facsímil</v>
      </c>
      <c r="K2613" s="3" t="s">
        <v>57</v>
      </c>
    </row>
    <row r="2614" spans="1:11" ht="42" customHeight="1">
      <c r="A2614" s="2" t="s">
        <v>7089</v>
      </c>
      <c r="B2614" s="2" t="s">
        <v>7089</v>
      </c>
      <c r="C2614" s="2" t="s">
        <v>131</v>
      </c>
      <c r="D2614" s="2" t="s">
        <v>18</v>
      </c>
      <c r="E2614" s="3" t="s">
        <v>184</v>
      </c>
      <c r="F2614" s="3" t="s">
        <v>7090</v>
      </c>
      <c r="G2614" s="3" t="s">
        <v>110</v>
      </c>
      <c r="H2614" s="2" t="s">
        <v>55</v>
      </c>
      <c r="I2614" s="2" t="s">
        <v>7091</v>
      </c>
      <c r="J2614" s="3" t="str">
        <f>HYPERLINK("https://www.boe.es/gazeta/dias/1809/01/07/pdfs/GMD-1809-7.pdf#page=2","Abrir facsímil")</f>
        <v>Abrir facsímil</v>
      </c>
      <c r="K2614" s="3" t="s">
        <v>57</v>
      </c>
    </row>
    <row r="2615" spans="1:11" ht="42" customHeight="1">
      <c r="A2615" s="2" t="s">
        <v>7092</v>
      </c>
      <c r="B2615" s="2" t="s">
        <v>7093</v>
      </c>
      <c r="C2615" s="2" t="s">
        <v>25</v>
      </c>
      <c r="D2615" s="2" t="s">
        <v>72</v>
      </c>
      <c r="E2615" s="3" t="s">
        <v>473</v>
      </c>
      <c r="F2615" s="3" t="s">
        <v>1199</v>
      </c>
      <c r="G2615" s="3" t="s">
        <v>94</v>
      </c>
      <c r="H2615" s="2" t="s">
        <v>55</v>
      </c>
      <c r="I2615" s="2" t="s">
        <v>7094</v>
      </c>
      <c r="J2615" s="3" t="str">
        <f>HYPERLINK("https://www.boe.es/gazeta/dias/1809/12/28/pdfs/GGB-H-1809-642.pdf#page=5","Abrir facsímil")</f>
        <v>Abrir facsímil</v>
      </c>
      <c r="K2615" s="3" t="s">
        <v>57</v>
      </c>
    </row>
    <row r="2616" spans="1:11" ht="42" customHeight="1">
      <c r="A2616" s="2" t="s">
        <v>7095</v>
      </c>
      <c r="B2616" s="2" t="s">
        <v>7095</v>
      </c>
      <c r="C2616" s="2" t="s">
        <v>25</v>
      </c>
      <c r="D2616" s="2" t="s">
        <v>26</v>
      </c>
      <c r="E2616" s="3" t="s">
        <v>518</v>
      </c>
      <c r="F2616" s="3" t="s">
        <v>519</v>
      </c>
      <c r="G2616" s="3" t="s">
        <v>75</v>
      </c>
      <c r="H2616" s="2" t="s">
        <v>55</v>
      </c>
      <c r="I2616" s="2" t="s">
        <v>7096</v>
      </c>
      <c r="J2616" s="3" t="str">
        <f>HYPERLINK("https://www.boe.es/gazeta/dias/1809/10/13/pdfs/GMD-1809-287.pdf#page=4","Abrir facsímil")</f>
        <v>Abrir facsímil</v>
      </c>
      <c r="K2616" s="3" t="s">
        <v>57</v>
      </c>
    </row>
    <row r="2617" spans="1:11" ht="42" customHeight="1">
      <c r="A2617" s="2" t="s">
        <v>7097</v>
      </c>
      <c r="B2617" s="2" t="s">
        <v>7097</v>
      </c>
      <c r="C2617" s="2" t="s">
        <v>25</v>
      </c>
      <c r="D2617" s="2" t="s">
        <v>26</v>
      </c>
      <c r="E2617" s="3" t="s">
        <v>118</v>
      </c>
      <c r="F2617" s="3" t="s">
        <v>119</v>
      </c>
      <c r="G2617" s="3" t="s">
        <v>129</v>
      </c>
      <c r="H2617" s="2" t="s">
        <v>55</v>
      </c>
      <c r="I2617" s="2" t="s">
        <v>7098</v>
      </c>
      <c r="J2617" s="3" t="str">
        <f>HYPERLINK("https://www.boe.es/gazeta/dias/1809/09/07/pdfs/GMD-1809-251.pdf#page=2","Abrir facsímil")</f>
        <v>Abrir facsímil</v>
      </c>
      <c r="K2617" s="3" t="s">
        <v>57</v>
      </c>
    </row>
    <row r="2618" spans="1:11" ht="42" customHeight="1">
      <c r="A2618" s="2" t="s">
        <v>7099</v>
      </c>
      <c r="B2618" s="2" t="s">
        <v>7099</v>
      </c>
      <c r="C2618" s="2" t="s">
        <v>25</v>
      </c>
      <c r="D2618" s="2" t="s">
        <v>26</v>
      </c>
      <c r="E2618" s="3" t="s">
        <v>81</v>
      </c>
      <c r="F2618" s="3" t="s">
        <v>1251</v>
      </c>
      <c r="G2618" s="3" t="s">
        <v>1252</v>
      </c>
      <c r="H2618" s="2" t="s">
        <v>55</v>
      </c>
      <c r="I2618" s="2" t="s">
        <v>7100</v>
      </c>
      <c r="J2618" s="3" t="str">
        <f>HYPERLINK("https://www.boe.es/gazeta/dias/1809/04/11/pdfs/GMD-1809-101.pdf#page=1","Abrir facsímil")</f>
        <v>Abrir facsímil</v>
      </c>
      <c r="K2618" s="3" t="s">
        <v>57</v>
      </c>
    </row>
    <row r="2619" spans="1:11" ht="42" customHeight="1">
      <c r="A2619" s="2" t="s">
        <v>7101</v>
      </c>
      <c r="B2619" s="2" t="s">
        <v>7102</v>
      </c>
      <c r="C2619" s="2" t="s">
        <v>288</v>
      </c>
      <c r="D2619" s="2" t="s">
        <v>40</v>
      </c>
      <c r="E2619" s="3" t="s">
        <v>158</v>
      </c>
      <c r="F2619" s="3" t="s">
        <v>159</v>
      </c>
      <c r="G2619" s="3" t="s">
        <v>239</v>
      </c>
      <c r="H2619" s="2" t="s">
        <v>55</v>
      </c>
      <c r="I2619" s="2" t="s">
        <v>7103</v>
      </c>
      <c r="J2619" s="3" t="str">
        <f>HYPERLINK("https://www.boe.es/gazeta/dias/1809/02/10/pdfs/GGB-1809-7.pdf#page=11","Abrir facsímil")</f>
        <v>Abrir facsímil</v>
      </c>
      <c r="K2619" s="3" t="s">
        <v>57</v>
      </c>
    </row>
    <row r="2620" spans="1:11" ht="42" customHeight="1">
      <c r="A2620" s="2" t="s">
        <v>7104</v>
      </c>
      <c r="B2620" s="2" t="s">
        <v>7105</v>
      </c>
      <c r="C2620" s="2" t="s">
        <v>131</v>
      </c>
      <c r="D2620" s="2" t="s">
        <v>26</v>
      </c>
      <c r="E2620" s="3" t="s">
        <v>515</v>
      </c>
      <c r="F2620" s="3" t="s">
        <v>516</v>
      </c>
      <c r="G2620" s="3" t="s">
        <v>1380</v>
      </c>
      <c r="H2620" s="2" t="s">
        <v>55</v>
      </c>
      <c r="I2620" s="2" t="s">
        <v>7106</v>
      </c>
      <c r="J2620" s="3" t="str">
        <f>HYPERLINK("https://www.boe.es/gazeta/dias/1809/09/02/pdfs/GMD-1809-246.pdf#page=3","Abrir facsímil")</f>
        <v>Abrir facsímil</v>
      </c>
      <c r="K2620" s="3" t="s">
        <v>57</v>
      </c>
    </row>
    <row r="2621" spans="1:11" ht="42" customHeight="1">
      <c r="A2621" s="2" t="s">
        <v>7107</v>
      </c>
      <c r="B2621" s="2" t="s">
        <v>7107</v>
      </c>
      <c r="C2621" s="2" t="s">
        <v>25</v>
      </c>
      <c r="D2621" s="2" t="s">
        <v>18</v>
      </c>
      <c r="E2621" s="3" t="s">
        <v>487</v>
      </c>
      <c r="F2621" s="3" t="s">
        <v>488</v>
      </c>
      <c r="G2621" s="3" t="s">
        <v>7108</v>
      </c>
      <c r="H2621" s="2" t="s">
        <v>55</v>
      </c>
      <c r="I2621" s="2" t="s">
        <v>7109</v>
      </c>
      <c r="J2621" s="3" t="str">
        <f>HYPERLINK("https://www.boe.es/gazeta/dias/1809/10/21/pdfs/GGB-1809-352.pdf#page=5","Abrir facsímil")</f>
        <v>Abrir facsímil</v>
      </c>
      <c r="K2621" s="3" t="s">
        <v>57</v>
      </c>
    </row>
    <row r="2622" spans="1:11" ht="42" customHeight="1">
      <c r="A2622" s="2" t="s">
        <v>7110</v>
      </c>
      <c r="B2622" s="2" t="s">
        <v>7110</v>
      </c>
      <c r="C2622" s="2" t="s">
        <v>25</v>
      </c>
      <c r="D2622" s="2" t="s">
        <v>18</v>
      </c>
      <c r="E2622" s="3" t="s">
        <v>1603</v>
      </c>
      <c r="F2622" s="3" t="s">
        <v>1604</v>
      </c>
      <c r="G2622" s="3" t="s">
        <v>62</v>
      </c>
      <c r="H2622" s="2" t="s">
        <v>55</v>
      </c>
      <c r="I2622" s="2" t="s">
        <v>7111</v>
      </c>
      <c r="J2622" s="3" t="str">
        <f>HYPERLINK("https://www.boe.es/gazeta/dias/1809/03/31/pdfs/GGB-1809-14.pdf#page=1","Abrir facsímil")</f>
        <v>Abrir facsímil</v>
      </c>
      <c r="K2622" s="3" t="s">
        <v>57</v>
      </c>
    </row>
    <row r="2623" spans="1:11" ht="42" customHeight="1">
      <c r="A2623" s="2" t="s">
        <v>7112</v>
      </c>
      <c r="B2623" s="2" t="s">
        <v>7112</v>
      </c>
      <c r="C2623" s="2" t="s">
        <v>25</v>
      </c>
      <c r="D2623" s="2" t="s">
        <v>26</v>
      </c>
      <c r="E2623" s="3" t="s">
        <v>1603</v>
      </c>
      <c r="F2623" s="3" t="s">
        <v>1604</v>
      </c>
      <c r="G2623" s="3" t="s">
        <v>270</v>
      </c>
      <c r="H2623" s="2" t="s">
        <v>55</v>
      </c>
      <c r="I2623" s="2" t="s">
        <v>7113</v>
      </c>
      <c r="J2623" s="3" t="str">
        <f>HYPERLINK("https://www.boe.es/gazeta/dias/1809/03/31/pdfs/GGB-1809-14.pdf#page=3","Abrir facsímil")</f>
        <v>Abrir facsímil</v>
      </c>
      <c r="K2623" s="3" t="s">
        <v>57</v>
      </c>
    </row>
    <row r="2624" spans="1:11" ht="42" customHeight="1">
      <c r="A2624" s="2" t="s">
        <v>7112</v>
      </c>
      <c r="B2624" s="2" t="s">
        <v>7112</v>
      </c>
      <c r="C2624" s="2" t="s">
        <v>25</v>
      </c>
      <c r="D2624" s="2" t="s">
        <v>107</v>
      </c>
      <c r="E2624" s="3" t="s">
        <v>3279</v>
      </c>
      <c r="F2624" s="3" t="s">
        <v>3280</v>
      </c>
      <c r="G2624" s="3" t="s">
        <v>234</v>
      </c>
      <c r="H2624" s="2" t="s">
        <v>55</v>
      </c>
      <c r="I2624" s="2" t="s">
        <v>7114</v>
      </c>
      <c r="J2624" s="3" t="str">
        <f>HYPERLINK("https://www.boe.es/gazeta/dias/1809/09/27/pdfs/GMD-1809-271.pdf#page=2","Abrir facsímil")</f>
        <v>Abrir facsímil</v>
      </c>
      <c r="K2624" s="3" t="s">
        <v>57</v>
      </c>
    </row>
    <row r="2625" spans="1:11" ht="42" customHeight="1">
      <c r="A2625" s="2" t="s">
        <v>7115</v>
      </c>
      <c r="B2625" s="2" t="s">
        <v>7116</v>
      </c>
      <c r="C2625" s="2" t="s">
        <v>17</v>
      </c>
      <c r="D2625" s="2" t="s">
        <v>18</v>
      </c>
      <c r="E2625" s="3" t="s">
        <v>347</v>
      </c>
      <c r="F2625" s="3" t="s">
        <v>348</v>
      </c>
      <c r="G2625" s="3" t="s">
        <v>270</v>
      </c>
      <c r="H2625" s="2" t="s">
        <v>55</v>
      </c>
      <c r="I2625" s="2" t="s">
        <v>7117</v>
      </c>
      <c r="J2625" s="3" t="str">
        <f>HYPERLINK("https://www.boe.es/gazeta/dias/1809/03/07/pdfs/GMD-1809-66.pdf#page=4","Abrir facsímil")</f>
        <v>Abrir facsímil</v>
      </c>
      <c r="K2625" s="3" t="s">
        <v>57</v>
      </c>
    </row>
    <row r="2626" spans="1:11" ht="42" customHeight="1">
      <c r="A2626" s="2" t="s">
        <v>7118</v>
      </c>
      <c r="B2626" s="2" t="s">
        <v>7118</v>
      </c>
      <c r="C2626" s="2" t="s">
        <v>131</v>
      </c>
      <c r="D2626" s="2" t="s">
        <v>18</v>
      </c>
      <c r="E2626" s="3" t="s">
        <v>749</v>
      </c>
      <c r="F2626" s="3" t="s">
        <v>750</v>
      </c>
      <c r="G2626" s="3" t="s">
        <v>1441</v>
      </c>
      <c r="H2626" s="2" t="s">
        <v>55</v>
      </c>
      <c r="I2626" s="2" t="s">
        <v>7119</v>
      </c>
      <c r="J2626" s="3" t="str">
        <f>HYPERLINK("https://www.boe.es/gazeta/dias/1809/05/19/pdfs/GGB-1809-29.pdf#page=8","Abrir facsímil")</f>
        <v>Abrir facsímil</v>
      </c>
      <c r="K2626" s="3" t="s">
        <v>57</v>
      </c>
    </row>
    <row r="2627" spans="1:11" ht="42" customHeight="1">
      <c r="A2627" s="2" t="s">
        <v>7120</v>
      </c>
      <c r="B2627" s="2" t="s">
        <v>7121</v>
      </c>
      <c r="C2627" s="2" t="s">
        <v>17</v>
      </c>
      <c r="D2627" s="2" t="s">
        <v>40</v>
      </c>
      <c r="E2627" s="3" t="s">
        <v>53</v>
      </c>
      <c r="F2627" s="3" t="s">
        <v>3411</v>
      </c>
      <c r="G2627" s="3" t="s">
        <v>7122</v>
      </c>
      <c r="H2627" s="2" t="s">
        <v>55</v>
      </c>
      <c r="I2627" s="2" t="s">
        <v>7123</v>
      </c>
      <c r="J2627" s="3" t="str">
        <f>HYPERLINK("https://www.boe.es/gazeta/dias/1809/03/03/pdfs/GGB-1809-10.pdf#page=12","Abrir facsímil")</f>
        <v>Abrir facsímil</v>
      </c>
      <c r="K2627" s="3" t="s">
        <v>57</v>
      </c>
    </row>
    <row r="2628" spans="1:11" ht="42" customHeight="1">
      <c r="A2628" s="2" t="s">
        <v>7124</v>
      </c>
      <c r="B2628" s="2" t="s">
        <v>7124</v>
      </c>
      <c r="C2628" s="2" t="s">
        <v>39</v>
      </c>
      <c r="D2628" s="2" t="s">
        <v>18</v>
      </c>
      <c r="E2628" s="3" t="s">
        <v>73</v>
      </c>
      <c r="F2628" s="3" t="s">
        <v>1045</v>
      </c>
      <c r="G2628" s="3" t="s">
        <v>89</v>
      </c>
      <c r="H2628" s="2" t="s">
        <v>55</v>
      </c>
      <c r="I2628" s="2" t="s">
        <v>7125</v>
      </c>
      <c r="J2628" s="3" t="str">
        <f>HYPERLINK("https://www.boe.es/gazeta/dias/1809/09/21/pdfs/GMD-1809-265.pdf#page=3","Abrir facsímil")</f>
        <v>Abrir facsímil</v>
      </c>
      <c r="K2628" s="3" t="s">
        <v>57</v>
      </c>
    </row>
    <row r="2629" spans="1:11" ht="42" customHeight="1">
      <c r="A2629" s="2" t="s">
        <v>7126</v>
      </c>
      <c r="B2629" s="2" t="s">
        <v>7127</v>
      </c>
      <c r="C2629" s="2" t="s">
        <v>25</v>
      </c>
      <c r="D2629" s="2" t="s">
        <v>40</v>
      </c>
      <c r="E2629" s="3" t="s">
        <v>1276</v>
      </c>
      <c r="F2629" s="3" t="s">
        <v>2088</v>
      </c>
      <c r="G2629" s="3" t="s">
        <v>62</v>
      </c>
      <c r="H2629" s="2" t="s">
        <v>55</v>
      </c>
      <c r="I2629" s="2" t="s">
        <v>7128</v>
      </c>
      <c r="J2629" s="3" t="str">
        <f>HYPERLINK("https://www.boe.es/gazeta/dias/1809/01/03/pdfs/GMD-1809-3.pdf#page=6","Abrir facsímil")</f>
        <v>Abrir facsímil</v>
      </c>
      <c r="K2629" s="3" t="s">
        <v>57</v>
      </c>
    </row>
    <row r="2630" spans="1:11" ht="42" customHeight="1">
      <c r="A2630" s="2" t="s">
        <v>7126</v>
      </c>
      <c r="B2630" s="2" t="s">
        <v>7127</v>
      </c>
      <c r="C2630" s="2" t="s">
        <v>17</v>
      </c>
      <c r="D2630" s="2" t="s">
        <v>18</v>
      </c>
      <c r="E2630" s="3" t="s">
        <v>599</v>
      </c>
      <c r="F2630" s="3" t="s">
        <v>600</v>
      </c>
      <c r="G2630" s="3" t="s">
        <v>601</v>
      </c>
      <c r="H2630" s="2" t="s">
        <v>55</v>
      </c>
      <c r="I2630" s="2" t="s">
        <v>7129</v>
      </c>
      <c r="J2630" s="3" t="str">
        <f>HYPERLINK("https://www.boe.es/gazeta/dias/1809/01/19/pdfs/GMD-1809-19.pdf#page=4","Abrir facsímil")</f>
        <v>Abrir facsímil</v>
      </c>
      <c r="K2630" s="3" t="s">
        <v>57</v>
      </c>
    </row>
    <row r="2631" spans="1:11" ht="42" customHeight="1">
      <c r="A2631" s="2" t="s">
        <v>7126</v>
      </c>
      <c r="B2631" s="2" t="s">
        <v>7127</v>
      </c>
      <c r="C2631" s="2" t="s">
        <v>17</v>
      </c>
      <c r="D2631" s="2" t="s">
        <v>18</v>
      </c>
      <c r="E2631" s="3" t="s">
        <v>283</v>
      </c>
      <c r="F2631" s="3" t="s">
        <v>284</v>
      </c>
      <c r="G2631" s="3" t="s">
        <v>110</v>
      </c>
      <c r="H2631" s="2" t="s">
        <v>55</v>
      </c>
      <c r="I2631" s="2" t="s">
        <v>7130</v>
      </c>
      <c r="J2631" s="3" t="str">
        <f>HYPERLINK("https://www.boe.es/gazeta/dias/1809/02/09/pdfs/GMD-1809-40.pdf#page=2","Abrir facsímil")</f>
        <v>Abrir facsímil</v>
      </c>
      <c r="K2631" s="3" t="s">
        <v>57</v>
      </c>
    </row>
    <row r="2632" spans="1:11" ht="42" customHeight="1">
      <c r="A2632" s="2" t="s">
        <v>7126</v>
      </c>
      <c r="B2632" s="2" t="s">
        <v>7127</v>
      </c>
      <c r="C2632" s="2" t="s">
        <v>17</v>
      </c>
      <c r="D2632" s="2" t="s">
        <v>18</v>
      </c>
      <c r="E2632" s="3" t="s">
        <v>755</v>
      </c>
      <c r="F2632" s="3" t="s">
        <v>756</v>
      </c>
      <c r="G2632" s="3" t="s">
        <v>525</v>
      </c>
      <c r="H2632" s="2" t="s">
        <v>55</v>
      </c>
      <c r="I2632" s="2" t="s">
        <v>7131</v>
      </c>
      <c r="J2632" s="3" t="str">
        <f>HYPERLINK("https://www.boe.es/gazeta/dias/1809/05/20/pdfs/GMD-1809-140.pdf#page=4","Abrir facsímil")</f>
        <v>Abrir facsímil</v>
      </c>
      <c r="K2632" s="3" t="s">
        <v>57</v>
      </c>
    </row>
    <row r="2633" spans="1:11" ht="42" customHeight="1">
      <c r="A2633" s="2" t="s">
        <v>7132</v>
      </c>
      <c r="B2633" s="2" t="s">
        <v>7133</v>
      </c>
      <c r="C2633" s="2" t="s">
        <v>288</v>
      </c>
      <c r="D2633" s="2" t="s">
        <v>40</v>
      </c>
      <c r="E2633" s="3" t="s">
        <v>158</v>
      </c>
      <c r="F2633" s="3" t="s">
        <v>159</v>
      </c>
      <c r="G2633" s="3" t="s">
        <v>239</v>
      </c>
      <c r="H2633" s="2" t="s">
        <v>55</v>
      </c>
      <c r="I2633" s="2" t="s">
        <v>7134</v>
      </c>
      <c r="J2633" s="3" t="str">
        <f>HYPERLINK("https://www.boe.es/gazeta/dias/1809/02/10/pdfs/GGB-1809-7.pdf#page=11","Abrir facsímil")</f>
        <v>Abrir facsímil</v>
      </c>
      <c r="K2633" s="3" t="s">
        <v>57</v>
      </c>
    </row>
    <row r="2634" spans="1:11" ht="42" customHeight="1">
      <c r="A2634" s="2" t="s">
        <v>7135</v>
      </c>
      <c r="B2634" s="2" t="s">
        <v>7136</v>
      </c>
      <c r="C2634" s="2" t="s">
        <v>25</v>
      </c>
      <c r="D2634" s="2" t="s">
        <v>18</v>
      </c>
      <c r="E2634" s="3" t="s">
        <v>487</v>
      </c>
      <c r="F2634" s="3" t="s">
        <v>5579</v>
      </c>
      <c r="G2634" s="3" t="s">
        <v>120</v>
      </c>
      <c r="H2634" s="2" t="s">
        <v>55</v>
      </c>
      <c r="I2634" s="2" t="s">
        <v>7137</v>
      </c>
      <c r="J2634" s="3" t="str">
        <f>HYPERLINK("https://www.boe.es/gazeta/dias/1809/10/21/pdfs/GMD-1809-295.pdf#page=2","Abrir facsímil")</f>
        <v>Abrir facsímil</v>
      </c>
      <c r="K2634" s="3" t="s">
        <v>57</v>
      </c>
    </row>
    <row r="2635" spans="1:11" ht="42" customHeight="1">
      <c r="A2635" s="2" t="s">
        <v>7138</v>
      </c>
      <c r="B2635" s="2" t="s">
        <v>7138</v>
      </c>
      <c r="C2635" s="2" t="s">
        <v>17</v>
      </c>
      <c r="D2635" s="2" t="s">
        <v>18</v>
      </c>
      <c r="E2635" s="3" t="s">
        <v>7139</v>
      </c>
      <c r="F2635" s="3" t="s">
        <v>7140</v>
      </c>
      <c r="G2635" s="3" t="s">
        <v>110</v>
      </c>
      <c r="H2635" s="2" t="s">
        <v>55</v>
      </c>
      <c r="I2635" s="2" t="s">
        <v>7141</v>
      </c>
      <c r="J2635" s="3" t="str">
        <f>HYPERLINK("https://www.boe.es/gazeta/dias/1809/01/24/pdfs/GMD-1809-24.pdf#page=2","Abrir facsímil")</f>
        <v>Abrir facsímil</v>
      </c>
      <c r="K2635" s="3" t="s">
        <v>57</v>
      </c>
    </row>
    <row r="2636" spans="1:11" ht="42" customHeight="1">
      <c r="A2636" s="2" t="s">
        <v>7138</v>
      </c>
      <c r="B2636" s="2" t="s">
        <v>7138</v>
      </c>
      <c r="C2636" s="2" t="s">
        <v>25</v>
      </c>
      <c r="D2636" s="2" t="s">
        <v>18</v>
      </c>
      <c r="E2636" s="3" t="s">
        <v>2341</v>
      </c>
      <c r="F2636" s="3" t="s">
        <v>2342</v>
      </c>
      <c r="G2636" s="3" t="s">
        <v>2343</v>
      </c>
      <c r="H2636" s="2" t="s">
        <v>55</v>
      </c>
      <c r="I2636" s="2" t="s">
        <v>7142</v>
      </c>
      <c r="J2636" s="3" t="str">
        <f>HYPERLINK("https://www.boe.es/gazeta/dias/1809/03/09/pdfs/GMD-1809-68.pdf#page=1","Abrir facsímil")</f>
        <v>Abrir facsímil</v>
      </c>
      <c r="K2636" s="3" t="s">
        <v>57</v>
      </c>
    </row>
    <row r="2637" spans="1:11" ht="42" customHeight="1">
      <c r="A2637" s="2" t="s">
        <v>7138</v>
      </c>
      <c r="B2637" s="2" t="s">
        <v>7138</v>
      </c>
      <c r="C2637" s="2" t="s">
        <v>47</v>
      </c>
      <c r="D2637" s="2" t="s">
        <v>18</v>
      </c>
      <c r="E2637" s="3" t="s">
        <v>5145</v>
      </c>
      <c r="F2637" s="3" t="s">
        <v>5146</v>
      </c>
      <c r="G2637" s="3" t="s">
        <v>29</v>
      </c>
      <c r="H2637" s="2" t="s">
        <v>55</v>
      </c>
      <c r="I2637" s="2" t="s">
        <v>7143</v>
      </c>
      <c r="J2637" s="3" t="str">
        <f>HYPERLINK("https://www.boe.es/gazeta/dias/1809/06/22/pdfs/GMD-1809-173.pdf#page=3","Abrir facsímil")</f>
        <v>Abrir facsímil</v>
      </c>
      <c r="K2637" s="3" t="s">
        <v>57</v>
      </c>
    </row>
    <row r="2638" spans="1:11" ht="42" customHeight="1">
      <c r="A2638" s="2" t="s">
        <v>7138</v>
      </c>
      <c r="B2638" s="2" t="s">
        <v>7138</v>
      </c>
      <c r="C2638" s="2" t="s">
        <v>39</v>
      </c>
      <c r="D2638" s="2" t="s">
        <v>18</v>
      </c>
      <c r="E2638" s="3" t="s">
        <v>1856</v>
      </c>
      <c r="F2638" s="3" t="s">
        <v>1857</v>
      </c>
      <c r="G2638" s="3" t="s">
        <v>1504</v>
      </c>
      <c r="H2638" s="2" t="s">
        <v>55</v>
      </c>
      <c r="I2638" s="2" t="s">
        <v>7144</v>
      </c>
      <c r="J2638" s="3" t="str">
        <f>HYPERLINK("https://www.boe.es/gazeta/dias/1809/07/12/pdfs/GMD-1809-193.pdf#page=4","Abrir facsímil")</f>
        <v>Abrir facsímil</v>
      </c>
      <c r="K2638" s="3" t="s">
        <v>57</v>
      </c>
    </row>
    <row r="2639" spans="1:11" ht="42" customHeight="1">
      <c r="A2639" s="2" t="s">
        <v>7138</v>
      </c>
      <c r="B2639" s="2" t="s">
        <v>7138</v>
      </c>
      <c r="C2639" s="2" t="s">
        <v>47</v>
      </c>
      <c r="D2639" s="2" t="s">
        <v>18</v>
      </c>
      <c r="E2639" s="3" t="s">
        <v>1692</v>
      </c>
      <c r="F2639" s="3" t="s">
        <v>1693</v>
      </c>
      <c r="G2639" s="3" t="s">
        <v>7145</v>
      </c>
      <c r="H2639" s="2" t="s">
        <v>55</v>
      </c>
      <c r="I2639" s="2" t="s">
        <v>7146</v>
      </c>
      <c r="J2639" s="3" t="str">
        <f>HYPERLINK("https://www.boe.es/gazeta/dias/1809/08/06/pdfs/GMD-1809-219.pdf#page=1","Abrir facsímil")</f>
        <v>Abrir facsímil</v>
      </c>
      <c r="K2639" s="3" t="s">
        <v>57</v>
      </c>
    </row>
    <row r="2640" spans="1:11" ht="42" customHeight="1">
      <c r="A2640" s="2" t="s">
        <v>7147</v>
      </c>
      <c r="B2640" s="2" t="s">
        <v>7148</v>
      </c>
      <c r="C2640" s="2" t="s">
        <v>17</v>
      </c>
      <c r="D2640" s="2" t="s">
        <v>18</v>
      </c>
      <c r="E2640" s="3" t="s">
        <v>243</v>
      </c>
      <c r="F2640" s="3" t="s">
        <v>735</v>
      </c>
      <c r="G2640" s="3" t="s">
        <v>736</v>
      </c>
      <c r="H2640" s="2" t="s">
        <v>55</v>
      </c>
      <c r="I2640" s="2" t="s">
        <v>7149</v>
      </c>
      <c r="J2640" s="3" t="str">
        <f>HYPERLINK("https://www.boe.es/gazeta/dias/1809/02/17/pdfs/GGB-1809-8.pdf#page=8","Abrir facsímil")</f>
        <v>Abrir facsímil</v>
      </c>
      <c r="K2640" s="3" t="s">
        <v>57</v>
      </c>
    </row>
    <row r="2641" spans="1:11" ht="42" customHeight="1">
      <c r="A2641" s="2" t="s">
        <v>7150</v>
      </c>
      <c r="B2641" s="2" t="s">
        <v>7151</v>
      </c>
      <c r="C2641" s="2" t="s">
        <v>17</v>
      </c>
      <c r="D2641" s="2" t="s">
        <v>18</v>
      </c>
      <c r="E2641" s="3" t="s">
        <v>712</v>
      </c>
      <c r="F2641" s="3" t="s">
        <v>713</v>
      </c>
      <c r="G2641" s="3" t="s">
        <v>154</v>
      </c>
      <c r="H2641" s="2" t="s">
        <v>55</v>
      </c>
      <c r="I2641" s="2" t="s">
        <v>7152</v>
      </c>
      <c r="J2641" s="3" t="str">
        <f>HYPERLINK("https://www.boe.es/gazeta/dias/1809/09/10/pdfs/GMD-1809-254.pdf#page=3","Abrir facsímil")</f>
        <v>Abrir facsímil</v>
      </c>
      <c r="K2641" s="3" t="s">
        <v>57</v>
      </c>
    </row>
    <row r="2642" spans="1:11" ht="42" customHeight="1">
      <c r="A2642" s="2" t="s">
        <v>7153</v>
      </c>
      <c r="B2642" s="2" t="s">
        <v>7154</v>
      </c>
      <c r="C2642" s="2" t="s">
        <v>25</v>
      </c>
      <c r="D2642" s="2" t="s">
        <v>26</v>
      </c>
      <c r="E2642" s="3" t="s">
        <v>1352</v>
      </c>
      <c r="F2642" s="3" t="s">
        <v>1353</v>
      </c>
      <c r="G2642" s="3" t="s">
        <v>3808</v>
      </c>
      <c r="H2642" s="2" t="s">
        <v>55</v>
      </c>
      <c r="I2642" s="2" t="s">
        <v>7155</v>
      </c>
      <c r="J2642" s="3" t="str">
        <f>HYPERLINK("https://www.boe.es/gazeta/dias/1809/05/27/pdfs/GMD-1809-147.pdf#page=1","Abrir facsímil")</f>
        <v>Abrir facsímil</v>
      </c>
      <c r="K2642" s="3" t="s">
        <v>57</v>
      </c>
    </row>
    <row r="2643" spans="1:11" ht="42" customHeight="1">
      <c r="A2643" s="2" t="s">
        <v>7156</v>
      </c>
      <c r="B2643" s="2" t="s">
        <v>7157</v>
      </c>
      <c r="C2643" s="2" t="s">
        <v>25</v>
      </c>
      <c r="D2643" s="2" t="s">
        <v>80</v>
      </c>
      <c r="E2643" s="3" t="s">
        <v>179</v>
      </c>
      <c r="F2643" s="3" t="s">
        <v>180</v>
      </c>
      <c r="G2643" s="3" t="s">
        <v>966</v>
      </c>
      <c r="H2643" s="2" t="s">
        <v>55</v>
      </c>
      <c r="I2643" s="2" t="s">
        <v>7158</v>
      </c>
      <c r="J2643" s="3" t="str">
        <f>HYPERLINK("https://www.boe.es/gazeta/dias/1809/12/08/pdfs/GGB-1809-552E.pdf#page=3","Abrir facsímil")</f>
        <v>Abrir facsímil</v>
      </c>
      <c r="K2643" s="3" t="s">
        <v>57</v>
      </c>
    </row>
    <row r="2644" spans="1:11" ht="42" customHeight="1">
      <c r="A2644" s="2" t="s">
        <v>7159</v>
      </c>
      <c r="B2644" s="2" t="s">
        <v>7160</v>
      </c>
      <c r="C2644" s="2" t="s">
        <v>17</v>
      </c>
      <c r="D2644" s="2" t="s">
        <v>18</v>
      </c>
      <c r="E2644" s="3" t="s">
        <v>33</v>
      </c>
      <c r="F2644" s="3" t="s">
        <v>34</v>
      </c>
      <c r="G2644" s="3" t="s">
        <v>493</v>
      </c>
      <c r="H2644" s="2" t="s">
        <v>55</v>
      </c>
      <c r="I2644" s="2" t="s">
        <v>7161</v>
      </c>
      <c r="J2644" s="3" t="str">
        <f>HYPERLINK("https://www.boe.es/gazeta/dias/1809/12/19/pdfs/GGB-1809-602.pdf#page=6","Abrir facsímil")</f>
        <v>Abrir facsímil</v>
      </c>
      <c r="K2644" s="3" t="s">
        <v>57</v>
      </c>
    </row>
    <row r="2645" spans="1:11" ht="42" customHeight="1">
      <c r="A2645" s="2" t="s">
        <v>7162</v>
      </c>
      <c r="B2645" s="2" t="s">
        <v>7163</v>
      </c>
      <c r="C2645" s="2" t="s">
        <v>47</v>
      </c>
      <c r="D2645" s="2" t="s">
        <v>72</v>
      </c>
      <c r="E2645" s="3" t="s">
        <v>720</v>
      </c>
      <c r="F2645" s="3" t="s">
        <v>721</v>
      </c>
      <c r="G2645" s="3" t="s">
        <v>439</v>
      </c>
      <c r="H2645" s="2" t="s">
        <v>55</v>
      </c>
      <c r="I2645" s="2" t="s">
        <v>7164</v>
      </c>
      <c r="J2645" s="3" t="str">
        <f>HYPERLINK("https://www.boe.es/gazeta/dias/1809/01/27/pdfs/GGB-G-1809-5.pdf#page=3","Abrir facsímil")</f>
        <v>Abrir facsímil</v>
      </c>
      <c r="K2645" s="3" t="s">
        <v>57</v>
      </c>
    </row>
    <row r="2646" spans="1:11" ht="42" customHeight="1">
      <c r="A2646" s="2" t="s">
        <v>7165</v>
      </c>
      <c r="B2646" s="2" t="s">
        <v>7166</v>
      </c>
      <c r="C2646" s="2" t="s">
        <v>47</v>
      </c>
      <c r="D2646" s="2" t="s">
        <v>18</v>
      </c>
      <c r="E2646" s="3" t="s">
        <v>294</v>
      </c>
      <c r="F2646" s="3" t="s">
        <v>1360</v>
      </c>
      <c r="G2646" s="3" t="s">
        <v>605</v>
      </c>
      <c r="H2646" s="2" t="s">
        <v>55</v>
      </c>
      <c r="I2646" s="2" t="s">
        <v>7167</v>
      </c>
      <c r="J2646" s="3" t="str">
        <f>HYPERLINK("https://www.boe.es/gazeta/dias/1809/09/30/pdfs/GGB-1809-262.pdf#page=8","Abrir facsímil")</f>
        <v>Abrir facsímil</v>
      </c>
      <c r="K2646" s="3" t="s">
        <v>57</v>
      </c>
    </row>
    <row r="2647" spans="1:11" ht="42" customHeight="1">
      <c r="A2647" s="2" t="s">
        <v>7162</v>
      </c>
      <c r="B2647" s="2" t="s">
        <v>7163</v>
      </c>
      <c r="C2647" s="2" t="s">
        <v>25</v>
      </c>
      <c r="D2647" s="2" t="s">
        <v>26</v>
      </c>
      <c r="E2647" s="3" t="s">
        <v>263</v>
      </c>
      <c r="F2647" s="3" t="s">
        <v>264</v>
      </c>
      <c r="G2647" s="3" t="s">
        <v>154</v>
      </c>
      <c r="H2647" s="2" t="s">
        <v>55</v>
      </c>
      <c r="I2647" s="2" t="s">
        <v>7168</v>
      </c>
      <c r="J2647" s="3" t="str">
        <f>HYPERLINK("https://www.boe.es/gazeta/dias/1809/11/21/pdfs/GGB-1809-482.pdf#page=7","Abrir facsímil")</f>
        <v>Abrir facsímil</v>
      </c>
      <c r="K2647" s="3" t="s">
        <v>57</v>
      </c>
    </row>
    <row r="2648" spans="1:11" ht="42" customHeight="1">
      <c r="A2648" s="2" t="s">
        <v>7162</v>
      </c>
      <c r="B2648" s="2" t="s">
        <v>7163</v>
      </c>
      <c r="C2648" s="2" t="s">
        <v>131</v>
      </c>
      <c r="D2648" s="2" t="s">
        <v>26</v>
      </c>
      <c r="E2648" s="3" t="s">
        <v>216</v>
      </c>
      <c r="F2648" s="3" t="s">
        <v>2440</v>
      </c>
      <c r="G2648" s="3" t="s">
        <v>7169</v>
      </c>
      <c r="H2648" s="2" t="s">
        <v>55</v>
      </c>
      <c r="I2648" s="2" t="s">
        <v>7170</v>
      </c>
      <c r="J2648" s="3" t="str">
        <f>HYPERLINK("https://www.boe.es/gazeta/dias/1809/12/05/pdfs/GGB-1809-542.pdf#page=6","Abrir facsímil")</f>
        <v>Abrir facsímil</v>
      </c>
      <c r="K2648" s="3" t="s">
        <v>57</v>
      </c>
    </row>
    <row r="2649" spans="1:11" ht="42" customHeight="1">
      <c r="A2649" s="2" t="s">
        <v>7171</v>
      </c>
      <c r="B2649" s="2" t="s">
        <v>7172</v>
      </c>
      <c r="C2649" s="2" t="s">
        <v>17</v>
      </c>
      <c r="D2649" s="2" t="s">
        <v>18</v>
      </c>
      <c r="E2649" s="3" t="s">
        <v>2840</v>
      </c>
      <c r="F2649" s="3" t="s">
        <v>4484</v>
      </c>
      <c r="G2649" s="3" t="s">
        <v>7173</v>
      </c>
      <c r="H2649" s="2" t="s">
        <v>55</v>
      </c>
      <c r="I2649" s="2" t="s">
        <v>7174</v>
      </c>
      <c r="J2649" s="3" t="str">
        <f>HYPERLINK("https://www.boe.es/gazeta/dias/1809/11/30/pdfs/GGB-1809-522.pdf#page=8","Abrir facsímil")</f>
        <v>Abrir facsímil</v>
      </c>
      <c r="K2649" s="3" t="s">
        <v>57</v>
      </c>
    </row>
    <row r="2650" spans="1:11" ht="42" customHeight="1">
      <c r="A2650" s="2" t="s">
        <v>7175</v>
      </c>
      <c r="B2650" s="2" t="s">
        <v>7175</v>
      </c>
      <c r="C2650" s="2" t="s">
        <v>25</v>
      </c>
      <c r="D2650" s="2" t="s">
        <v>18</v>
      </c>
      <c r="E2650" s="3" t="s">
        <v>749</v>
      </c>
      <c r="F2650" s="3" t="s">
        <v>750</v>
      </c>
      <c r="G2650" s="3" t="s">
        <v>2181</v>
      </c>
      <c r="H2650" s="2" t="s">
        <v>55</v>
      </c>
      <c r="I2650" s="2" t="s">
        <v>7176</v>
      </c>
      <c r="J2650" s="3" t="str">
        <f>HYPERLINK("https://www.boe.es/gazeta/dias/1809/05/19/pdfs/GGB-1809-29.pdf#page=1","Abrir facsímil")</f>
        <v>Abrir facsímil</v>
      </c>
      <c r="K2650" s="3" t="s">
        <v>57</v>
      </c>
    </row>
    <row r="2651" spans="1:11" ht="42" customHeight="1">
      <c r="A2651" s="2" t="s">
        <v>7177</v>
      </c>
      <c r="B2651" s="2" t="s">
        <v>7178</v>
      </c>
      <c r="C2651" s="2" t="s">
        <v>17</v>
      </c>
      <c r="D2651" s="2" t="s">
        <v>18</v>
      </c>
      <c r="E2651" s="3" t="s">
        <v>1551</v>
      </c>
      <c r="F2651" s="3" t="s">
        <v>1552</v>
      </c>
      <c r="G2651" s="3" t="s">
        <v>169</v>
      </c>
      <c r="H2651" s="2" t="s">
        <v>55</v>
      </c>
      <c r="I2651" s="2" t="s">
        <v>7179</v>
      </c>
      <c r="J2651" s="3" t="str">
        <f>HYPERLINK("https://www.boe.es/gazeta/dias/1809/06/12/pdfs/GGB-1809-36.pdf#page=11","Abrir facsímil")</f>
        <v>Abrir facsímil</v>
      </c>
      <c r="K2651" s="3" t="s">
        <v>57</v>
      </c>
    </row>
    <row r="2652" spans="1:11" ht="42" customHeight="1">
      <c r="A2652" s="2" t="s">
        <v>7180</v>
      </c>
      <c r="B2652" s="2" t="s">
        <v>7181</v>
      </c>
      <c r="C2652" s="2" t="s">
        <v>39</v>
      </c>
      <c r="D2652" s="2" t="s">
        <v>18</v>
      </c>
      <c r="E2652" s="3" t="s">
        <v>394</v>
      </c>
      <c r="F2652" s="3" t="s">
        <v>2563</v>
      </c>
      <c r="G2652" s="3" t="s">
        <v>110</v>
      </c>
      <c r="H2652" s="2" t="s">
        <v>55</v>
      </c>
      <c r="I2652" s="2" t="s">
        <v>7182</v>
      </c>
      <c r="J2652" s="3" t="str">
        <f>HYPERLINK("https://www.boe.es/gazeta/dias/1809/12/14/pdfs/GMD-1809-349.pdf#page=3","Abrir facsímil")</f>
        <v>Abrir facsímil</v>
      </c>
      <c r="K2652" s="3" t="s">
        <v>57</v>
      </c>
    </row>
    <row r="2653" spans="1:11" ht="42" customHeight="1">
      <c r="A2653" s="2" t="s">
        <v>7183</v>
      </c>
      <c r="B2653" s="2" t="s">
        <v>7184</v>
      </c>
      <c r="C2653" s="2" t="s">
        <v>25</v>
      </c>
      <c r="D2653" s="2" t="s">
        <v>26</v>
      </c>
      <c r="E2653" s="3" t="s">
        <v>1652</v>
      </c>
      <c r="F2653" s="3" t="s">
        <v>1653</v>
      </c>
      <c r="G2653" s="3" t="s">
        <v>110</v>
      </c>
      <c r="H2653" s="2" t="s">
        <v>22</v>
      </c>
      <c r="I2653" s="2" t="s">
        <v>7185</v>
      </c>
      <c r="J2653" s="3" t="str">
        <f>HYPERLINK("https://www.boe.es/gazeta/dias/1809/07/25/pdfs/GGB-1809-48.pdf#page=9","Abrir facsímil")</f>
        <v>Abrir facsímil</v>
      </c>
      <c r="K2653" s="3" t="s">
        <v>24</v>
      </c>
    </row>
    <row r="2654" spans="1:11" ht="42" customHeight="1">
      <c r="A2654" s="2" t="s">
        <v>7186</v>
      </c>
      <c r="B2654" s="2" t="s">
        <v>7187</v>
      </c>
      <c r="C2654" s="2" t="s">
        <v>131</v>
      </c>
      <c r="D2654" s="2" t="s">
        <v>18</v>
      </c>
      <c r="E2654" s="3" t="s">
        <v>2473</v>
      </c>
      <c r="F2654" s="3" t="s">
        <v>2474</v>
      </c>
      <c r="G2654" s="3" t="s">
        <v>270</v>
      </c>
      <c r="H2654" s="2" t="s">
        <v>22</v>
      </c>
      <c r="I2654" s="2" t="s">
        <v>7188</v>
      </c>
      <c r="J2654" s="3" t="str">
        <f>HYPERLINK("https://www.boe.es/gazeta/dias/1809/02/16/pdfs/GMD-1809-47.pdf#page=4","Abrir facsímil")</f>
        <v>Abrir facsímil</v>
      </c>
      <c r="K2654" s="3" t="s">
        <v>24</v>
      </c>
    </row>
    <row r="2655" spans="1:11" ht="42" customHeight="1">
      <c r="A2655" s="2" t="s">
        <v>7189</v>
      </c>
      <c r="B2655" s="2" t="s">
        <v>7189</v>
      </c>
      <c r="C2655" s="2" t="s">
        <v>131</v>
      </c>
      <c r="D2655" s="2" t="s">
        <v>18</v>
      </c>
      <c r="E2655" s="3" t="s">
        <v>305</v>
      </c>
      <c r="F2655" s="3" t="s">
        <v>306</v>
      </c>
      <c r="G2655" s="3" t="s">
        <v>29</v>
      </c>
      <c r="H2655" s="2" t="s">
        <v>55</v>
      </c>
      <c r="I2655" s="2" t="s">
        <v>7190</v>
      </c>
      <c r="J2655" s="3" t="str">
        <f>HYPERLINK("https://www.boe.es/gazeta/dias/1809/10/20/pdfs/GMD-1809-294.pdf#page=3","Abrir facsímil")</f>
        <v>Abrir facsímil</v>
      </c>
      <c r="K2655" s="3" t="s">
        <v>57</v>
      </c>
    </row>
    <row r="2656" spans="1:11" ht="42" customHeight="1">
      <c r="A2656" s="2" t="s">
        <v>7191</v>
      </c>
      <c r="B2656" s="2" t="s">
        <v>7191</v>
      </c>
      <c r="C2656" s="2" t="s">
        <v>17</v>
      </c>
      <c r="D2656" s="2" t="s">
        <v>107</v>
      </c>
      <c r="E2656" s="3" t="s">
        <v>7192</v>
      </c>
      <c r="F2656" s="3" t="s">
        <v>7193</v>
      </c>
      <c r="G2656" s="3" t="s">
        <v>239</v>
      </c>
      <c r="H2656" s="2" t="s">
        <v>55</v>
      </c>
      <c r="I2656" s="2" t="s">
        <v>7194</v>
      </c>
      <c r="J2656" s="3" t="str">
        <f>HYPERLINK("https://www.boe.es/gazeta/dias/1809/06/14/pdfs/GMD-1809-165.pdf#page=1","Abrir facsímil")</f>
        <v>Abrir facsímil</v>
      </c>
      <c r="K2656" s="3" t="s">
        <v>57</v>
      </c>
    </row>
    <row r="2657" spans="1:11" ht="42" customHeight="1">
      <c r="A2657" s="2" t="s">
        <v>7195</v>
      </c>
      <c r="B2657" s="2" t="s">
        <v>7195</v>
      </c>
      <c r="C2657" s="2" t="s">
        <v>25</v>
      </c>
      <c r="D2657" s="2" t="s">
        <v>26</v>
      </c>
      <c r="E2657" s="3" t="s">
        <v>211</v>
      </c>
      <c r="F2657" s="3" t="s">
        <v>212</v>
      </c>
      <c r="G2657" s="3" t="s">
        <v>467</v>
      </c>
      <c r="H2657" s="2" t="s">
        <v>55</v>
      </c>
      <c r="I2657" s="2" t="s">
        <v>7196</v>
      </c>
      <c r="J2657" s="3" t="str">
        <f>HYPERLINK("https://www.boe.es/gazeta/dias/1809/10/27/pdfs/GMD-1809-301.pdf#page=2","Abrir facsímil")</f>
        <v>Abrir facsímil</v>
      </c>
      <c r="K2657" s="3" t="s">
        <v>57</v>
      </c>
    </row>
    <row r="2658" spans="1:11" ht="42" customHeight="1">
      <c r="A2658" s="2" t="s">
        <v>7197</v>
      </c>
      <c r="B2658" s="2" t="s">
        <v>7197</v>
      </c>
      <c r="C2658" s="2" t="s">
        <v>25</v>
      </c>
      <c r="D2658" s="2" t="s">
        <v>18</v>
      </c>
      <c r="E2658" s="3" t="s">
        <v>1132</v>
      </c>
      <c r="F2658" s="3" t="s">
        <v>1499</v>
      </c>
      <c r="G2658" s="3" t="s">
        <v>234</v>
      </c>
      <c r="H2658" s="2" t="s">
        <v>55</v>
      </c>
      <c r="I2658" s="2" t="s">
        <v>7198</v>
      </c>
      <c r="J2658" s="3" t="str">
        <f>HYPERLINK("https://www.boe.es/gazeta/dias/1809/11/11/pdfs/GMD-1809-316.pdf#page=1","Abrir facsímil")</f>
        <v>Abrir facsímil</v>
      </c>
      <c r="K2658" s="3" t="s">
        <v>57</v>
      </c>
    </row>
    <row r="2659" spans="1:11" ht="42" customHeight="1">
      <c r="A2659" s="2" t="s">
        <v>7199</v>
      </c>
      <c r="B2659" s="2" t="s">
        <v>7199</v>
      </c>
      <c r="C2659" s="2" t="s">
        <v>17</v>
      </c>
      <c r="D2659" s="2" t="s">
        <v>18</v>
      </c>
      <c r="E2659" s="3" t="s">
        <v>512</v>
      </c>
      <c r="F2659" s="3" t="s">
        <v>513</v>
      </c>
      <c r="G2659" s="3" t="s">
        <v>234</v>
      </c>
      <c r="H2659" s="2" t="s">
        <v>55</v>
      </c>
      <c r="I2659" s="2" t="s">
        <v>7200</v>
      </c>
      <c r="J2659" s="3" t="str">
        <f>HYPERLINK("https://www.boe.es/gazeta/dias/1809/07/06/pdfs/GMD-1809-187.pdf#page=3","Abrir facsímil")</f>
        <v>Abrir facsímil</v>
      </c>
      <c r="K2659" s="3" t="s">
        <v>57</v>
      </c>
    </row>
    <row r="2660" spans="1:11" ht="42" customHeight="1">
      <c r="A2660" s="2" t="s">
        <v>7201</v>
      </c>
      <c r="B2660" s="2" t="s">
        <v>7201</v>
      </c>
      <c r="C2660" s="2" t="s">
        <v>25</v>
      </c>
      <c r="D2660" s="2" t="s">
        <v>18</v>
      </c>
      <c r="E2660" s="3" t="s">
        <v>1141</v>
      </c>
      <c r="F2660" s="3" t="s">
        <v>1142</v>
      </c>
      <c r="G2660" s="3" t="s">
        <v>125</v>
      </c>
      <c r="H2660" s="2" t="s">
        <v>55</v>
      </c>
      <c r="I2660" s="2" t="s">
        <v>7202</v>
      </c>
      <c r="J2660" s="3" t="str">
        <f>HYPERLINK("https://www.boe.es/gazeta/dias/1809/03/02/pdfs/GMD-1809-61.pdf#page=3","Abrir facsímil")</f>
        <v>Abrir facsímil</v>
      </c>
      <c r="K2660" s="3" t="s">
        <v>57</v>
      </c>
    </row>
    <row r="2661" spans="1:11" ht="42" customHeight="1">
      <c r="A2661" s="2" t="s">
        <v>7203</v>
      </c>
      <c r="B2661" s="2" t="s">
        <v>7203</v>
      </c>
      <c r="C2661" s="2" t="s">
        <v>17</v>
      </c>
      <c r="D2661" s="2" t="s">
        <v>18</v>
      </c>
      <c r="E2661" s="3" t="s">
        <v>6250</v>
      </c>
      <c r="F2661" s="3" t="s">
        <v>6251</v>
      </c>
      <c r="G2661" s="3" t="s">
        <v>1880</v>
      </c>
      <c r="H2661" s="2" t="s">
        <v>55</v>
      </c>
      <c r="I2661" s="2" t="s">
        <v>7204</v>
      </c>
      <c r="J2661" s="3" t="str">
        <f>HYPERLINK("https://www.boe.es/gazeta/dias/1809/03/15/pdfs/GMD-1809-74.pdf#page=4","Abrir facsímil")</f>
        <v>Abrir facsímil</v>
      </c>
      <c r="K2661" s="3" t="s">
        <v>57</v>
      </c>
    </row>
    <row r="2662" spans="1:11" ht="42" customHeight="1">
      <c r="A2662" s="2" t="s">
        <v>7205</v>
      </c>
      <c r="B2662" s="2" t="s">
        <v>7205</v>
      </c>
      <c r="C2662" s="2" t="s">
        <v>25</v>
      </c>
      <c r="D2662" s="2" t="s">
        <v>18</v>
      </c>
      <c r="E2662" s="3" t="s">
        <v>1667</v>
      </c>
      <c r="F2662" s="3" t="s">
        <v>1668</v>
      </c>
      <c r="G2662" s="3" t="s">
        <v>5929</v>
      </c>
      <c r="H2662" s="2" t="s">
        <v>55</v>
      </c>
      <c r="I2662" s="2" t="s">
        <v>7206</v>
      </c>
      <c r="J2662" s="3" t="str">
        <f>HYPERLINK("https://www.boe.es/gazeta/dias/1809/02/21/pdfs/GMD-1809-52.pdf#page=5","Abrir facsímil")</f>
        <v>Abrir facsímil</v>
      </c>
      <c r="K2662" s="3" t="s">
        <v>57</v>
      </c>
    </row>
    <row r="2663" spans="1:11" ht="42" customHeight="1">
      <c r="A2663" s="2" t="s">
        <v>7207</v>
      </c>
      <c r="B2663" s="2" t="s">
        <v>7207</v>
      </c>
      <c r="C2663" s="2" t="s">
        <v>25</v>
      </c>
      <c r="D2663" s="2" t="s">
        <v>26</v>
      </c>
      <c r="E2663" s="3" t="s">
        <v>1616</v>
      </c>
      <c r="F2663" s="3" t="s">
        <v>1617</v>
      </c>
      <c r="G2663" s="3" t="s">
        <v>29</v>
      </c>
      <c r="H2663" s="2" t="s">
        <v>55</v>
      </c>
      <c r="I2663" s="2" t="s">
        <v>7208</v>
      </c>
      <c r="J2663" s="3" t="str">
        <f>HYPERLINK("https://www.boe.es/gazeta/dias/1809/01/14/pdfs/GGB-1809-3.pdf#page=3","Abrir facsímil")</f>
        <v>Abrir facsímil</v>
      </c>
      <c r="K2663" s="3" t="s">
        <v>57</v>
      </c>
    </row>
    <row r="2664" spans="1:11" ht="42" customHeight="1">
      <c r="A2664" s="2" t="s">
        <v>7209</v>
      </c>
      <c r="B2664" s="2" t="s">
        <v>7209</v>
      </c>
      <c r="C2664" s="2" t="s">
        <v>25</v>
      </c>
      <c r="D2664" s="2" t="s">
        <v>26</v>
      </c>
      <c r="E2664" s="3" t="s">
        <v>3031</v>
      </c>
      <c r="F2664" s="3" t="s">
        <v>3032</v>
      </c>
      <c r="G2664" s="3" t="s">
        <v>239</v>
      </c>
      <c r="H2664" s="2" t="s">
        <v>55</v>
      </c>
      <c r="I2664" s="2" t="s">
        <v>7210</v>
      </c>
      <c r="J2664" s="3" t="str">
        <f>HYPERLINK("https://www.boe.es/gazeta/dias/1809/08/18/pdfs/GMD-1809-231.pdf#page=2","Abrir facsímil")</f>
        <v>Abrir facsímil</v>
      </c>
      <c r="K2664" s="3" t="s">
        <v>57</v>
      </c>
    </row>
    <row r="2665" spans="1:11" ht="42" customHeight="1">
      <c r="A2665" s="2" t="s">
        <v>7211</v>
      </c>
      <c r="B2665" s="2" t="s">
        <v>7212</v>
      </c>
      <c r="C2665" s="2" t="s">
        <v>47</v>
      </c>
      <c r="D2665" s="2" t="s">
        <v>40</v>
      </c>
      <c r="E2665" s="3" t="s">
        <v>7192</v>
      </c>
      <c r="F2665" s="3" t="s">
        <v>7193</v>
      </c>
      <c r="G2665" s="3" t="s">
        <v>7213</v>
      </c>
      <c r="H2665" s="2" t="s">
        <v>55</v>
      </c>
      <c r="I2665" s="2" t="s">
        <v>7214</v>
      </c>
      <c r="J2665" s="3" t="str">
        <f>HYPERLINK("https://www.boe.es/gazeta/dias/1809/06/14/pdfs/GMD-1809-165.pdf#page=4","Abrir facsímil")</f>
        <v>Abrir facsímil</v>
      </c>
      <c r="K2665" s="3" t="s">
        <v>57</v>
      </c>
    </row>
    <row r="2666" spans="1:11" ht="42" customHeight="1">
      <c r="A2666" s="2" t="s">
        <v>7215</v>
      </c>
      <c r="B2666" s="2" t="s">
        <v>7215</v>
      </c>
      <c r="C2666" s="2" t="s">
        <v>131</v>
      </c>
      <c r="D2666" s="2" t="s">
        <v>26</v>
      </c>
      <c r="E2666" s="3" t="s">
        <v>278</v>
      </c>
      <c r="F2666" s="3" t="s">
        <v>279</v>
      </c>
      <c r="G2666" s="3" t="s">
        <v>1680</v>
      </c>
      <c r="H2666" s="2" t="s">
        <v>55</v>
      </c>
      <c r="I2666" s="2" t="s">
        <v>7216</v>
      </c>
      <c r="J2666" s="3" t="str">
        <f>HYPERLINK("https://www.boe.es/gazeta/dias/1809/03/26/pdfs/GMD-1809-85.pdf#page=4","Abrir facsímil")</f>
        <v>Abrir facsímil</v>
      </c>
      <c r="K2666" s="3" t="s">
        <v>57</v>
      </c>
    </row>
    <row r="2667" spans="1:11" ht="42" customHeight="1">
      <c r="A2667" s="2" t="s">
        <v>7217</v>
      </c>
      <c r="B2667" s="2" t="s">
        <v>7217</v>
      </c>
      <c r="C2667" s="2" t="s">
        <v>25</v>
      </c>
      <c r="D2667" s="2" t="s">
        <v>80</v>
      </c>
      <c r="E2667" s="3" t="s">
        <v>1736</v>
      </c>
      <c r="F2667" s="3" t="s">
        <v>7218</v>
      </c>
      <c r="G2667" s="3" t="s">
        <v>651</v>
      </c>
      <c r="H2667" s="2" t="s">
        <v>55</v>
      </c>
      <c r="I2667" s="2" t="s">
        <v>7219</v>
      </c>
      <c r="J2667" s="3" t="str">
        <f>HYPERLINK("https://www.boe.es/gazeta/dias/1809/02/28/pdfs/GGB-1809-9E.pdf#page=1","Abrir facsímil")</f>
        <v>Abrir facsímil</v>
      </c>
      <c r="K2667" s="3" t="s">
        <v>57</v>
      </c>
    </row>
    <row r="2668" spans="1:11" ht="42" customHeight="1">
      <c r="A2668" s="2" t="s">
        <v>7220</v>
      </c>
      <c r="B2668" s="2" t="s">
        <v>7220</v>
      </c>
      <c r="C2668" s="2" t="s">
        <v>25</v>
      </c>
      <c r="D2668" s="2" t="s">
        <v>26</v>
      </c>
      <c r="E2668" s="3" t="s">
        <v>739</v>
      </c>
      <c r="F2668" s="3" t="s">
        <v>3666</v>
      </c>
      <c r="G2668" s="3" t="s">
        <v>582</v>
      </c>
      <c r="H2668" s="2" t="s">
        <v>55</v>
      </c>
      <c r="I2668" s="2" t="s">
        <v>7221</v>
      </c>
      <c r="J2668" s="3" t="str">
        <f>HYPERLINK("https://www.boe.es/gazeta/dias/1809/05/08/pdfs/GGB-G-1809-25.pdf#page=1","Abrir facsímil")</f>
        <v>Abrir facsímil</v>
      </c>
      <c r="K2668" s="3" t="s">
        <v>57</v>
      </c>
    </row>
    <row r="2669" spans="1:11" ht="42" customHeight="1">
      <c r="A2669" s="2" t="s">
        <v>7222</v>
      </c>
      <c r="B2669" s="2" t="s">
        <v>7222</v>
      </c>
      <c r="C2669" s="2" t="s">
        <v>47</v>
      </c>
      <c r="D2669" s="2" t="s">
        <v>18</v>
      </c>
      <c r="E2669" s="3" t="s">
        <v>548</v>
      </c>
      <c r="F2669" s="3" t="s">
        <v>549</v>
      </c>
      <c r="G2669" s="3" t="s">
        <v>687</v>
      </c>
      <c r="H2669" s="2" t="s">
        <v>55</v>
      </c>
      <c r="I2669" s="2" t="s">
        <v>7223</v>
      </c>
      <c r="J2669" s="3" t="str">
        <f>HYPERLINK("https://www.boe.es/gazeta/dias/1809/03/12/pdfs/GMD-1809-71.pdf#page=2","Abrir facsímil")</f>
        <v>Abrir facsímil</v>
      </c>
      <c r="K2669" s="3" t="s">
        <v>57</v>
      </c>
    </row>
    <row r="2670" spans="1:11" ht="42" customHeight="1">
      <c r="A2670" s="2" t="s">
        <v>7224</v>
      </c>
      <c r="B2670" s="2" t="s">
        <v>7224</v>
      </c>
      <c r="C2670" s="2" t="s">
        <v>25</v>
      </c>
      <c r="D2670" s="2" t="s">
        <v>26</v>
      </c>
      <c r="E2670" s="3" t="s">
        <v>1502</v>
      </c>
      <c r="F2670" s="3" t="s">
        <v>1503</v>
      </c>
      <c r="G2670" s="3" t="s">
        <v>1504</v>
      </c>
      <c r="H2670" s="2" t="s">
        <v>55</v>
      </c>
      <c r="I2670" s="2" t="s">
        <v>7225</v>
      </c>
      <c r="J2670" s="3" t="str">
        <f>HYPERLINK("https://www.boe.es/gazeta/dias/1809/06/18/pdfs/GMD-1809-169.pdf#page=3","Abrir facsímil")</f>
        <v>Abrir facsímil</v>
      </c>
      <c r="K2670" s="3" t="s">
        <v>57</v>
      </c>
    </row>
    <row r="2671" spans="1:11" ht="42" customHeight="1">
      <c r="A2671" s="2" t="s">
        <v>7224</v>
      </c>
      <c r="B2671" s="2" t="s">
        <v>7224</v>
      </c>
      <c r="C2671" s="2" t="s">
        <v>25</v>
      </c>
      <c r="D2671" s="2" t="s">
        <v>18</v>
      </c>
      <c r="E2671" s="3" t="s">
        <v>508</v>
      </c>
      <c r="F2671" s="3" t="s">
        <v>509</v>
      </c>
      <c r="G2671" s="3" t="s">
        <v>1138</v>
      </c>
      <c r="H2671" s="2" t="s">
        <v>55</v>
      </c>
      <c r="I2671" s="2" t="s">
        <v>7226</v>
      </c>
      <c r="J2671" s="3" t="str">
        <f>HYPERLINK("https://www.boe.es/gazeta/dias/1809/06/21/pdfs/GMD-1809-172.pdf#page=2","Abrir facsímil")</f>
        <v>Abrir facsímil</v>
      </c>
      <c r="K2671" s="3" t="s">
        <v>57</v>
      </c>
    </row>
    <row r="2672" spans="1:11" ht="42" customHeight="1">
      <c r="A2672" s="2" t="s">
        <v>7227</v>
      </c>
      <c r="B2672" s="2" t="s">
        <v>7227</v>
      </c>
      <c r="C2672" s="2" t="s">
        <v>25</v>
      </c>
      <c r="D2672" s="2" t="s">
        <v>26</v>
      </c>
      <c r="E2672" s="3" t="s">
        <v>167</v>
      </c>
      <c r="F2672" s="3" t="s">
        <v>168</v>
      </c>
      <c r="G2672" s="3" t="s">
        <v>239</v>
      </c>
      <c r="H2672" s="2" t="s">
        <v>55</v>
      </c>
      <c r="I2672" s="2" t="s">
        <v>7228</v>
      </c>
      <c r="J2672" s="3" t="str">
        <f>HYPERLINK("https://www.boe.es/gazeta/dias/1809/06/19/pdfs/GGB-1809-38.pdf#page=7","Abrir facsímil")</f>
        <v>Abrir facsímil</v>
      </c>
      <c r="K2672" s="3" t="s">
        <v>57</v>
      </c>
    </row>
    <row r="2673" spans="1:11" ht="42" customHeight="1">
      <c r="A2673" s="2" t="s">
        <v>7229</v>
      </c>
      <c r="B2673" s="2" t="s">
        <v>7229</v>
      </c>
      <c r="C2673" s="2" t="s">
        <v>25</v>
      </c>
      <c r="D2673" s="2" t="s">
        <v>107</v>
      </c>
      <c r="E2673" s="3" t="s">
        <v>2381</v>
      </c>
      <c r="F2673" s="3" t="s">
        <v>2382</v>
      </c>
      <c r="G2673" s="3" t="s">
        <v>2383</v>
      </c>
      <c r="H2673" s="2" t="s">
        <v>55</v>
      </c>
      <c r="I2673" s="2" t="s">
        <v>7230</v>
      </c>
      <c r="J2673" s="3" t="str">
        <f>HYPERLINK("https://www.boe.es/gazeta/dias/1809/05/14/pdfs/GMD-1809-134.pdf#page=2","Abrir facsímil")</f>
        <v>Abrir facsímil</v>
      </c>
      <c r="K2673" s="3" t="s">
        <v>57</v>
      </c>
    </row>
    <row r="2674" spans="1:11" ht="42" customHeight="1">
      <c r="A2674" s="2" t="s">
        <v>7229</v>
      </c>
      <c r="B2674" s="2" t="s">
        <v>7229</v>
      </c>
      <c r="C2674" s="2" t="s">
        <v>25</v>
      </c>
      <c r="D2674" s="2" t="s">
        <v>18</v>
      </c>
      <c r="E2674" s="3" t="s">
        <v>2381</v>
      </c>
      <c r="F2674" s="3" t="s">
        <v>2382</v>
      </c>
      <c r="G2674" s="3" t="s">
        <v>29</v>
      </c>
      <c r="H2674" s="2" t="s">
        <v>55</v>
      </c>
      <c r="I2674" s="2" t="s">
        <v>7231</v>
      </c>
      <c r="J2674" s="3" t="str">
        <f>HYPERLINK("https://www.boe.es/gazeta/dias/1809/05/14/pdfs/GMD-1809-134.pdf#page=3","Abrir facsímil")</f>
        <v>Abrir facsímil</v>
      </c>
      <c r="K2674" s="3" t="s">
        <v>57</v>
      </c>
    </row>
    <row r="2675" spans="1:11" ht="42" customHeight="1">
      <c r="A2675" s="2" t="s">
        <v>7229</v>
      </c>
      <c r="B2675" s="2" t="s">
        <v>7229</v>
      </c>
      <c r="C2675" s="2" t="s">
        <v>25</v>
      </c>
      <c r="D2675" s="2" t="s">
        <v>18</v>
      </c>
      <c r="E2675" s="3" t="s">
        <v>1891</v>
      </c>
      <c r="F2675" s="3" t="s">
        <v>6410</v>
      </c>
      <c r="G2675" s="3" t="s">
        <v>6411</v>
      </c>
      <c r="H2675" s="2" t="s">
        <v>55</v>
      </c>
      <c r="I2675" s="2" t="s">
        <v>7232</v>
      </c>
      <c r="J2675" s="3" t="str">
        <f>HYPERLINK("https://www.boe.es/gazeta/dias/1809/06/10/pdfs/GMD-1809-161.pdf#page=3","Abrir facsímil")</f>
        <v>Abrir facsímil</v>
      </c>
      <c r="K2675" s="3" t="s">
        <v>57</v>
      </c>
    </row>
    <row r="2676" spans="1:11" ht="42" customHeight="1">
      <c r="A2676" s="2" t="s">
        <v>7229</v>
      </c>
      <c r="B2676" s="2" t="s">
        <v>7229</v>
      </c>
      <c r="C2676" s="2" t="s">
        <v>25</v>
      </c>
      <c r="D2676" s="2" t="s">
        <v>26</v>
      </c>
      <c r="E2676" s="3" t="s">
        <v>2595</v>
      </c>
      <c r="F2676" s="3" t="s">
        <v>6932</v>
      </c>
      <c r="G2676" s="3" t="s">
        <v>75</v>
      </c>
      <c r="H2676" s="2" t="s">
        <v>55</v>
      </c>
      <c r="I2676" s="2" t="s">
        <v>7233</v>
      </c>
      <c r="J2676" s="3" t="str">
        <f>HYPERLINK("https://www.boe.es/gazeta/dias/1809/06/16/pdfs/GGB-1809-37.pdf#page=2","Abrir facsímil")</f>
        <v>Abrir facsímil</v>
      </c>
      <c r="K2676" s="3" t="s">
        <v>57</v>
      </c>
    </row>
    <row r="2677" spans="1:11" ht="42" customHeight="1">
      <c r="A2677" s="2" t="s">
        <v>7229</v>
      </c>
      <c r="B2677" s="2" t="s">
        <v>7229</v>
      </c>
      <c r="C2677" s="2" t="s">
        <v>25</v>
      </c>
      <c r="D2677" s="2" t="s">
        <v>26</v>
      </c>
      <c r="E2677" s="3" t="s">
        <v>167</v>
      </c>
      <c r="F2677" s="3" t="s">
        <v>168</v>
      </c>
      <c r="G2677" s="3" t="s">
        <v>154</v>
      </c>
      <c r="H2677" s="2" t="s">
        <v>55</v>
      </c>
      <c r="I2677" s="2" t="s">
        <v>7234</v>
      </c>
      <c r="J2677" s="3" t="str">
        <f>HYPERLINK("https://www.boe.es/gazeta/dias/1809/06/19/pdfs/GGB-1809-38.pdf#page=9","Abrir facsímil")</f>
        <v>Abrir facsímil</v>
      </c>
      <c r="K2677" s="3" t="s">
        <v>57</v>
      </c>
    </row>
    <row r="2678" spans="1:11" ht="42" customHeight="1">
      <c r="A2678" s="2" t="s">
        <v>7235</v>
      </c>
      <c r="B2678" s="2" t="s">
        <v>7235</v>
      </c>
      <c r="C2678" s="2" t="s">
        <v>17</v>
      </c>
      <c r="D2678" s="2" t="s">
        <v>18</v>
      </c>
      <c r="E2678" s="3" t="s">
        <v>4865</v>
      </c>
      <c r="F2678" s="3" t="s">
        <v>4866</v>
      </c>
      <c r="G2678" s="3" t="s">
        <v>21</v>
      </c>
      <c r="H2678" s="2" t="s">
        <v>55</v>
      </c>
      <c r="I2678" s="2" t="s">
        <v>7236</v>
      </c>
      <c r="J2678" s="3" t="str">
        <f>HYPERLINK("https://www.boe.es/gazeta/dias/1809/05/17/pdfs/GMD-1809-137.pdf#page=4","Abrir facsímil")</f>
        <v>Abrir facsímil</v>
      </c>
      <c r="K2678" s="3" t="s">
        <v>57</v>
      </c>
    </row>
    <row r="2679" spans="1:11" ht="42" customHeight="1">
      <c r="A2679" s="2" t="s">
        <v>7235</v>
      </c>
      <c r="B2679" s="2" t="s">
        <v>7235</v>
      </c>
      <c r="C2679" s="2" t="s">
        <v>47</v>
      </c>
      <c r="D2679" s="2" t="s">
        <v>107</v>
      </c>
      <c r="E2679" s="3" t="s">
        <v>1594</v>
      </c>
      <c r="F2679" s="3" t="s">
        <v>1595</v>
      </c>
      <c r="G2679" s="3" t="s">
        <v>225</v>
      </c>
      <c r="H2679" s="2" t="s">
        <v>55</v>
      </c>
      <c r="I2679" s="2" t="s">
        <v>7237</v>
      </c>
      <c r="J2679" s="3" t="str">
        <f>HYPERLINK("https://www.boe.es/gazeta/dias/1809/05/31/pdfs/GMD-1809-151.pdf#page=4","Abrir facsímil")</f>
        <v>Abrir facsímil</v>
      </c>
      <c r="K2679" s="3" t="s">
        <v>57</v>
      </c>
    </row>
    <row r="2680" spans="1:11" ht="42" customHeight="1">
      <c r="A2680" s="2" t="s">
        <v>7238</v>
      </c>
      <c r="B2680" s="2" t="s">
        <v>7239</v>
      </c>
      <c r="C2680" s="2" t="s">
        <v>17</v>
      </c>
      <c r="D2680" s="2" t="s">
        <v>18</v>
      </c>
      <c r="E2680" s="3" t="s">
        <v>232</v>
      </c>
      <c r="F2680" s="3" t="s">
        <v>233</v>
      </c>
      <c r="G2680" s="3" t="s">
        <v>234</v>
      </c>
      <c r="H2680" s="2" t="s">
        <v>55</v>
      </c>
      <c r="I2680" s="2" t="s">
        <v>7240</v>
      </c>
      <c r="J2680" s="3" t="str">
        <f>HYPERLINK("https://www.boe.es/gazeta/dias/1809/06/04/pdfs/GMD-1809-155.pdf#page=4","Abrir facsímil")</f>
        <v>Abrir facsímil</v>
      </c>
      <c r="K2680" s="3" t="s">
        <v>57</v>
      </c>
    </row>
    <row r="2681" spans="1:11" ht="42" customHeight="1">
      <c r="A2681" s="2" t="s">
        <v>7241</v>
      </c>
      <c r="B2681" s="2" t="s">
        <v>7241</v>
      </c>
      <c r="C2681" s="2" t="s">
        <v>25</v>
      </c>
      <c r="D2681" s="2" t="s">
        <v>26</v>
      </c>
      <c r="E2681" s="3" t="s">
        <v>432</v>
      </c>
      <c r="F2681" s="3" t="s">
        <v>433</v>
      </c>
      <c r="G2681" s="3" t="s">
        <v>362</v>
      </c>
      <c r="H2681" s="2" t="s">
        <v>55</v>
      </c>
      <c r="I2681" s="2" t="s">
        <v>7242</v>
      </c>
      <c r="J2681" s="3" t="str">
        <f>HYPERLINK("https://www.boe.es/gazeta/dias/1809/07/11/pdfs/GMD-1809-192.pdf#page=1","Abrir facsímil")</f>
        <v>Abrir facsímil</v>
      </c>
      <c r="K2681" s="3" t="s">
        <v>57</v>
      </c>
    </row>
    <row r="2682" spans="1:11" ht="42" customHeight="1">
      <c r="A2682" s="2" t="s">
        <v>7243</v>
      </c>
      <c r="B2682" s="2" t="s">
        <v>7244</v>
      </c>
      <c r="C2682" s="2" t="s">
        <v>47</v>
      </c>
      <c r="D2682" s="2" t="s">
        <v>18</v>
      </c>
      <c r="E2682" s="3" t="s">
        <v>893</v>
      </c>
      <c r="F2682" s="3" t="s">
        <v>894</v>
      </c>
      <c r="G2682" s="3" t="s">
        <v>225</v>
      </c>
      <c r="H2682" s="2" t="s">
        <v>55</v>
      </c>
      <c r="I2682" s="2" t="s">
        <v>7245</v>
      </c>
      <c r="J2682" s="3" t="str">
        <f>HYPERLINK("https://www.boe.es/gazeta/dias/1809/11/02/pdfs/GMD-1809-307.pdf#page=4","Abrir facsímil")</f>
        <v>Abrir facsímil</v>
      </c>
      <c r="K2682" s="3" t="s">
        <v>57</v>
      </c>
    </row>
    <row r="2683" spans="1:11" ht="42" customHeight="1">
      <c r="A2683" s="2" t="s">
        <v>7246</v>
      </c>
      <c r="B2683" s="2" t="s">
        <v>7246</v>
      </c>
      <c r="C2683" s="2" t="s">
        <v>25</v>
      </c>
      <c r="D2683" s="2" t="s">
        <v>26</v>
      </c>
      <c r="E2683" s="3" t="s">
        <v>868</v>
      </c>
      <c r="F2683" s="3" t="s">
        <v>869</v>
      </c>
      <c r="G2683" s="3" t="s">
        <v>270</v>
      </c>
      <c r="H2683" s="2" t="s">
        <v>55</v>
      </c>
      <c r="I2683" s="2" t="s">
        <v>7247</v>
      </c>
      <c r="J2683" s="3" t="str">
        <f>HYPERLINK("https://www.boe.es/gazeta/dias/1809/09/22/pdfs/GMD-1809-266.pdf#page=2","Abrir facsímil")</f>
        <v>Abrir facsímil</v>
      </c>
      <c r="K2683" s="3" t="s">
        <v>57</v>
      </c>
    </row>
    <row r="2684" spans="1:11" ht="42" customHeight="1">
      <c r="A2684" s="2" t="s">
        <v>7248</v>
      </c>
      <c r="B2684" s="2" t="s">
        <v>7248</v>
      </c>
      <c r="C2684" s="2" t="s">
        <v>25</v>
      </c>
      <c r="D2684" s="2" t="s">
        <v>18</v>
      </c>
      <c r="E2684" s="3" t="s">
        <v>211</v>
      </c>
      <c r="F2684" s="3" t="s">
        <v>212</v>
      </c>
      <c r="G2684" s="3" t="s">
        <v>467</v>
      </c>
      <c r="H2684" s="2" t="s">
        <v>55</v>
      </c>
      <c r="I2684" s="2" t="s">
        <v>7249</v>
      </c>
      <c r="J2684" s="3" t="str">
        <f>HYPERLINK("https://www.boe.es/gazeta/dias/1809/10/27/pdfs/GMD-1809-301.pdf#page=2","Abrir facsímil")</f>
        <v>Abrir facsímil</v>
      </c>
      <c r="K2684" s="3" t="s">
        <v>57</v>
      </c>
    </row>
    <row r="2685" spans="1:11" ht="42" customHeight="1">
      <c r="A2685" s="2" t="s">
        <v>7250</v>
      </c>
      <c r="B2685" s="2" t="s">
        <v>7251</v>
      </c>
      <c r="C2685" s="2" t="s">
        <v>79</v>
      </c>
      <c r="D2685" s="2" t="s">
        <v>18</v>
      </c>
      <c r="E2685" s="3" t="s">
        <v>730</v>
      </c>
      <c r="F2685" s="3" t="s">
        <v>731</v>
      </c>
      <c r="G2685" s="3" t="s">
        <v>62</v>
      </c>
      <c r="H2685" s="2" t="s">
        <v>55</v>
      </c>
      <c r="I2685" s="2" t="s">
        <v>7252</v>
      </c>
      <c r="J2685" s="3" t="str">
        <f>HYPERLINK("https://www.boe.es/gazeta/dias/1809/06/23/pdfs/GMD-1809-174.pdf#page=3","Abrir facsímil")</f>
        <v>Abrir facsímil</v>
      </c>
      <c r="K2685" s="3" t="s">
        <v>57</v>
      </c>
    </row>
    <row r="2686" spans="1:11" ht="42" customHeight="1">
      <c r="A2686" s="2" t="s">
        <v>7253</v>
      </c>
      <c r="B2686" s="2" t="s">
        <v>7254</v>
      </c>
      <c r="C2686" s="2" t="s">
        <v>17</v>
      </c>
      <c r="D2686" s="2" t="s">
        <v>18</v>
      </c>
      <c r="E2686" s="3" t="s">
        <v>33</v>
      </c>
      <c r="F2686" s="3" t="s">
        <v>34</v>
      </c>
      <c r="G2686" s="3" t="s">
        <v>35</v>
      </c>
      <c r="H2686" s="2" t="s">
        <v>22</v>
      </c>
      <c r="I2686" s="2" t="s">
        <v>7255</v>
      </c>
      <c r="J2686" s="3" t="str">
        <f>HYPERLINK("https://www.boe.es/gazeta/dias/1809/12/19/pdfs/GGB-1809-602.pdf#page=5","Abrir facsímil")</f>
        <v>Abrir facsímil</v>
      </c>
      <c r="K2686" s="3" t="s">
        <v>24</v>
      </c>
    </row>
    <row r="2687" spans="1:11" ht="42" customHeight="1">
      <c r="A2687" s="2" t="s">
        <v>7256</v>
      </c>
      <c r="B2687" s="2" t="s">
        <v>7256</v>
      </c>
      <c r="C2687" s="2" t="s">
        <v>39</v>
      </c>
      <c r="D2687" s="2" t="s">
        <v>18</v>
      </c>
      <c r="E2687" s="3" t="s">
        <v>3880</v>
      </c>
      <c r="F2687" s="3" t="s">
        <v>5444</v>
      </c>
      <c r="G2687" s="3" t="s">
        <v>7257</v>
      </c>
      <c r="H2687" s="2" t="s">
        <v>55</v>
      </c>
      <c r="I2687" s="2" t="s">
        <v>7258</v>
      </c>
      <c r="J2687" s="3" t="str">
        <f>HYPERLINK("https://www.boe.es/gazeta/dias/1809/03/25/pdfs/GMD-1809-84.pdf#page=2","Abrir facsímil")</f>
        <v>Abrir facsímil</v>
      </c>
      <c r="K2687" s="3" t="s">
        <v>57</v>
      </c>
    </row>
    <row r="2688" spans="1:11" ht="42" customHeight="1">
      <c r="A2688" s="2" t="s">
        <v>7256</v>
      </c>
      <c r="B2688" s="2" t="s">
        <v>7256</v>
      </c>
      <c r="C2688" s="2" t="s">
        <v>131</v>
      </c>
      <c r="D2688" s="2" t="s">
        <v>18</v>
      </c>
      <c r="E2688" s="3" t="s">
        <v>102</v>
      </c>
      <c r="F2688" s="3" t="s">
        <v>103</v>
      </c>
      <c r="G2688" s="3" t="s">
        <v>1706</v>
      </c>
      <c r="H2688" s="2" t="s">
        <v>55</v>
      </c>
      <c r="I2688" s="2" t="s">
        <v>7259</v>
      </c>
      <c r="J2688" s="3" t="str">
        <f>HYPERLINK("https://www.boe.es/gazeta/dias/1809/09/28/pdfs/GGB-1809-252.pdf#page=5","Abrir facsímil")</f>
        <v>Abrir facsímil</v>
      </c>
      <c r="K2688" s="3" t="s">
        <v>57</v>
      </c>
    </row>
    <row r="2689" spans="1:11" ht="42" customHeight="1">
      <c r="A2689" s="2" t="s">
        <v>7256</v>
      </c>
      <c r="B2689" s="2" t="s">
        <v>7256</v>
      </c>
      <c r="C2689" s="2" t="s">
        <v>17</v>
      </c>
      <c r="D2689" s="2" t="s">
        <v>18</v>
      </c>
      <c r="E2689" s="3" t="s">
        <v>33</v>
      </c>
      <c r="F2689" s="3" t="s">
        <v>34</v>
      </c>
      <c r="G2689" s="3" t="s">
        <v>493</v>
      </c>
      <c r="H2689" s="2" t="s">
        <v>55</v>
      </c>
      <c r="I2689" s="2" t="s">
        <v>7260</v>
      </c>
      <c r="J2689" s="3" t="str">
        <f>HYPERLINK("https://www.boe.es/gazeta/dias/1809/12/19/pdfs/GGB-1809-602.pdf#page=6","Abrir facsímil")</f>
        <v>Abrir facsímil</v>
      </c>
      <c r="K2689" s="3" t="s">
        <v>57</v>
      </c>
    </row>
    <row r="2690" spans="1:11" ht="42" customHeight="1">
      <c r="A2690" s="2" t="s">
        <v>7261</v>
      </c>
      <c r="B2690" s="2" t="s">
        <v>7261</v>
      </c>
      <c r="C2690" s="2" t="s">
        <v>25</v>
      </c>
      <c r="D2690" s="2" t="s">
        <v>18</v>
      </c>
      <c r="E2690" s="3" t="s">
        <v>211</v>
      </c>
      <c r="F2690" s="3" t="s">
        <v>212</v>
      </c>
      <c r="G2690" s="3" t="s">
        <v>29</v>
      </c>
      <c r="H2690" s="2" t="s">
        <v>55</v>
      </c>
      <c r="I2690" s="2" t="s">
        <v>7262</v>
      </c>
      <c r="J2690" s="3" t="str">
        <f>HYPERLINK("https://www.boe.es/gazeta/dias/1809/10/27/pdfs/GMD-1809-301.pdf#page=3","Abrir facsímil")</f>
        <v>Abrir facsímil</v>
      </c>
      <c r="K2690" s="3" t="s">
        <v>57</v>
      </c>
    </row>
    <row r="2691" spans="1:11" ht="42" customHeight="1">
      <c r="A2691" s="2" t="s">
        <v>7261</v>
      </c>
      <c r="B2691" s="2" t="s">
        <v>7261</v>
      </c>
      <c r="C2691" s="2" t="s">
        <v>17</v>
      </c>
      <c r="D2691" s="2" t="s">
        <v>18</v>
      </c>
      <c r="E2691" s="3" t="s">
        <v>211</v>
      </c>
      <c r="F2691" s="3" t="s">
        <v>212</v>
      </c>
      <c r="G2691" s="3" t="s">
        <v>213</v>
      </c>
      <c r="H2691" s="2" t="s">
        <v>55</v>
      </c>
      <c r="I2691" s="2" t="s">
        <v>7263</v>
      </c>
      <c r="J2691" s="3" t="str">
        <f>HYPERLINK("https://www.boe.es/gazeta/dias/1809/10/27/pdfs/GMD-1809-301.pdf#page=4","Abrir facsímil")</f>
        <v>Abrir facsímil</v>
      </c>
      <c r="K2691" s="3" t="s">
        <v>57</v>
      </c>
    </row>
    <row r="2692" spans="1:11" ht="42" customHeight="1">
      <c r="A2692" s="2" t="s">
        <v>7261</v>
      </c>
      <c r="B2692" s="2" t="s">
        <v>7261</v>
      </c>
      <c r="C2692" s="2" t="s">
        <v>25</v>
      </c>
      <c r="D2692" s="2" t="s">
        <v>26</v>
      </c>
      <c r="E2692" s="3" t="s">
        <v>223</v>
      </c>
      <c r="F2692" s="3" t="s">
        <v>224</v>
      </c>
      <c r="G2692" s="3" t="s">
        <v>225</v>
      </c>
      <c r="H2692" s="2" t="s">
        <v>55</v>
      </c>
      <c r="I2692" s="2" t="s">
        <v>7264</v>
      </c>
      <c r="J2692" s="3" t="str">
        <f>HYPERLINK("https://www.boe.es/gazeta/dias/1809/12/17/pdfs/GMD-1809-352.pdf#page=4","Abrir facsímil")</f>
        <v>Abrir facsímil</v>
      </c>
      <c r="K2692" s="3" t="s">
        <v>57</v>
      </c>
    </row>
    <row r="2693" spans="1:11" ht="42" customHeight="1">
      <c r="A2693" s="2" t="s">
        <v>7261</v>
      </c>
      <c r="B2693" s="2" t="s">
        <v>7261</v>
      </c>
      <c r="C2693" s="2" t="s">
        <v>17</v>
      </c>
      <c r="D2693" s="2" t="s">
        <v>107</v>
      </c>
      <c r="E2693" s="3" t="s">
        <v>5322</v>
      </c>
      <c r="F2693" s="3" t="s">
        <v>5323</v>
      </c>
      <c r="G2693" s="3" t="s">
        <v>129</v>
      </c>
      <c r="H2693" s="2" t="s">
        <v>55</v>
      </c>
      <c r="I2693" s="2" t="s">
        <v>7265</v>
      </c>
      <c r="J2693" s="3" t="str">
        <f>HYPERLINK("https://www.boe.es/gazeta/dias/1809/12/31/pdfs/GMD-1809-366.pdf#page=2","Abrir facsímil")</f>
        <v>Abrir facsímil</v>
      </c>
      <c r="K2693" s="3" t="s">
        <v>57</v>
      </c>
    </row>
    <row r="2694" spans="1:11" ht="42" customHeight="1">
      <c r="A2694" s="2" t="s">
        <v>7266</v>
      </c>
      <c r="B2694" s="2" t="s">
        <v>7266</v>
      </c>
      <c r="C2694" s="2" t="s">
        <v>79</v>
      </c>
      <c r="D2694" s="2" t="s">
        <v>18</v>
      </c>
      <c r="E2694" s="3" t="s">
        <v>4598</v>
      </c>
      <c r="F2694" s="3" t="s">
        <v>4599</v>
      </c>
      <c r="G2694" s="3" t="s">
        <v>120</v>
      </c>
      <c r="H2694" s="2" t="s">
        <v>55</v>
      </c>
      <c r="I2694" s="2" t="s">
        <v>7267</v>
      </c>
      <c r="J2694" s="3" t="str">
        <f>HYPERLINK("https://www.boe.es/gazeta/dias/1809/12/29/pdfs/GMD-1809-364.pdf#page=4","Abrir facsímil")</f>
        <v>Abrir facsímil</v>
      </c>
      <c r="K2694" s="3" t="s">
        <v>57</v>
      </c>
    </row>
    <row r="2695" spans="1:11" ht="42" customHeight="1">
      <c r="A2695" s="2" t="s">
        <v>7268</v>
      </c>
      <c r="B2695" s="2" t="s">
        <v>7268</v>
      </c>
      <c r="C2695" s="2" t="s">
        <v>25</v>
      </c>
      <c r="D2695" s="2" t="s">
        <v>26</v>
      </c>
      <c r="E2695" s="3" t="s">
        <v>720</v>
      </c>
      <c r="F2695" s="3" t="s">
        <v>721</v>
      </c>
      <c r="G2695" s="3" t="s">
        <v>2251</v>
      </c>
      <c r="H2695" s="2" t="s">
        <v>55</v>
      </c>
      <c r="I2695" s="2" t="s">
        <v>7269</v>
      </c>
      <c r="J2695" s="3" t="str">
        <f>HYPERLINK("https://www.boe.es/gazeta/dias/1809/01/27/pdfs/GGB-G-1809-5.pdf#page=2","Abrir facsímil")</f>
        <v>Abrir facsímil</v>
      </c>
      <c r="K2695" s="3" t="s">
        <v>57</v>
      </c>
    </row>
    <row r="2696" spans="1:11" ht="42" customHeight="1">
      <c r="A2696" s="2" t="s">
        <v>7268</v>
      </c>
      <c r="B2696" s="2" t="s">
        <v>7268</v>
      </c>
      <c r="C2696" s="2" t="s">
        <v>17</v>
      </c>
      <c r="D2696" s="2" t="s">
        <v>18</v>
      </c>
      <c r="E2696" s="3" t="s">
        <v>3321</v>
      </c>
      <c r="F2696" s="3" t="s">
        <v>3322</v>
      </c>
      <c r="G2696" s="3" t="s">
        <v>270</v>
      </c>
      <c r="H2696" s="2" t="s">
        <v>55</v>
      </c>
      <c r="I2696" s="2" t="s">
        <v>7270</v>
      </c>
      <c r="J2696" s="3" t="str">
        <f>HYPERLINK("https://www.boe.es/gazeta/dias/1809/01/29/pdfs/GMD-1809-29.pdf#page=3","Abrir facsímil")</f>
        <v>Abrir facsímil</v>
      </c>
      <c r="K2696" s="3" t="s">
        <v>57</v>
      </c>
    </row>
    <row r="2697" spans="1:11" ht="42" customHeight="1">
      <c r="A2697" s="2" t="s">
        <v>7268</v>
      </c>
      <c r="B2697" s="2" t="s">
        <v>7268</v>
      </c>
      <c r="C2697" s="2" t="s">
        <v>17</v>
      </c>
      <c r="D2697" s="2" t="s">
        <v>18</v>
      </c>
      <c r="E2697" s="3" t="s">
        <v>289</v>
      </c>
      <c r="F2697" s="3" t="s">
        <v>3937</v>
      </c>
      <c r="G2697" s="3" t="s">
        <v>110</v>
      </c>
      <c r="H2697" s="2" t="s">
        <v>55</v>
      </c>
      <c r="I2697" s="2" t="s">
        <v>7271</v>
      </c>
      <c r="J2697" s="3" t="str">
        <f>HYPERLINK("https://www.boe.es/gazeta/dias/1809/05/15/pdfs/GGB-1809-27.pdf#page=10","Abrir facsímil")</f>
        <v>Abrir facsímil</v>
      </c>
      <c r="K2697" s="3" t="s">
        <v>57</v>
      </c>
    </row>
    <row r="2698" spans="1:11" ht="42" customHeight="1">
      <c r="A2698" s="2" t="s">
        <v>7268</v>
      </c>
      <c r="B2698" s="2" t="s">
        <v>7268</v>
      </c>
      <c r="C2698" s="2" t="s">
        <v>17</v>
      </c>
      <c r="D2698" s="2" t="s">
        <v>18</v>
      </c>
      <c r="E2698" s="3" t="s">
        <v>442</v>
      </c>
      <c r="F2698" s="3" t="s">
        <v>2171</v>
      </c>
      <c r="G2698" s="3" t="s">
        <v>2172</v>
      </c>
      <c r="H2698" s="2" t="s">
        <v>55</v>
      </c>
      <c r="I2698" s="2" t="s">
        <v>7272</v>
      </c>
      <c r="J2698" s="3" t="str">
        <f>HYPERLINK("https://www.boe.es/gazeta/dias/1809/09/05/pdfs/GMD-1809-249.pdf#page=4","Abrir facsímil")</f>
        <v>Abrir facsímil</v>
      </c>
      <c r="K2698" s="3" t="s">
        <v>57</v>
      </c>
    </row>
    <row r="2699" spans="1:11" ht="42" customHeight="1">
      <c r="A2699" s="2" t="s">
        <v>7268</v>
      </c>
      <c r="B2699" s="2" t="s">
        <v>7268</v>
      </c>
      <c r="C2699" s="2" t="s">
        <v>17</v>
      </c>
      <c r="D2699" s="2" t="s">
        <v>18</v>
      </c>
      <c r="E2699" s="3" t="s">
        <v>118</v>
      </c>
      <c r="F2699" s="3" t="s">
        <v>2125</v>
      </c>
      <c r="G2699" s="3" t="s">
        <v>3954</v>
      </c>
      <c r="H2699" s="2" t="s">
        <v>55</v>
      </c>
      <c r="I2699" s="2" t="s">
        <v>7273</v>
      </c>
      <c r="J2699" s="3" t="str">
        <f>HYPERLINK("https://www.boe.es/gazeta/dias/1809/09/07/pdfs/GGB-1809-162.pdf#page=5","Abrir facsímil")</f>
        <v>Abrir facsímil</v>
      </c>
      <c r="K2699" s="3" t="s">
        <v>57</v>
      </c>
    </row>
    <row r="2700" spans="1:11" ht="42" customHeight="1">
      <c r="A2700" s="2" t="s">
        <v>7268</v>
      </c>
      <c r="B2700" s="2" t="s">
        <v>7268</v>
      </c>
      <c r="C2700" s="2" t="s">
        <v>17</v>
      </c>
      <c r="D2700" s="2" t="s">
        <v>40</v>
      </c>
      <c r="E2700" s="3" t="s">
        <v>868</v>
      </c>
      <c r="F2700" s="3" t="s">
        <v>869</v>
      </c>
      <c r="G2700" s="3" t="s">
        <v>789</v>
      </c>
      <c r="H2700" s="2" t="s">
        <v>55</v>
      </c>
      <c r="I2700" s="2" t="s">
        <v>7274</v>
      </c>
      <c r="J2700" s="3" t="str">
        <f>HYPERLINK("https://www.boe.es/gazeta/dias/1809/09/22/pdfs/GMD-1809-266.pdf#page=3","Abrir facsímil")</f>
        <v>Abrir facsímil</v>
      </c>
      <c r="K2700" s="3" t="s">
        <v>57</v>
      </c>
    </row>
    <row r="2701" spans="1:11" ht="42" customHeight="1">
      <c r="A2701" s="2" t="s">
        <v>7268</v>
      </c>
      <c r="B2701" s="2" t="s">
        <v>7268</v>
      </c>
      <c r="C2701" s="2" t="s">
        <v>25</v>
      </c>
      <c r="D2701" s="2" t="s">
        <v>18</v>
      </c>
      <c r="E2701" s="3" t="s">
        <v>211</v>
      </c>
      <c r="F2701" s="3" t="s">
        <v>212</v>
      </c>
      <c r="G2701" s="3" t="s">
        <v>467</v>
      </c>
      <c r="H2701" s="2" t="s">
        <v>55</v>
      </c>
      <c r="I2701" s="2" t="s">
        <v>7275</v>
      </c>
      <c r="J2701" s="3" t="str">
        <f>HYPERLINK("https://www.boe.es/gazeta/dias/1809/10/27/pdfs/GMD-1809-301.pdf#page=2","Abrir facsímil")</f>
        <v>Abrir facsímil</v>
      </c>
      <c r="K2701" s="3" t="s">
        <v>57</v>
      </c>
    </row>
    <row r="2702" spans="1:11" ht="42" customHeight="1">
      <c r="A2702" s="2" t="s">
        <v>7268</v>
      </c>
      <c r="B2702" s="2" t="s">
        <v>7268</v>
      </c>
      <c r="C2702" s="2" t="s">
        <v>25</v>
      </c>
      <c r="D2702" s="2" t="s">
        <v>26</v>
      </c>
      <c r="E2702" s="3" t="s">
        <v>216</v>
      </c>
      <c r="F2702" s="3" t="s">
        <v>217</v>
      </c>
      <c r="G2702" s="3" t="s">
        <v>75</v>
      </c>
      <c r="H2702" s="2" t="s">
        <v>55</v>
      </c>
      <c r="I2702" s="2" t="s">
        <v>7276</v>
      </c>
      <c r="J2702" s="3" t="str">
        <f>HYPERLINK("https://www.boe.es/gazeta/dias/1809/12/05/pdfs/GGB-H-1809-542.pdf#page=2","Abrir facsímil")</f>
        <v>Abrir facsímil</v>
      </c>
      <c r="K2702" s="3" t="s">
        <v>57</v>
      </c>
    </row>
    <row r="2703" spans="1:11" ht="42" customHeight="1">
      <c r="A2703" s="2" t="s">
        <v>7268</v>
      </c>
      <c r="B2703" s="2" t="s">
        <v>7268</v>
      </c>
      <c r="C2703" s="2" t="s">
        <v>25</v>
      </c>
      <c r="D2703" s="2" t="s">
        <v>18</v>
      </c>
      <c r="E2703" s="3" t="s">
        <v>220</v>
      </c>
      <c r="F2703" s="3" t="s">
        <v>221</v>
      </c>
      <c r="G2703" s="3" t="s">
        <v>154</v>
      </c>
      <c r="H2703" s="2" t="s">
        <v>55</v>
      </c>
      <c r="I2703" s="2" t="s">
        <v>7277</v>
      </c>
      <c r="J2703" s="3" t="str">
        <f>HYPERLINK("https://www.boe.es/gazeta/dias/1809/12/13/pdfs/GMD-1809-348.pdf#page=4","Abrir facsímil")</f>
        <v>Abrir facsímil</v>
      </c>
      <c r="K2703" s="3" t="s">
        <v>57</v>
      </c>
    </row>
    <row r="2704" spans="1:11" ht="42" customHeight="1">
      <c r="A2704" s="2" t="s">
        <v>7268</v>
      </c>
      <c r="B2704" s="2" t="s">
        <v>7268</v>
      </c>
      <c r="C2704" s="2" t="s">
        <v>17</v>
      </c>
      <c r="D2704" s="2" t="s">
        <v>18</v>
      </c>
      <c r="E2704" s="3" t="s">
        <v>473</v>
      </c>
      <c r="F2704" s="3" t="s">
        <v>474</v>
      </c>
      <c r="G2704" s="3" t="s">
        <v>234</v>
      </c>
      <c r="H2704" s="2" t="s">
        <v>55</v>
      </c>
      <c r="I2704" s="2" t="s">
        <v>7278</v>
      </c>
      <c r="J2704" s="3" t="str">
        <f>HYPERLINK("https://www.boe.es/gazeta/dias/1809/12/28/pdfs/GMD-1809-363.pdf#page=3","Abrir facsímil")</f>
        <v>Abrir facsímil</v>
      </c>
      <c r="K2704" s="3" t="s">
        <v>57</v>
      </c>
    </row>
    <row r="2705" spans="1:11" ht="42" customHeight="1">
      <c r="A2705" s="2" t="s">
        <v>7279</v>
      </c>
      <c r="B2705" s="2" t="s">
        <v>7280</v>
      </c>
      <c r="C2705" s="2" t="s">
        <v>17</v>
      </c>
      <c r="D2705" s="2" t="s">
        <v>72</v>
      </c>
      <c r="E2705" s="3" t="s">
        <v>216</v>
      </c>
      <c r="F2705" s="3" t="s">
        <v>217</v>
      </c>
      <c r="G2705" s="3" t="s">
        <v>94</v>
      </c>
      <c r="H2705" s="2" t="s">
        <v>55</v>
      </c>
      <c r="I2705" s="2" t="s">
        <v>7281</v>
      </c>
      <c r="J2705" s="3" t="str">
        <f>HYPERLINK("https://www.boe.es/gazeta/dias/1809/12/05/pdfs/GGB-H-1809-542.pdf#page=5","Abrir facsímil")</f>
        <v>Abrir facsímil</v>
      </c>
      <c r="K2705" s="3" t="s">
        <v>57</v>
      </c>
    </row>
    <row r="2706" spans="1:11" ht="42" customHeight="1">
      <c r="A2706" s="2" t="s">
        <v>7282</v>
      </c>
      <c r="B2706" s="2" t="s">
        <v>7282</v>
      </c>
      <c r="C2706" s="2" t="s">
        <v>25</v>
      </c>
      <c r="D2706" s="2" t="s">
        <v>18</v>
      </c>
      <c r="E2706" s="3" t="s">
        <v>1213</v>
      </c>
      <c r="F2706" s="3" t="s">
        <v>1214</v>
      </c>
      <c r="G2706" s="3" t="s">
        <v>225</v>
      </c>
      <c r="H2706" s="2" t="s">
        <v>55</v>
      </c>
      <c r="I2706" s="2" t="s">
        <v>7283</v>
      </c>
      <c r="J2706" s="3" t="str">
        <f>HYPERLINK("https://www.boe.es/gazeta/dias/1809/12/20/pdfs/GMD-1809-355.pdf#page=4","Abrir facsímil")</f>
        <v>Abrir facsímil</v>
      </c>
      <c r="K2706" s="3" t="s">
        <v>57</v>
      </c>
    </row>
    <row r="2707" spans="1:11" ht="42" customHeight="1">
      <c r="A2707" s="2" t="s">
        <v>7284</v>
      </c>
      <c r="B2707" s="2" t="s">
        <v>7285</v>
      </c>
      <c r="C2707" s="2" t="s">
        <v>17</v>
      </c>
      <c r="D2707" s="2" t="s">
        <v>40</v>
      </c>
      <c r="E2707" s="3" t="s">
        <v>163</v>
      </c>
      <c r="F2707" s="3" t="s">
        <v>478</v>
      </c>
      <c r="G2707" s="3" t="s">
        <v>2147</v>
      </c>
      <c r="H2707" s="2" t="s">
        <v>55</v>
      </c>
      <c r="I2707" s="2" t="s">
        <v>7286</v>
      </c>
      <c r="J2707" s="3" t="str">
        <f>HYPERLINK("https://www.boe.es/gazeta/dias/1809/03/10/pdfs/GGB-1809-11.pdf#page=10","Abrir facsímil")</f>
        <v>Abrir facsímil</v>
      </c>
      <c r="K2707" s="3" t="s">
        <v>57</v>
      </c>
    </row>
    <row r="2708" spans="1:11" ht="42" customHeight="1">
      <c r="A2708" s="2" t="s">
        <v>7287</v>
      </c>
      <c r="B2708" s="2" t="s">
        <v>7288</v>
      </c>
      <c r="C2708" s="2" t="s">
        <v>17</v>
      </c>
      <c r="D2708" s="2" t="s">
        <v>40</v>
      </c>
      <c r="E2708" s="3" t="s">
        <v>163</v>
      </c>
      <c r="F2708" s="3" t="s">
        <v>478</v>
      </c>
      <c r="G2708" s="3" t="s">
        <v>270</v>
      </c>
      <c r="H2708" s="2" t="s">
        <v>55</v>
      </c>
      <c r="I2708" s="2" t="s">
        <v>7289</v>
      </c>
      <c r="J2708" s="3" t="str">
        <f>HYPERLINK("https://www.boe.es/gazeta/dias/1809/03/10/pdfs/GGB-1809-11.pdf#page=5","Abrir facsímil")</f>
        <v>Abrir facsímil</v>
      </c>
      <c r="K2708" s="3" t="s">
        <v>57</v>
      </c>
    </row>
    <row r="2709" spans="1:11" ht="42" customHeight="1">
      <c r="A2709" s="2" t="s">
        <v>7287</v>
      </c>
      <c r="B2709" s="2" t="s">
        <v>7288</v>
      </c>
      <c r="C2709" s="2" t="s">
        <v>17</v>
      </c>
      <c r="D2709" s="2" t="s">
        <v>40</v>
      </c>
      <c r="E2709" s="3" t="s">
        <v>2346</v>
      </c>
      <c r="F2709" s="3" t="s">
        <v>2347</v>
      </c>
      <c r="G2709" s="3" t="s">
        <v>29</v>
      </c>
      <c r="H2709" s="2" t="s">
        <v>55</v>
      </c>
      <c r="I2709" s="2" t="s">
        <v>7290</v>
      </c>
      <c r="J2709" s="3" t="str">
        <f>HYPERLINK("https://www.boe.es/gazeta/dias/1809/05/02/pdfs/GMD-1809-122.pdf#page=3","Abrir facsímil")</f>
        <v>Abrir facsímil</v>
      </c>
      <c r="K2709" s="3" t="s">
        <v>57</v>
      </c>
    </row>
    <row r="2710" spans="1:11" ht="42" customHeight="1">
      <c r="A2710" s="2" t="s">
        <v>7291</v>
      </c>
      <c r="B2710" s="2" t="s">
        <v>7291</v>
      </c>
      <c r="C2710" s="2" t="s">
        <v>47</v>
      </c>
      <c r="D2710" s="2" t="s">
        <v>72</v>
      </c>
      <c r="E2710" s="3" t="s">
        <v>27</v>
      </c>
      <c r="F2710" s="3" t="s">
        <v>4554</v>
      </c>
      <c r="G2710" s="3" t="s">
        <v>270</v>
      </c>
      <c r="H2710" s="2" t="s">
        <v>55</v>
      </c>
      <c r="I2710" s="2" t="s">
        <v>7292</v>
      </c>
      <c r="J2710" s="3" t="str">
        <f>HYPERLINK("https://www.boe.es/gazeta/dias/1809/05/12/pdfs/GGB-G-1809-26.pdf#page=6","Abrir facsímil")</f>
        <v>Abrir facsímil</v>
      </c>
      <c r="K2710" s="3" t="s">
        <v>57</v>
      </c>
    </row>
    <row r="2711" spans="1:11" ht="42" customHeight="1">
      <c r="A2711" s="2" t="s">
        <v>7293</v>
      </c>
      <c r="B2711" s="2" t="s">
        <v>7293</v>
      </c>
      <c r="C2711" s="2" t="s">
        <v>25</v>
      </c>
      <c r="D2711" s="2" t="s">
        <v>18</v>
      </c>
      <c r="E2711" s="3" t="s">
        <v>2726</v>
      </c>
      <c r="F2711" s="3" t="s">
        <v>2727</v>
      </c>
      <c r="G2711" s="3" t="s">
        <v>21</v>
      </c>
      <c r="H2711" s="2" t="s">
        <v>55</v>
      </c>
      <c r="I2711" s="2" t="s">
        <v>7294</v>
      </c>
      <c r="J2711" s="3" t="str">
        <f>HYPERLINK("https://www.boe.es/gazeta/dias/1809/08/23/pdfs/GMD-1809-236.pdf#page=4","Abrir facsímil")</f>
        <v>Abrir facsímil</v>
      </c>
      <c r="K2711" s="3" t="s">
        <v>57</v>
      </c>
    </row>
    <row r="2712" spans="1:11" ht="42" customHeight="1">
      <c r="A2712" s="2" t="s">
        <v>7293</v>
      </c>
      <c r="B2712" s="2" t="s">
        <v>7293</v>
      </c>
      <c r="C2712" s="2" t="s">
        <v>25</v>
      </c>
      <c r="D2712" s="2" t="s">
        <v>26</v>
      </c>
      <c r="E2712" s="3" t="s">
        <v>211</v>
      </c>
      <c r="F2712" s="3" t="s">
        <v>212</v>
      </c>
      <c r="G2712" s="3" t="s">
        <v>213</v>
      </c>
      <c r="H2712" s="2" t="s">
        <v>55</v>
      </c>
      <c r="I2712" s="2" t="s">
        <v>7295</v>
      </c>
      <c r="J2712" s="3" t="str">
        <f>HYPERLINK("https://www.boe.es/gazeta/dias/1809/10/27/pdfs/GMD-1809-301.pdf#page=4","Abrir facsímil")</f>
        <v>Abrir facsímil</v>
      </c>
      <c r="K2712" s="3" t="s">
        <v>57</v>
      </c>
    </row>
    <row r="2713" spans="1:11" ht="42" customHeight="1">
      <c r="A2713" s="2" t="s">
        <v>7293</v>
      </c>
      <c r="B2713" s="2" t="s">
        <v>7293</v>
      </c>
      <c r="C2713" s="2" t="s">
        <v>25</v>
      </c>
      <c r="D2713" s="2" t="s">
        <v>26</v>
      </c>
      <c r="E2713" s="3" t="s">
        <v>216</v>
      </c>
      <c r="F2713" s="3" t="s">
        <v>217</v>
      </c>
      <c r="G2713" s="3" t="s">
        <v>218</v>
      </c>
      <c r="H2713" s="2" t="s">
        <v>55</v>
      </c>
      <c r="I2713" s="2" t="s">
        <v>7296</v>
      </c>
      <c r="J2713" s="3" t="str">
        <f>HYPERLINK("https://www.boe.es/gazeta/dias/1809/12/05/pdfs/GGB-H-1809-542.pdf#page=6","Abrir facsímil")</f>
        <v>Abrir facsímil</v>
      </c>
      <c r="K2713" s="3" t="s">
        <v>57</v>
      </c>
    </row>
    <row r="2714" spans="1:11" ht="42" customHeight="1">
      <c r="A2714" s="2" t="s">
        <v>7293</v>
      </c>
      <c r="B2714" s="2" t="s">
        <v>7293</v>
      </c>
      <c r="C2714" s="2" t="s">
        <v>25</v>
      </c>
      <c r="D2714" s="2" t="s">
        <v>26</v>
      </c>
      <c r="E2714" s="3" t="s">
        <v>220</v>
      </c>
      <c r="F2714" s="3" t="s">
        <v>221</v>
      </c>
      <c r="G2714" s="3" t="s">
        <v>154</v>
      </c>
      <c r="H2714" s="2" t="s">
        <v>55</v>
      </c>
      <c r="I2714" s="2" t="s">
        <v>7297</v>
      </c>
      <c r="J2714" s="3" t="str">
        <f>HYPERLINK("https://www.boe.es/gazeta/dias/1809/12/13/pdfs/GMD-1809-348.pdf#page=4","Abrir facsímil")</f>
        <v>Abrir facsímil</v>
      </c>
      <c r="K2714" s="3" t="s">
        <v>57</v>
      </c>
    </row>
    <row r="2715" spans="1:11" ht="42" customHeight="1">
      <c r="A2715" s="2" t="s">
        <v>7293</v>
      </c>
      <c r="B2715" s="2" t="s">
        <v>7293</v>
      </c>
      <c r="C2715" s="2" t="s">
        <v>25</v>
      </c>
      <c r="D2715" s="2" t="s">
        <v>26</v>
      </c>
      <c r="E2715" s="3" t="s">
        <v>223</v>
      </c>
      <c r="F2715" s="3" t="s">
        <v>224</v>
      </c>
      <c r="G2715" s="3" t="s">
        <v>225</v>
      </c>
      <c r="H2715" s="2" t="s">
        <v>55</v>
      </c>
      <c r="I2715" s="2" t="s">
        <v>7298</v>
      </c>
      <c r="J2715" s="3" t="str">
        <f>HYPERLINK("https://www.boe.es/gazeta/dias/1809/12/17/pdfs/GMD-1809-352.pdf#page=4","Abrir facsímil")</f>
        <v>Abrir facsímil</v>
      </c>
      <c r="K2715" s="3" t="s">
        <v>57</v>
      </c>
    </row>
    <row r="2716" spans="1:11" ht="42" customHeight="1">
      <c r="A2716" s="2" t="s">
        <v>7299</v>
      </c>
      <c r="B2716" s="2" t="s">
        <v>7300</v>
      </c>
      <c r="C2716" s="2" t="s">
        <v>25</v>
      </c>
      <c r="D2716" s="2" t="s">
        <v>40</v>
      </c>
      <c r="E2716" s="3" t="s">
        <v>2595</v>
      </c>
      <c r="F2716" s="3" t="s">
        <v>2596</v>
      </c>
      <c r="G2716" s="3" t="s">
        <v>7301</v>
      </c>
      <c r="H2716" s="2" t="s">
        <v>55</v>
      </c>
      <c r="I2716" s="2" t="s">
        <v>7302</v>
      </c>
      <c r="J2716" s="3" t="str">
        <f>HYPERLINK("https://www.boe.es/gazeta/dias/1809/06/16/pdfs/GMD-1809-167.pdf#page=1","Abrir facsímil")</f>
        <v>Abrir facsímil</v>
      </c>
      <c r="K2716" s="3" t="s">
        <v>57</v>
      </c>
    </row>
    <row r="2717" spans="1:11" ht="42" customHeight="1">
      <c r="A2717" s="2" t="s">
        <v>7303</v>
      </c>
      <c r="B2717" s="2" t="s">
        <v>7303</v>
      </c>
      <c r="C2717" s="2" t="s">
        <v>47</v>
      </c>
      <c r="D2717" s="2" t="s">
        <v>18</v>
      </c>
      <c r="E2717" s="3" t="s">
        <v>1598</v>
      </c>
      <c r="F2717" s="3" t="s">
        <v>1599</v>
      </c>
      <c r="G2717" s="3" t="s">
        <v>1441</v>
      </c>
      <c r="H2717" s="2" t="s">
        <v>55</v>
      </c>
      <c r="I2717" s="2" t="s">
        <v>7304</v>
      </c>
      <c r="J2717" s="3" t="str">
        <f>HYPERLINK("https://www.boe.es/gazeta/dias/1809/01/10/pdfs/GMS-1809-65.pdf#page=8","Abrir facsímil")</f>
        <v>Abrir facsímil</v>
      </c>
      <c r="K2717" s="3" t="s">
        <v>57</v>
      </c>
    </row>
    <row r="2718" spans="1:11" ht="42" customHeight="1">
      <c r="A2718" s="2" t="s">
        <v>7303</v>
      </c>
      <c r="B2718" s="2" t="s">
        <v>7303</v>
      </c>
      <c r="C2718" s="2" t="s">
        <v>17</v>
      </c>
      <c r="D2718" s="2" t="s">
        <v>72</v>
      </c>
      <c r="E2718" s="3" t="s">
        <v>163</v>
      </c>
      <c r="F2718" s="3" t="s">
        <v>164</v>
      </c>
      <c r="G2718" s="3" t="s">
        <v>21</v>
      </c>
      <c r="H2718" s="2" t="s">
        <v>55</v>
      </c>
      <c r="I2718" s="2" t="s">
        <v>7305</v>
      </c>
      <c r="J2718" s="3" t="str">
        <f>HYPERLINK("https://www.boe.es/gazeta/dias/1809/03/10/pdfs/GGB-H-1809-11.pdf#page=8","Abrir facsímil")</f>
        <v>Abrir facsímil</v>
      </c>
      <c r="K2718" s="3" t="s">
        <v>57</v>
      </c>
    </row>
    <row r="2719" spans="1:11" ht="42" customHeight="1">
      <c r="A2719" s="2" t="s">
        <v>7303</v>
      </c>
      <c r="B2719" s="2" t="s">
        <v>7303</v>
      </c>
      <c r="C2719" s="2" t="s">
        <v>369</v>
      </c>
      <c r="D2719" s="2" t="s">
        <v>40</v>
      </c>
      <c r="E2719" s="3" t="s">
        <v>2976</v>
      </c>
      <c r="F2719" s="3" t="s">
        <v>2977</v>
      </c>
      <c r="G2719" s="3" t="s">
        <v>62</v>
      </c>
      <c r="H2719" s="2" t="s">
        <v>55</v>
      </c>
      <c r="I2719" s="2" t="s">
        <v>7306</v>
      </c>
      <c r="J2719" s="3" t="str">
        <f>HYPERLINK("https://www.boe.es/gazeta/dias/1809/05/05/pdfs/GGB-1809-24.pdf#page=8","Abrir facsímil")</f>
        <v>Abrir facsímil</v>
      </c>
      <c r="K2719" s="3" t="s">
        <v>57</v>
      </c>
    </row>
    <row r="2720" spans="1:11" ht="42" customHeight="1">
      <c r="A2720" s="2" t="s">
        <v>7303</v>
      </c>
      <c r="B2720" s="2" t="s">
        <v>7303</v>
      </c>
      <c r="C2720" s="2" t="s">
        <v>17</v>
      </c>
      <c r="D2720" s="2" t="s">
        <v>40</v>
      </c>
      <c r="E2720" s="3" t="s">
        <v>211</v>
      </c>
      <c r="F2720" s="3" t="s">
        <v>212</v>
      </c>
      <c r="G2720" s="3" t="s">
        <v>29</v>
      </c>
      <c r="H2720" s="2" t="s">
        <v>55</v>
      </c>
      <c r="I2720" s="2" t="s">
        <v>7307</v>
      </c>
      <c r="J2720" s="3" t="str">
        <f>HYPERLINK("https://www.boe.es/gazeta/dias/1809/10/27/pdfs/GMD-1809-301.pdf#page=3","Abrir facsímil")</f>
        <v>Abrir facsímil</v>
      </c>
      <c r="K2720" s="3" t="s">
        <v>57</v>
      </c>
    </row>
    <row r="2721" spans="1:11" ht="42" customHeight="1">
      <c r="A2721" s="2" t="s">
        <v>7308</v>
      </c>
      <c r="B2721" s="2" t="s">
        <v>7308</v>
      </c>
      <c r="C2721" s="2" t="s">
        <v>17</v>
      </c>
      <c r="D2721" s="2" t="s">
        <v>18</v>
      </c>
      <c r="E2721" s="3" t="s">
        <v>5140</v>
      </c>
      <c r="F2721" s="3" t="s">
        <v>5141</v>
      </c>
      <c r="G2721" s="3" t="s">
        <v>5377</v>
      </c>
      <c r="H2721" s="2" t="s">
        <v>55</v>
      </c>
      <c r="I2721" s="2" t="s">
        <v>7309</v>
      </c>
      <c r="J2721" s="3" t="str">
        <f>HYPERLINK("https://www.boe.es/gazeta/dias/1809/07/16/pdfs/GMD-1809-197.pdf#page=4","Abrir facsímil")</f>
        <v>Abrir facsímil</v>
      </c>
      <c r="K2721" s="3" t="s">
        <v>57</v>
      </c>
    </row>
    <row r="2722" spans="1:11" ht="42" customHeight="1">
      <c r="A2722" s="2" t="s">
        <v>7310</v>
      </c>
      <c r="B2722" s="2" t="s">
        <v>7310</v>
      </c>
      <c r="C2722" s="2" t="s">
        <v>25</v>
      </c>
      <c r="D2722" s="2" t="s">
        <v>26</v>
      </c>
      <c r="E2722" s="3" t="s">
        <v>3521</v>
      </c>
      <c r="F2722" s="3" t="s">
        <v>7311</v>
      </c>
      <c r="G2722" s="3" t="s">
        <v>21</v>
      </c>
      <c r="H2722" s="2" t="s">
        <v>55</v>
      </c>
      <c r="I2722" s="2" t="s">
        <v>7312</v>
      </c>
      <c r="J2722" s="3" t="str">
        <f>HYPERLINK("https://www.boe.es/gazeta/dias/1809/02/24/pdfs/GMD-1809-55.pdf#page=3","Abrir facsímil")</f>
        <v>Abrir facsímil</v>
      </c>
      <c r="K2722" s="3" t="s">
        <v>57</v>
      </c>
    </row>
    <row r="2723" spans="1:11" ht="42" customHeight="1">
      <c r="A2723" s="2" t="s">
        <v>7310</v>
      </c>
      <c r="B2723" s="2" t="s">
        <v>7310</v>
      </c>
      <c r="C2723" s="2" t="s">
        <v>47</v>
      </c>
      <c r="D2723" s="2" t="s">
        <v>40</v>
      </c>
      <c r="E2723" s="3" t="s">
        <v>152</v>
      </c>
      <c r="F2723" s="3" t="s">
        <v>153</v>
      </c>
      <c r="G2723" s="3" t="s">
        <v>439</v>
      </c>
      <c r="H2723" s="2" t="s">
        <v>55</v>
      </c>
      <c r="I2723" s="2" t="s">
        <v>7313</v>
      </c>
      <c r="J2723" s="3" t="str">
        <f>HYPERLINK("https://www.boe.es/gazeta/dias/1809/08/26/pdfs/GGB-1809-112.pdf#page=5","Abrir facsímil")</f>
        <v>Abrir facsímil</v>
      </c>
      <c r="K2723" s="3" t="s">
        <v>57</v>
      </c>
    </row>
    <row r="2724" spans="1:11" ht="42" customHeight="1">
      <c r="A2724" s="2" t="s">
        <v>7310</v>
      </c>
      <c r="B2724" s="2" t="s">
        <v>7310</v>
      </c>
      <c r="C2724" s="2" t="s">
        <v>25</v>
      </c>
      <c r="D2724" s="2" t="s">
        <v>18</v>
      </c>
      <c r="E2724" s="3" t="s">
        <v>666</v>
      </c>
      <c r="F2724" s="3" t="s">
        <v>667</v>
      </c>
      <c r="G2724" s="3" t="s">
        <v>1448</v>
      </c>
      <c r="H2724" s="2" t="s">
        <v>55</v>
      </c>
      <c r="I2724" s="2" t="s">
        <v>7314</v>
      </c>
      <c r="J2724" s="3" t="str">
        <f>HYPERLINK("https://www.boe.es/gazeta/dias/1809/08/29/pdfs/GGB-1809-122.pdf#page=7","Abrir facsímil")</f>
        <v>Abrir facsímil</v>
      </c>
      <c r="K2724" s="3" t="s">
        <v>57</v>
      </c>
    </row>
    <row r="2725" spans="1:11" ht="42" customHeight="1">
      <c r="A2725" s="2" t="s">
        <v>7310</v>
      </c>
      <c r="B2725" s="2" t="s">
        <v>7310</v>
      </c>
      <c r="C2725" s="2" t="s">
        <v>47</v>
      </c>
      <c r="D2725" s="2" t="s">
        <v>107</v>
      </c>
      <c r="E2725" s="3" t="s">
        <v>327</v>
      </c>
      <c r="F2725" s="3" t="s">
        <v>328</v>
      </c>
      <c r="G2725" s="3" t="s">
        <v>7315</v>
      </c>
      <c r="H2725" s="2" t="s">
        <v>55</v>
      </c>
      <c r="I2725" s="2" t="s">
        <v>7316</v>
      </c>
      <c r="J2725" s="3" t="str">
        <f>HYPERLINK("https://www.boe.es/gazeta/dias/1809/09/14/pdfs/GGB-1809-192.pdf#page=4","Abrir facsímil")</f>
        <v>Abrir facsímil</v>
      </c>
      <c r="K2725" s="3" t="s">
        <v>57</v>
      </c>
    </row>
    <row r="2726" spans="1:11" ht="42" customHeight="1">
      <c r="A2726" s="2" t="s">
        <v>7310</v>
      </c>
      <c r="B2726" s="2" t="s">
        <v>7310</v>
      </c>
      <c r="C2726" s="2" t="s">
        <v>39</v>
      </c>
      <c r="D2726" s="2" t="s">
        <v>40</v>
      </c>
      <c r="E2726" s="3" t="s">
        <v>387</v>
      </c>
      <c r="F2726" s="3" t="s">
        <v>1847</v>
      </c>
      <c r="G2726" s="3" t="s">
        <v>1979</v>
      </c>
      <c r="H2726" s="2" t="s">
        <v>55</v>
      </c>
      <c r="I2726" s="2" t="s">
        <v>7317</v>
      </c>
      <c r="J2726" s="3" t="str">
        <f>HYPERLINK("https://www.boe.es/gazeta/dias/1809/09/26/pdfs/GGB-1809-242.pdf#page=4","Abrir facsímil")</f>
        <v>Abrir facsímil</v>
      </c>
      <c r="K2726" s="3" t="s">
        <v>57</v>
      </c>
    </row>
    <row r="2727" spans="1:11" ht="42" customHeight="1">
      <c r="A2727" s="2" t="s">
        <v>7310</v>
      </c>
      <c r="B2727" s="2" t="s">
        <v>7310</v>
      </c>
      <c r="C2727" s="2" t="s">
        <v>131</v>
      </c>
      <c r="D2727" s="2" t="s">
        <v>18</v>
      </c>
      <c r="E2727" s="3" t="s">
        <v>387</v>
      </c>
      <c r="F2727" s="3" t="s">
        <v>1847</v>
      </c>
      <c r="G2727" s="3" t="s">
        <v>239</v>
      </c>
      <c r="H2727" s="2" t="s">
        <v>55</v>
      </c>
      <c r="I2727" s="2" t="s">
        <v>7318</v>
      </c>
      <c r="J2727" s="3" t="str">
        <f>HYPERLINK("https://www.boe.es/gazeta/dias/1809/09/26/pdfs/GGB-1809-242.pdf#page=5","Abrir facsímil")</f>
        <v>Abrir facsímil</v>
      </c>
      <c r="K2727" s="3" t="s">
        <v>57</v>
      </c>
    </row>
    <row r="2728" spans="1:11" ht="42" customHeight="1">
      <c r="A2728" s="2" t="s">
        <v>7310</v>
      </c>
      <c r="B2728" s="2" t="s">
        <v>7310</v>
      </c>
      <c r="C2728" s="2" t="s">
        <v>47</v>
      </c>
      <c r="D2728" s="2" t="s">
        <v>40</v>
      </c>
      <c r="E2728" s="3" t="s">
        <v>387</v>
      </c>
      <c r="F2728" s="3" t="s">
        <v>1847</v>
      </c>
      <c r="G2728" s="3" t="s">
        <v>654</v>
      </c>
      <c r="H2728" s="2" t="s">
        <v>55</v>
      </c>
      <c r="I2728" s="2" t="s">
        <v>7319</v>
      </c>
      <c r="J2728" s="3" t="str">
        <f>HYPERLINK("https://www.boe.es/gazeta/dias/1809/09/26/pdfs/GGB-1809-242.pdf#page=6","Abrir facsímil")</f>
        <v>Abrir facsímil</v>
      </c>
      <c r="K2728" s="3" t="s">
        <v>57</v>
      </c>
    </row>
    <row r="2729" spans="1:11" ht="42" customHeight="1">
      <c r="A2729" s="2" t="s">
        <v>7310</v>
      </c>
      <c r="B2729" s="2" t="s">
        <v>7310</v>
      </c>
      <c r="C2729" s="2" t="s">
        <v>47</v>
      </c>
      <c r="D2729" s="2" t="s">
        <v>18</v>
      </c>
      <c r="E2729" s="3" t="s">
        <v>102</v>
      </c>
      <c r="F2729" s="3" t="s">
        <v>103</v>
      </c>
      <c r="G2729" s="3" t="s">
        <v>3074</v>
      </c>
      <c r="H2729" s="2" t="s">
        <v>55</v>
      </c>
      <c r="I2729" s="2" t="s">
        <v>7320</v>
      </c>
      <c r="J2729" s="3" t="str">
        <f>HYPERLINK("https://www.boe.es/gazeta/dias/1809/09/28/pdfs/GGB-1809-252.pdf#page=4","Abrir facsímil")</f>
        <v>Abrir facsímil</v>
      </c>
      <c r="K2729" s="3" t="s">
        <v>57</v>
      </c>
    </row>
    <row r="2730" spans="1:11" ht="42" customHeight="1">
      <c r="A2730" s="2" t="s">
        <v>7310</v>
      </c>
      <c r="B2730" s="2" t="s">
        <v>7310</v>
      </c>
      <c r="C2730" s="2" t="s">
        <v>39</v>
      </c>
      <c r="D2730" s="2" t="s">
        <v>18</v>
      </c>
      <c r="E2730" s="3" t="s">
        <v>102</v>
      </c>
      <c r="F2730" s="3" t="s">
        <v>103</v>
      </c>
      <c r="G2730" s="3" t="s">
        <v>1706</v>
      </c>
      <c r="H2730" s="2" t="s">
        <v>55</v>
      </c>
      <c r="I2730" s="2" t="s">
        <v>7321</v>
      </c>
      <c r="J2730" s="3" t="str">
        <f>HYPERLINK("https://www.boe.es/gazeta/dias/1809/09/28/pdfs/GGB-1809-252.pdf#page=5","Abrir facsímil")</f>
        <v>Abrir facsímil</v>
      </c>
      <c r="K2730" s="3" t="s">
        <v>57</v>
      </c>
    </row>
    <row r="2731" spans="1:11" ht="42" customHeight="1">
      <c r="A2731" s="2" t="s">
        <v>7310</v>
      </c>
      <c r="B2731" s="2" t="s">
        <v>7310</v>
      </c>
      <c r="C2731" s="2" t="s">
        <v>17</v>
      </c>
      <c r="D2731" s="2" t="s">
        <v>18</v>
      </c>
      <c r="E2731" s="3" t="s">
        <v>294</v>
      </c>
      <c r="F2731" s="3" t="s">
        <v>1360</v>
      </c>
      <c r="G2731" s="3" t="s">
        <v>2877</v>
      </c>
      <c r="H2731" s="2" t="s">
        <v>55</v>
      </c>
      <c r="I2731" s="2" t="s">
        <v>7322</v>
      </c>
      <c r="J2731" s="3" t="str">
        <f>HYPERLINK("https://www.boe.es/gazeta/dias/1809/09/30/pdfs/GGB-1809-262.pdf#page=3","Abrir facsímil")</f>
        <v>Abrir facsímil</v>
      </c>
      <c r="K2731" s="3" t="s">
        <v>57</v>
      </c>
    </row>
    <row r="2732" spans="1:11" ht="42" customHeight="1">
      <c r="A2732" s="2" t="s">
        <v>7310</v>
      </c>
      <c r="B2732" s="2" t="s">
        <v>7310</v>
      </c>
      <c r="C2732" s="2" t="s">
        <v>17</v>
      </c>
      <c r="D2732" s="2" t="s">
        <v>18</v>
      </c>
      <c r="E2732" s="3" t="s">
        <v>294</v>
      </c>
      <c r="F2732" s="3" t="s">
        <v>1360</v>
      </c>
      <c r="G2732" s="3" t="s">
        <v>830</v>
      </c>
      <c r="H2732" s="2" t="s">
        <v>55</v>
      </c>
      <c r="I2732" s="2" t="s">
        <v>7323</v>
      </c>
      <c r="J2732" s="3" t="str">
        <f>HYPERLINK("https://www.boe.es/gazeta/dias/1809/09/30/pdfs/GGB-1809-262.pdf#page=4","Abrir facsímil")</f>
        <v>Abrir facsímil</v>
      </c>
      <c r="K2732" s="3" t="s">
        <v>57</v>
      </c>
    </row>
    <row r="2733" spans="1:11" ht="42" customHeight="1">
      <c r="A2733" s="2" t="s">
        <v>7310</v>
      </c>
      <c r="B2733" s="2" t="s">
        <v>7310</v>
      </c>
      <c r="C2733" s="2" t="s">
        <v>47</v>
      </c>
      <c r="D2733" s="2" t="s">
        <v>40</v>
      </c>
      <c r="E2733" s="3" t="s">
        <v>48</v>
      </c>
      <c r="F2733" s="3" t="s">
        <v>1718</v>
      </c>
      <c r="G2733" s="3" t="s">
        <v>1719</v>
      </c>
      <c r="H2733" s="2" t="s">
        <v>55</v>
      </c>
      <c r="I2733" s="2" t="s">
        <v>7324</v>
      </c>
      <c r="J2733" s="3" t="str">
        <f>HYPERLINK("https://www.boe.es/gazeta/dias/1809/10/03/pdfs/GGB-1809-272.pdf#page=8","Abrir facsímil")</f>
        <v>Abrir facsímil</v>
      </c>
      <c r="K2733" s="3" t="s">
        <v>57</v>
      </c>
    </row>
    <row r="2734" spans="1:11" ht="42" customHeight="1">
      <c r="A2734" s="2" t="s">
        <v>7310</v>
      </c>
      <c r="B2734" s="2" t="s">
        <v>7310</v>
      </c>
      <c r="C2734" s="2" t="s">
        <v>25</v>
      </c>
      <c r="D2734" s="2" t="s">
        <v>72</v>
      </c>
      <c r="E2734" s="3" t="s">
        <v>190</v>
      </c>
      <c r="F2734" s="3" t="s">
        <v>3505</v>
      </c>
      <c r="G2734" s="3" t="s">
        <v>120</v>
      </c>
      <c r="H2734" s="2" t="s">
        <v>55</v>
      </c>
      <c r="I2734" s="2" t="s">
        <v>7325</v>
      </c>
      <c r="J2734" s="3" t="str">
        <f>HYPERLINK("https://www.boe.es/gazeta/dias/1809/10/14/pdfs/GGB-H-1809-322.pdf#page=7","Abrir facsímil")</f>
        <v>Abrir facsímil</v>
      </c>
      <c r="K2734" s="3" t="s">
        <v>57</v>
      </c>
    </row>
    <row r="2735" spans="1:11" ht="42" customHeight="1">
      <c r="A2735" s="2" t="s">
        <v>7310</v>
      </c>
      <c r="B2735" s="2" t="s">
        <v>7310</v>
      </c>
      <c r="C2735" s="2" t="s">
        <v>47</v>
      </c>
      <c r="D2735" s="2" t="s">
        <v>18</v>
      </c>
      <c r="E2735" s="3" t="s">
        <v>933</v>
      </c>
      <c r="F2735" s="3" t="s">
        <v>1363</v>
      </c>
      <c r="G2735" s="3" t="s">
        <v>3888</v>
      </c>
      <c r="H2735" s="2" t="s">
        <v>55</v>
      </c>
      <c r="I2735" s="2" t="s">
        <v>7326</v>
      </c>
      <c r="J2735" s="3" t="str">
        <f>HYPERLINK("https://www.boe.es/gazeta/dias/1809/10/28/pdfs/GGB-1809-382.pdf#page=2","Abrir facsímil")</f>
        <v>Abrir facsímil</v>
      </c>
      <c r="K2735" s="3" t="s">
        <v>57</v>
      </c>
    </row>
    <row r="2736" spans="1:11" ht="42" customHeight="1">
      <c r="A2736" s="2" t="s">
        <v>7310</v>
      </c>
      <c r="B2736" s="2" t="s">
        <v>7310</v>
      </c>
      <c r="C2736" s="2" t="s">
        <v>25</v>
      </c>
      <c r="D2736" s="2" t="s">
        <v>26</v>
      </c>
      <c r="E2736" s="3" t="s">
        <v>216</v>
      </c>
      <c r="F2736" s="3" t="s">
        <v>217</v>
      </c>
      <c r="G2736" s="3" t="s">
        <v>154</v>
      </c>
      <c r="H2736" s="2" t="s">
        <v>55</v>
      </c>
      <c r="I2736" s="2" t="s">
        <v>7327</v>
      </c>
      <c r="J2736" s="3" t="str">
        <f>HYPERLINK("https://www.boe.es/gazeta/dias/1809/12/05/pdfs/GGB-H-1809-542.pdf#page=1","Abrir facsímil")</f>
        <v>Abrir facsímil</v>
      </c>
      <c r="K2736" s="3" t="s">
        <v>57</v>
      </c>
    </row>
    <row r="2737" spans="1:11" ht="42" customHeight="1">
      <c r="A2737" s="2" t="s">
        <v>7310</v>
      </c>
      <c r="B2737" s="2" t="s">
        <v>7310</v>
      </c>
      <c r="C2737" s="2" t="s">
        <v>25</v>
      </c>
      <c r="D2737" s="2" t="s">
        <v>26</v>
      </c>
      <c r="E2737" s="3" t="s">
        <v>216</v>
      </c>
      <c r="F2737" s="3" t="s">
        <v>217</v>
      </c>
      <c r="G2737" s="3" t="s">
        <v>75</v>
      </c>
      <c r="H2737" s="2" t="s">
        <v>55</v>
      </c>
      <c r="I2737" s="2" t="s">
        <v>7328</v>
      </c>
      <c r="J2737" s="3" t="str">
        <f>HYPERLINK("https://www.boe.es/gazeta/dias/1809/12/05/pdfs/GGB-H-1809-542.pdf#page=2","Abrir facsímil")</f>
        <v>Abrir facsímil</v>
      </c>
      <c r="K2737" s="3" t="s">
        <v>57</v>
      </c>
    </row>
    <row r="2738" spans="1:11" ht="42" customHeight="1">
      <c r="A2738" s="2" t="s">
        <v>7310</v>
      </c>
      <c r="B2738" s="2" t="s">
        <v>7310</v>
      </c>
      <c r="C2738" s="2" t="s">
        <v>25</v>
      </c>
      <c r="D2738" s="2" t="s">
        <v>26</v>
      </c>
      <c r="E2738" s="3" t="s">
        <v>216</v>
      </c>
      <c r="F2738" s="3" t="s">
        <v>217</v>
      </c>
      <c r="G2738" s="3" t="s">
        <v>270</v>
      </c>
      <c r="H2738" s="2" t="s">
        <v>55</v>
      </c>
      <c r="I2738" s="2" t="s">
        <v>7329</v>
      </c>
      <c r="J2738" s="3" t="str">
        <f>HYPERLINK("https://www.boe.es/gazeta/dias/1809/12/05/pdfs/GGB-H-1809-542.pdf#page=3","Abrir facsímil")</f>
        <v>Abrir facsímil</v>
      </c>
      <c r="K2738" s="3" t="s">
        <v>57</v>
      </c>
    </row>
    <row r="2739" spans="1:11" ht="42" customHeight="1">
      <c r="A2739" s="2" t="s">
        <v>7310</v>
      </c>
      <c r="B2739" s="2" t="s">
        <v>7310</v>
      </c>
      <c r="C2739" s="2" t="s">
        <v>25</v>
      </c>
      <c r="D2739" s="2" t="s">
        <v>26</v>
      </c>
      <c r="E2739" s="3" t="s">
        <v>216</v>
      </c>
      <c r="F2739" s="3" t="s">
        <v>217</v>
      </c>
      <c r="G2739" s="3" t="s">
        <v>587</v>
      </c>
      <c r="H2739" s="2" t="s">
        <v>55</v>
      </c>
      <c r="I2739" s="2" t="s">
        <v>7330</v>
      </c>
      <c r="J2739" s="3" t="str">
        <f>HYPERLINK("https://www.boe.es/gazeta/dias/1809/12/05/pdfs/GGB-H-1809-542.pdf#page=4","Abrir facsímil")</f>
        <v>Abrir facsímil</v>
      </c>
      <c r="K2739" s="3" t="s">
        <v>57</v>
      </c>
    </row>
    <row r="2740" spans="1:11" ht="42" customHeight="1">
      <c r="A2740" s="2" t="s">
        <v>7310</v>
      </c>
      <c r="B2740" s="2" t="s">
        <v>7310</v>
      </c>
      <c r="C2740" s="2" t="s">
        <v>25</v>
      </c>
      <c r="D2740" s="2" t="s">
        <v>72</v>
      </c>
      <c r="E2740" s="3" t="s">
        <v>216</v>
      </c>
      <c r="F2740" s="3" t="s">
        <v>217</v>
      </c>
      <c r="G2740" s="3" t="s">
        <v>94</v>
      </c>
      <c r="H2740" s="2" t="s">
        <v>55</v>
      </c>
      <c r="I2740" s="2" t="s">
        <v>7331</v>
      </c>
      <c r="J2740" s="3" t="str">
        <f>HYPERLINK("https://www.boe.es/gazeta/dias/1809/12/05/pdfs/GGB-H-1809-542.pdf#page=5","Abrir facsímil")</f>
        <v>Abrir facsímil</v>
      </c>
      <c r="K2740" s="3" t="s">
        <v>57</v>
      </c>
    </row>
    <row r="2741" spans="1:11" ht="42" customHeight="1">
      <c r="A2741" s="2" t="s">
        <v>7310</v>
      </c>
      <c r="B2741" s="2" t="s">
        <v>7310</v>
      </c>
      <c r="C2741" s="2" t="s">
        <v>25</v>
      </c>
      <c r="D2741" s="2" t="s">
        <v>26</v>
      </c>
      <c r="E2741" s="3" t="s">
        <v>216</v>
      </c>
      <c r="F2741" s="3" t="s">
        <v>217</v>
      </c>
      <c r="G2741" s="3" t="s">
        <v>218</v>
      </c>
      <c r="H2741" s="2" t="s">
        <v>55</v>
      </c>
      <c r="I2741" s="2" t="s">
        <v>7332</v>
      </c>
      <c r="J2741" s="3" t="str">
        <f>HYPERLINK("https://www.boe.es/gazeta/dias/1809/12/05/pdfs/GGB-H-1809-542.pdf#page=6","Abrir facsímil")</f>
        <v>Abrir facsímil</v>
      </c>
      <c r="K2741" s="3" t="s">
        <v>57</v>
      </c>
    </row>
    <row r="2742" spans="1:11" ht="42" customHeight="1">
      <c r="A2742" s="2" t="s">
        <v>7310</v>
      </c>
      <c r="B2742" s="2" t="s">
        <v>7310</v>
      </c>
      <c r="C2742" s="2" t="s">
        <v>47</v>
      </c>
      <c r="D2742" s="2" t="s">
        <v>72</v>
      </c>
      <c r="E2742" s="3" t="s">
        <v>216</v>
      </c>
      <c r="F2742" s="3" t="s">
        <v>217</v>
      </c>
      <c r="G2742" s="3" t="s">
        <v>439</v>
      </c>
      <c r="H2742" s="2" t="s">
        <v>55</v>
      </c>
      <c r="I2742" s="2" t="s">
        <v>7333</v>
      </c>
      <c r="J2742" s="3" t="str">
        <f>HYPERLINK("https://www.boe.es/gazeta/dias/1809/12/05/pdfs/GGB-H-1809-542.pdf#page=7","Abrir facsímil")</f>
        <v>Abrir facsímil</v>
      </c>
      <c r="K2742" s="3" t="s">
        <v>57</v>
      </c>
    </row>
    <row r="2743" spans="1:11" ht="42" customHeight="1">
      <c r="A2743" s="2" t="s">
        <v>7310</v>
      </c>
      <c r="B2743" s="2" t="s">
        <v>7310</v>
      </c>
      <c r="C2743" s="2" t="s">
        <v>47</v>
      </c>
      <c r="D2743" s="2" t="s">
        <v>107</v>
      </c>
      <c r="E2743" s="3" t="s">
        <v>394</v>
      </c>
      <c r="F2743" s="3" t="s">
        <v>395</v>
      </c>
      <c r="G2743" s="3" t="s">
        <v>3092</v>
      </c>
      <c r="H2743" s="2" t="s">
        <v>55</v>
      </c>
      <c r="I2743" s="2" t="s">
        <v>7334</v>
      </c>
      <c r="J2743" s="3" t="str">
        <f>HYPERLINK("https://www.boe.es/gazeta/dias/1809/12/14/pdfs/GGB-H-1809-582.pdf#page=8","Abrir facsímil")</f>
        <v>Abrir facsímil</v>
      </c>
      <c r="K2743" s="3" t="s">
        <v>57</v>
      </c>
    </row>
    <row r="2744" spans="1:11" ht="42" customHeight="1">
      <c r="A2744" s="2" t="s">
        <v>7310</v>
      </c>
      <c r="B2744" s="2" t="s">
        <v>7310</v>
      </c>
      <c r="C2744" s="2" t="s">
        <v>47</v>
      </c>
      <c r="D2744" s="2" t="s">
        <v>40</v>
      </c>
      <c r="E2744" s="3" t="s">
        <v>635</v>
      </c>
      <c r="F2744" s="3" t="s">
        <v>636</v>
      </c>
      <c r="G2744" s="3" t="s">
        <v>225</v>
      </c>
      <c r="H2744" s="2" t="s">
        <v>55</v>
      </c>
      <c r="I2744" s="2" t="s">
        <v>7335</v>
      </c>
      <c r="J2744" s="3" t="str">
        <f>HYPERLINK("https://www.boe.es/gazeta/dias/1809/12/16/pdfs/GGB-1809-592.pdf#page=4","Abrir facsímil")</f>
        <v>Abrir facsímil</v>
      </c>
      <c r="K2744" s="3" t="s">
        <v>57</v>
      </c>
    </row>
    <row r="2745" spans="1:11" ht="42" customHeight="1">
      <c r="A2745" s="2" t="s">
        <v>7310</v>
      </c>
      <c r="B2745" s="2" t="s">
        <v>7310</v>
      </c>
      <c r="C2745" s="2" t="s">
        <v>25</v>
      </c>
      <c r="D2745" s="2" t="s">
        <v>26</v>
      </c>
      <c r="E2745" s="3" t="s">
        <v>635</v>
      </c>
      <c r="F2745" s="3" t="s">
        <v>2073</v>
      </c>
      <c r="G2745" s="3" t="s">
        <v>129</v>
      </c>
      <c r="H2745" s="2" t="s">
        <v>55</v>
      </c>
      <c r="I2745" s="2" t="s">
        <v>7336</v>
      </c>
      <c r="J2745" s="3" t="str">
        <f>HYPERLINK("https://www.boe.es/gazeta/dias/1809/12/16/pdfs/GGB-H-1809-592.pdf#page=2","Abrir facsímil")</f>
        <v>Abrir facsímil</v>
      </c>
      <c r="K2745" s="3" t="s">
        <v>57</v>
      </c>
    </row>
    <row r="2746" spans="1:11" ht="42" customHeight="1">
      <c r="A2746" s="2" t="s">
        <v>7310</v>
      </c>
      <c r="B2746" s="2" t="s">
        <v>7310</v>
      </c>
      <c r="C2746" s="2" t="s">
        <v>39</v>
      </c>
      <c r="D2746" s="2" t="s">
        <v>18</v>
      </c>
      <c r="E2746" s="3" t="s">
        <v>1237</v>
      </c>
      <c r="F2746" s="3" t="s">
        <v>1238</v>
      </c>
      <c r="G2746" s="3" t="s">
        <v>110</v>
      </c>
      <c r="H2746" s="2" t="s">
        <v>55</v>
      </c>
      <c r="I2746" s="2" t="s">
        <v>7337</v>
      </c>
      <c r="J2746" s="3" t="str">
        <f>HYPERLINK("https://www.boe.es/gazeta/dias/1809/12/26/pdfs/GGB-1809-632.pdf#page=4","Abrir facsímil")</f>
        <v>Abrir facsímil</v>
      </c>
      <c r="K2746" s="3" t="s">
        <v>57</v>
      </c>
    </row>
    <row r="2747" spans="1:11" ht="42" customHeight="1">
      <c r="A2747" s="2" t="s">
        <v>7310</v>
      </c>
      <c r="B2747" s="2" t="s">
        <v>7310</v>
      </c>
      <c r="C2747" s="2" t="s">
        <v>47</v>
      </c>
      <c r="D2747" s="2" t="s">
        <v>18</v>
      </c>
      <c r="E2747" s="3" t="s">
        <v>66</v>
      </c>
      <c r="F2747" s="3" t="s">
        <v>67</v>
      </c>
      <c r="G2747" s="3" t="s">
        <v>7338</v>
      </c>
      <c r="H2747" s="2" t="s">
        <v>55</v>
      </c>
      <c r="I2747" s="2" t="s">
        <v>7339</v>
      </c>
      <c r="J2747" s="3" t="str">
        <f>HYPERLINK("https://www.boe.es/gazeta/dias/1809/12/30/pdfs/GGB-1809-652.pdf#page=3","Abrir facsímil")</f>
        <v>Abrir facsímil</v>
      </c>
      <c r="K2747" s="3" t="s">
        <v>57</v>
      </c>
    </row>
    <row r="2748" spans="1:11" ht="42" customHeight="1">
      <c r="A2748" s="2" t="s">
        <v>7340</v>
      </c>
      <c r="B2748" s="2" t="s">
        <v>7340</v>
      </c>
      <c r="C2748" s="2" t="s">
        <v>25</v>
      </c>
      <c r="D2748" s="2" t="s">
        <v>18</v>
      </c>
      <c r="E2748" s="3" t="s">
        <v>720</v>
      </c>
      <c r="F2748" s="3" t="s">
        <v>2154</v>
      </c>
      <c r="G2748" s="3" t="s">
        <v>75</v>
      </c>
      <c r="H2748" s="2" t="s">
        <v>55</v>
      </c>
      <c r="I2748" s="2" t="s">
        <v>7341</v>
      </c>
      <c r="J2748" s="3" t="str">
        <f>HYPERLINK("https://www.boe.es/gazeta/dias/1809/01/27/pdfs/GMD-1809-27.pdf#page=3","Abrir facsímil")</f>
        <v>Abrir facsímil</v>
      </c>
      <c r="K2748" s="3" t="s">
        <v>57</v>
      </c>
    </row>
    <row r="2749" spans="1:11" ht="42" customHeight="1">
      <c r="A2749" s="2" t="s">
        <v>7340</v>
      </c>
      <c r="B2749" s="2" t="s">
        <v>7340</v>
      </c>
      <c r="C2749" s="2" t="s">
        <v>17</v>
      </c>
      <c r="D2749" s="2" t="s">
        <v>18</v>
      </c>
      <c r="E2749" s="3" t="s">
        <v>158</v>
      </c>
      <c r="F2749" s="3" t="s">
        <v>7342</v>
      </c>
      <c r="G2749" s="3" t="s">
        <v>7343</v>
      </c>
      <c r="H2749" s="2" t="s">
        <v>55</v>
      </c>
      <c r="I2749" s="2" t="s">
        <v>7344</v>
      </c>
      <c r="J2749" s="3" t="str">
        <f>HYPERLINK("https://www.boe.es/gazeta/dias/1809/02/10/pdfs/GMD-1809-41.pdf#page=1","Abrir facsímil")</f>
        <v>Abrir facsímil</v>
      </c>
      <c r="K2749" s="3" t="s">
        <v>57</v>
      </c>
    </row>
    <row r="2750" spans="1:11" ht="42" customHeight="1">
      <c r="A2750" s="2" t="s">
        <v>7340</v>
      </c>
      <c r="B2750" s="2" t="s">
        <v>7340</v>
      </c>
      <c r="C2750" s="2" t="s">
        <v>47</v>
      </c>
      <c r="D2750" s="2" t="s">
        <v>18</v>
      </c>
      <c r="E2750" s="3" t="s">
        <v>158</v>
      </c>
      <c r="F2750" s="3" t="s">
        <v>7342</v>
      </c>
      <c r="G2750" s="3" t="s">
        <v>7345</v>
      </c>
      <c r="H2750" s="2" t="s">
        <v>55</v>
      </c>
      <c r="I2750" s="2" t="s">
        <v>7346</v>
      </c>
      <c r="J2750" s="3" t="str">
        <f>HYPERLINK("https://www.boe.es/gazeta/dias/1809/02/10/pdfs/GMD-1809-41.pdf#page=2","Abrir facsímil")</f>
        <v>Abrir facsímil</v>
      </c>
      <c r="K2750" s="3" t="s">
        <v>57</v>
      </c>
    </row>
    <row r="2751" spans="1:11" ht="42" customHeight="1">
      <c r="A2751" s="2" t="s">
        <v>7340</v>
      </c>
      <c r="B2751" s="2" t="s">
        <v>7340</v>
      </c>
      <c r="C2751" s="2" t="s">
        <v>25</v>
      </c>
      <c r="D2751" s="2" t="s">
        <v>26</v>
      </c>
      <c r="E2751" s="3" t="s">
        <v>1736</v>
      </c>
      <c r="F2751" s="3" t="s">
        <v>1737</v>
      </c>
      <c r="G2751" s="3" t="s">
        <v>1293</v>
      </c>
      <c r="H2751" s="2" t="s">
        <v>55</v>
      </c>
      <c r="I2751" s="2" t="s">
        <v>7347</v>
      </c>
      <c r="J2751" s="3" t="str">
        <f>HYPERLINK("https://www.boe.es/gazeta/dias/1809/02/28/pdfs/GMD-1809-59.pdf#page=2","Abrir facsímil")</f>
        <v>Abrir facsímil</v>
      </c>
      <c r="K2751" s="3" t="s">
        <v>57</v>
      </c>
    </row>
    <row r="2752" spans="1:11" ht="42" customHeight="1">
      <c r="A2752" s="2" t="s">
        <v>7340</v>
      </c>
      <c r="B2752" s="2" t="s">
        <v>7340</v>
      </c>
      <c r="C2752" s="2" t="s">
        <v>25</v>
      </c>
      <c r="D2752" s="2" t="s">
        <v>18</v>
      </c>
      <c r="E2752" s="3" t="s">
        <v>53</v>
      </c>
      <c r="F2752" s="3" t="s">
        <v>3411</v>
      </c>
      <c r="G2752" s="3" t="s">
        <v>5805</v>
      </c>
      <c r="H2752" s="2" t="s">
        <v>55</v>
      </c>
      <c r="I2752" s="2" t="s">
        <v>7348</v>
      </c>
      <c r="J2752" s="3" t="str">
        <f>HYPERLINK("https://www.boe.es/gazeta/dias/1809/03/03/pdfs/GGB-1809-10.pdf#page=5","Abrir facsímil")</f>
        <v>Abrir facsímil</v>
      </c>
      <c r="K2752" s="3" t="s">
        <v>57</v>
      </c>
    </row>
    <row r="2753" spans="1:11" ht="42" customHeight="1">
      <c r="A2753" s="2" t="s">
        <v>7340</v>
      </c>
      <c r="B2753" s="2" t="s">
        <v>7340</v>
      </c>
      <c r="C2753" s="2" t="s">
        <v>47</v>
      </c>
      <c r="D2753" s="2" t="s">
        <v>18</v>
      </c>
      <c r="E2753" s="3" t="s">
        <v>163</v>
      </c>
      <c r="F2753" s="3" t="s">
        <v>478</v>
      </c>
      <c r="G2753" s="3" t="s">
        <v>120</v>
      </c>
      <c r="H2753" s="2" t="s">
        <v>55</v>
      </c>
      <c r="I2753" s="2" t="s">
        <v>7349</v>
      </c>
      <c r="J2753" s="3" t="str">
        <f>HYPERLINK("https://www.boe.es/gazeta/dias/1809/03/10/pdfs/GGB-1809-11.pdf#page=3","Abrir facsímil")</f>
        <v>Abrir facsímil</v>
      </c>
      <c r="K2753" s="3" t="s">
        <v>57</v>
      </c>
    </row>
    <row r="2754" spans="1:11" ht="42" customHeight="1">
      <c r="A2754" s="2" t="s">
        <v>7340</v>
      </c>
      <c r="B2754" s="2" t="s">
        <v>7340</v>
      </c>
      <c r="C2754" s="2" t="s">
        <v>17</v>
      </c>
      <c r="D2754" s="2" t="s">
        <v>18</v>
      </c>
      <c r="E2754" s="3" t="s">
        <v>258</v>
      </c>
      <c r="F2754" s="3" t="s">
        <v>259</v>
      </c>
      <c r="G2754" s="3" t="s">
        <v>4638</v>
      </c>
      <c r="H2754" s="2" t="s">
        <v>55</v>
      </c>
      <c r="I2754" s="2" t="s">
        <v>7350</v>
      </c>
      <c r="J2754" s="3" t="str">
        <f>HYPERLINK("https://www.boe.es/gazeta/dias/1809/03/17/pdfs/GMD-1809-76.pdf#page=4","Abrir facsímil")</f>
        <v>Abrir facsímil</v>
      </c>
      <c r="K2754" s="3" t="s">
        <v>57</v>
      </c>
    </row>
    <row r="2755" spans="1:11" ht="42" customHeight="1">
      <c r="A2755" s="2" t="s">
        <v>7340</v>
      </c>
      <c r="B2755" s="2" t="s">
        <v>7340</v>
      </c>
      <c r="C2755" s="2" t="s">
        <v>25</v>
      </c>
      <c r="D2755" s="2" t="s">
        <v>26</v>
      </c>
      <c r="E2755" s="3" t="s">
        <v>258</v>
      </c>
      <c r="F2755" s="3" t="s">
        <v>910</v>
      </c>
      <c r="G2755" s="3" t="s">
        <v>1152</v>
      </c>
      <c r="H2755" s="2" t="s">
        <v>55</v>
      </c>
      <c r="I2755" s="2" t="s">
        <v>7351</v>
      </c>
      <c r="J2755" s="3" t="str">
        <f>HYPERLINK("https://www.boe.es/gazeta/dias/1809/03/17/pdfs/GGB-1809-12.pdf#page=11","Abrir facsímil")</f>
        <v>Abrir facsímil</v>
      </c>
      <c r="K2755" s="3" t="s">
        <v>57</v>
      </c>
    </row>
    <row r="2756" spans="1:11" ht="42" customHeight="1">
      <c r="A2756" s="2" t="s">
        <v>7340</v>
      </c>
      <c r="B2756" s="2" t="s">
        <v>7340</v>
      </c>
      <c r="C2756" s="2" t="s">
        <v>47</v>
      </c>
      <c r="D2756" s="2" t="s">
        <v>18</v>
      </c>
      <c r="E2756" s="3" t="s">
        <v>5307</v>
      </c>
      <c r="F2756" s="3" t="s">
        <v>5308</v>
      </c>
      <c r="G2756" s="3" t="s">
        <v>29</v>
      </c>
      <c r="H2756" s="2" t="s">
        <v>55</v>
      </c>
      <c r="I2756" s="2" t="s">
        <v>7352</v>
      </c>
      <c r="J2756" s="3" t="str">
        <f>HYPERLINK("https://www.boe.es/gazeta/dias/1809/03/30/pdfs/GMD-1809-89.pdf#page=3","Abrir facsímil")</f>
        <v>Abrir facsímil</v>
      </c>
      <c r="K2756" s="3" t="s">
        <v>57</v>
      </c>
    </row>
    <row r="2757" spans="1:11" ht="42" customHeight="1">
      <c r="A2757" s="2" t="s">
        <v>7340</v>
      </c>
      <c r="B2757" s="2" t="s">
        <v>7340</v>
      </c>
      <c r="C2757" s="2" t="s">
        <v>25</v>
      </c>
      <c r="D2757" s="2" t="s">
        <v>18</v>
      </c>
      <c r="E2757" s="3" t="s">
        <v>3258</v>
      </c>
      <c r="F2757" s="3" t="s">
        <v>3529</v>
      </c>
      <c r="G2757" s="3" t="s">
        <v>75</v>
      </c>
      <c r="H2757" s="2" t="s">
        <v>55</v>
      </c>
      <c r="I2757" s="2" t="s">
        <v>7353</v>
      </c>
      <c r="J2757" s="3" t="str">
        <f>HYPERLINK("https://www.boe.es/gazeta/dias/1809/04/03/pdfs/GGB-1809-14B.pdf#page=8","Abrir facsímil")</f>
        <v>Abrir facsímil</v>
      </c>
      <c r="K2757" s="3" t="s">
        <v>57</v>
      </c>
    </row>
    <row r="2758" spans="1:11" ht="42" customHeight="1">
      <c r="A2758" s="2" t="s">
        <v>7340</v>
      </c>
      <c r="B2758" s="2" t="s">
        <v>7340</v>
      </c>
      <c r="C2758" s="2" t="s">
        <v>17</v>
      </c>
      <c r="D2758" s="2" t="s">
        <v>18</v>
      </c>
      <c r="E2758" s="3" t="s">
        <v>27</v>
      </c>
      <c r="F2758" s="3" t="s">
        <v>28</v>
      </c>
      <c r="G2758" s="3" t="s">
        <v>29</v>
      </c>
      <c r="H2758" s="2" t="s">
        <v>55</v>
      </c>
      <c r="I2758" s="2" t="s">
        <v>7354</v>
      </c>
      <c r="J2758" s="3" t="str">
        <f>HYPERLINK("https://www.boe.es/gazeta/dias/1809/05/12/pdfs/GMD-1809-132.pdf#page=3","Abrir facsímil")</f>
        <v>Abrir facsímil</v>
      </c>
      <c r="K2758" s="3" t="s">
        <v>57</v>
      </c>
    </row>
    <row r="2759" spans="1:11" ht="42" customHeight="1">
      <c r="A2759" s="2" t="s">
        <v>7340</v>
      </c>
      <c r="B2759" s="2" t="s">
        <v>7340</v>
      </c>
      <c r="C2759" s="2" t="s">
        <v>25</v>
      </c>
      <c r="D2759" s="2" t="s">
        <v>72</v>
      </c>
      <c r="E2759" s="3" t="s">
        <v>27</v>
      </c>
      <c r="F2759" s="3" t="s">
        <v>4554</v>
      </c>
      <c r="G2759" s="3" t="s">
        <v>120</v>
      </c>
      <c r="H2759" s="2" t="s">
        <v>55</v>
      </c>
      <c r="I2759" s="2" t="s">
        <v>7355</v>
      </c>
      <c r="J2759" s="3" t="str">
        <f>HYPERLINK("https://www.boe.es/gazeta/dias/1809/05/12/pdfs/GGB-G-1809-26.pdf#page=3","Abrir facsímil")</f>
        <v>Abrir facsímil</v>
      </c>
      <c r="K2759" s="3" t="s">
        <v>57</v>
      </c>
    </row>
    <row r="2760" spans="1:11" ht="42" customHeight="1">
      <c r="A2760" s="2" t="s">
        <v>7356</v>
      </c>
      <c r="B2760" s="2" t="s">
        <v>7356</v>
      </c>
      <c r="C2760" s="2" t="s">
        <v>47</v>
      </c>
      <c r="D2760" s="2" t="s">
        <v>72</v>
      </c>
      <c r="E2760" s="3" t="s">
        <v>27</v>
      </c>
      <c r="F2760" s="3" t="s">
        <v>4554</v>
      </c>
      <c r="G2760" s="3" t="s">
        <v>89</v>
      </c>
      <c r="H2760" s="2" t="s">
        <v>55</v>
      </c>
      <c r="I2760" s="2" t="s">
        <v>7357</v>
      </c>
      <c r="J2760" s="3" t="str">
        <f>HYPERLINK("https://www.boe.es/gazeta/dias/1809/05/12/pdfs/GGB-G-1809-26.pdf#page=4","Abrir facsímil")</f>
        <v>Abrir facsímil</v>
      </c>
      <c r="K2760" s="3" t="s">
        <v>57</v>
      </c>
    </row>
    <row r="2761" spans="1:11" ht="42" customHeight="1">
      <c r="A2761" s="2" t="s">
        <v>7340</v>
      </c>
      <c r="B2761" s="2" t="s">
        <v>7340</v>
      </c>
      <c r="C2761" s="2" t="s">
        <v>47</v>
      </c>
      <c r="D2761" s="2" t="s">
        <v>72</v>
      </c>
      <c r="E2761" s="3" t="s">
        <v>27</v>
      </c>
      <c r="F2761" s="3" t="s">
        <v>4554</v>
      </c>
      <c r="G2761" s="3" t="s">
        <v>595</v>
      </c>
      <c r="H2761" s="2" t="s">
        <v>55</v>
      </c>
      <c r="I2761" s="2" t="s">
        <v>7358</v>
      </c>
      <c r="J2761" s="3" t="str">
        <f>HYPERLINK("https://www.boe.es/gazeta/dias/1809/05/12/pdfs/GGB-G-1809-26.pdf#page=7","Abrir facsímil")</f>
        <v>Abrir facsímil</v>
      </c>
      <c r="K2761" s="3" t="s">
        <v>57</v>
      </c>
    </row>
    <row r="2762" spans="1:11" ht="42" customHeight="1">
      <c r="A2762" s="2" t="s">
        <v>7340</v>
      </c>
      <c r="B2762" s="2" t="s">
        <v>7340</v>
      </c>
      <c r="C2762" s="2" t="s">
        <v>47</v>
      </c>
      <c r="D2762" s="2" t="s">
        <v>18</v>
      </c>
      <c r="E2762" s="3" t="s">
        <v>1678</v>
      </c>
      <c r="F2762" s="3" t="s">
        <v>1679</v>
      </c>
      <c r="G2762" s="3" t="s">
        <v>120</v>
      </c>
      <c r="H2762" s="2" t="s">
        <v>55</v>
      </c>
      <c r="I2762" s="2" t="s">
        <v>7359</v>
      </c>
      <c r="J2762" s="3" t="str">
        <f>HYPERLINK("https://www.boe.es/gazeta/dias/1809/05/29/pdfs/GGB-1809-32.pdf#page=7","Abrir facsímil")</f>
        <v>Abrir facsímil</v>
      </c>
      <c r="K2762" s="3" t="s">
        <v>57</v>
      </c>
    </row>
    <row r="2763" spans="1:11" ht="42" customHeight="1">
      <c r="A2763" s="2" t="s">
        <v>7340</v>
      </c>
      <c r="B2763" s="2" t="s">
        <v>7340</v>
      </c>
      <c r="C2763" s="2" t="s">
        <v>47</v>
      </c>
      <c r="D2763" s="2" t="s">
        <v>40</v>
      </c>
      <c r="E2763" s="3" t="s">
        <v>2595</v>
      </c>
      <c r="F2763" s="3" t="s">
        <v>6932</v>
      </c>
      <c r="G2763" s="3" t="s">
        <v>75</v>
      </c>
      <c r="H2763" s="2" t="s">
        <v>55</v>
      </c>
      <c r="I2763" s="2" t="s">
        <v>7360</v>
      </c>
      <c r="J2763" s="3" t="str">
        <f>HYPERLINK("https://www.boe.es/gazeta/dias/1809/06/16/pdfs/GGB-1809-37.pdf#page=11","Abrir facsímil")</f>
        <v>Abrir facsímil</v>
      </c>
      <c r="K2763" s="3" t="s">
        <v>57</v>
      </c>
    </row>
    <row r="2764" spans="1:11" ht="42" customHeight="1">
      <c r="A2764" s="2" t="s">
        <v>7340</v>
      </c>
      <c r="B2764" s="2" t="s">
        <v>7340</v>
      </c>
      <c r="C2764" s="2" t="s">
        <v>47</v>
      </c>
      <c r="D2764" s="2" t="s">
        <v>107</v>
      </c>
      <c r="E2764" s="3" t="s">
        <v>656</v>
      </c>
      <c r="F2764" s="3" t="s">
        <v>657</v>
      </c>
      <c r="G2764" s="3" t="s">
        <v>658</v>
      </c>
      <c r="H2764" s="2" t="s">
        <v>55</v>
      </c>
      <c r="I2764" s="2" t="s">
        <v>7361</v>
      </c>
      <c r="J2764" s="3" t="str">
        <f>HYPERLINK("https://www.boe.es/gazeta/dias/1809/07/22/pdfs/GMD-1809-203.pdf#page=3","Abrir facsímil")</f>
        <v>Abrir facsímil</v>
      </c>
      <c r="K2764" s="3" t="s">
        <v>57</v>
      </c>
    </row>
    <row r="2765" spans="1:11" ht="42" customHeight="1">
      <c r="A2765" s="2" t="s">
        <v>7340</v>
      </c>
      <c r="B2765" s="2" t="s">
        <v>7340</v>
      </c>
      <c r="C2765" s="2" t="s">
        <v>25</v>
      </c>
      <c r="D2765" s="2" t="s">
        <v>26</v>
      </c>
      <c r="E2765" s="3" t="s">
        <v>1269</v>
      </c>
      <c r="F2765" s="3" t="s">
        <v>3272</v>
      </c>
      <c r="G2765" s="3" t="s">
        <v>89</v>
      </c>
      <c r="H2765" s="2" t="s">
        <v>55</v>
      </c>
      <c r="I2765" s="2" t="s">
        <v>7362</v>
      </c>
      <c r="J2765" s="3" t="str">
        <f>HYPERLINK("https://www.boe.es/gazeta/dias/1809/08/12/pdfs/GMD-1809-225.pdf#page=2","Abrir facsímil")</f>
        <v>Abrir facsímil</v>
      </c>
      <c r="K2765" s="3" t="s">
        <v>57</v>
      </c>
    </row>
    <row r="2766" spans="1:11" ht="42" customHeight="1">
      <c r="A2766" s="2" t="s">
        <v>7340</v>
      </c>
      <c r="B2766" s="2" t="s">
        <v>7340</v>
      </c>
      <c r="C2766" s="2" t="s">
        <v>25</v>
      </c>
      <c r="D2766" s="2" t="s">
        <v>26</v>
      </c>
      <c r="E2766" s="3" t="s">
        <v>442</v>
      </c>
      <c r="F2766" s="3" t="s">
        <v>443</v>
      </c>
      <c r="G2766" s="3" t="s">
        <v>2484</v>
      </c>
      <c r="H2766" s="2" t="s">
        <v>55</v>
      </c>
      <c r="I2766" s="2" t="s">
        <v>7363</v>
      </c>
      <c r="J2766" s="3" t="str">
        <f>HYPERLINK("https://www.boe.es/gazeta/dias/1809/09/05/pdfs/GGB-1809-152.pdf#page=8","Abrir facsímil")</f>
        <v>Abrir facsímil</v>
      </c>
      <c r="K2766" s="3" t="s">
        <v>57</v>
      </c>
    </row>
    <row r="2767" spans="1:11" ht="42" customHeight="1">
      <c r="A2767" s="2" t="s">
        <v>7340</v>
      </c>
      <c r="B2767" s="2" t="s">
        <v>7340</v>
      </c>
      <c r="C2767" s="2" t="s">
        <v>25</v>
      </c>
      <c r="D2767" s="2" t="s">
        <v>26</v>
      </c>
      <c r="E2767" s="3" t="s">
        <v>712</v>
      </c>
      <c r="F2767" s="3" t="s">
        <v>713</v>
      </c>
      <c r="G2767" s="3" t="s">
        <v>154</v>
      </c>
      <c r="H2767" s="2" t="s">
        <v>55</v>
      </c>
      <c r="I2767" s="2" t="s">
        <v>7364</v>
      </c>
      <c r="J2767" s="3" t="str">
        <f>HYPERLINK("https://www.boe.es/gazeta/dias/1809/09/10/pdfs/GMD-1809-254.pdf#page=3","Abrir facsímil")</f>
        <v>Abrir facsímil</v>
      </c>
      <c r="K2767" s="3" t="s">
        <v>57</v>
      </c>
    </row>
    <row r="2768" spans="1:11" ht="42" customHeight="1">
      <c r="A2768" s="2" t="s">
        <v>7340</v>
      </c>
      <c r="B2768" s="2" t="s">
        <v>7340</v>
      </c>
      <c r="C2768" s="2" t="s">
        <v>17</v>
      </c>
      <c r="D2768" s="2" t="s">
        <v>18</v>
      </c>
      <c r="E2768" s="3" t="s">
        <v>1635</v>
      </c>
      <c r="F2768" s="3" t="s">
        <v>1636</v>
      </c>
      <c r="G2768" s="3" t="s">
        <v>914</v>
      </c>
      <c r="H2768" s="2" t="s">
        <v>55</v>
      </c>
      <c r="I2768" s="2" t="s">
        <v>7365</v>
      </c>
      <c r="J2768" s="3" t="str">
        <f>HYPERLINK("https://www.boe.es/gazeta/dias/1809/09/15/pdfs/GMD-1809-259.pdf#page=4","Abrir facsímil")</f>
        <v>Abrir facsímil</v>
      </c>
      <c r="K2768" s="3" t="s">
        <v>57</v>
      </c>
    </row>
    <row r="2769" spans="1:11" ht="42" customHeight="1">
      <c r="A2769" s="2" t="s">
        <v>7340</v>
      </c>
      <c r="B2769" s="2" t="s">
        <v>7340</v>
      </c>
      <c r="C2769" s="2" t="s">
        <v>39</v>
      </c>
      <c r="D2769" s="2" t="s">
        <v>18</v>
      </c>
      <c r="E2769" s="3" t="s">
        <v>73</v>
      </c>
      <c r="F2769" s="3" t="s">
        <v>1045</v>
      </c>
      <c r="G2769" s="3" t="s">
        <v>89</v>
      </c>
      <c r="H2769" s="2" t="s">
        <v>55</v>
      </c>
      <c r="I2769" s="2" t="s">
        <v>7366</v>
      </c>
      <c r="J2769" s="3" t="str">
        <f>HYPERLINK("https://www.boe.es/gazeta/dias/1809/09/21/pdfs/GMD-1809-265.pdf#page=3","Abrir facsímil")</f>
        <v>Abrir facsímil</v>
      </c>
      <c r="K2769" s="3" t="s">
        <v>57</v>
      </c>
    </row>
    <row r="2770" spans="1:11" ht="42" customHeight="1">
      <c r="A2770" s="2" t="s">
        <v>7340</v>
      </c>
      <c r="B2770" s="2" t="s">
        <v>7340</v>
      </c>
      <c r="C2770" s="2" t="s">
        <v>17</v>
      </c>
      <c r="D2770" s="2" t="s">
        <v>107</v>
      </c>
      <c r="E2770" s="3" t="s">
        <v>1206</v>
      </c>
      <c r="F2770" s="3" t="s">
        <v>1612</v>
      </c>
      <c r="G2770" s="3" t="s">
        <v>62</v>
      </c>
      <c r="H2770" s="2" t="s">
        <v>55</v>
      </c>
      <c r="I2770" s="2" t="s">
        <v>7367</v>
      </c>
      <c r="J2770" s="3" t="str">
        <f>HYPERLINK("https://www.boe.es/gazeta/dias/1809/09/23/pdfs/GMD-1809-267.pdf#page=3","Abrir facsímil")</f>
        <v>Abrir facsímil</v>
      </c>
      <c r="K2770" s="3" t="s">
        <v>57</v>
      </c>
    </row>
    <row r="2771" spans="1:11" ht="42" customHeight="1">
      <c r="A2771" s="2" t="s">
        <v>7340</v>
      </c>
      <c r="B2771" s="2" t="s">
        <v>7340</v>
      </c>
      <c r="C2771" s="2" t="s">
        <v>131</v>
      </c>
      <c r="D2771" s="2" t="s">
        <v>18</v>
      </c>
      <c r="E2771" s="3" t="s">
        <v>305</v>
      </c>
      <c r="F2771" s="3" t="s">
        <v>306</v>
      </c>
      <c r="G2771" s="3" t="s">
        <v>29</v>
      </c>
      <c r="H2771" s="2" t="s">
        <v>55</v>
      </c>
      <c r="I2771" s="2" t="s">
        <v>7368</v>
      </c>
      <c r="J2771" s="3" t="str">
        <f>HYPERLINK("https://www.boe.es/gazeta/dias/1809/10/20/pdfs/GMD-1809-294.pdf#page=3","Abrir facsímil")</f>
        <v>Abrir facsímil</v>
      </c>
      <c r="K2771" s="3" t="s">
        <v>57</v>
      </c>
    </row>
    <row r="2772" spans="1:11" ht="42" customHeight="1">
      <c r="A2772" s="2" t="s">
        <v>7340</v>
      </c>
      <c r="B2772" s="2" t="s">
        <v>7340</v>
      </c>
      <c r="C2772" s="2" t="s">
        <v>47</v>
      </c>
      <c r="D2772" s="2" t="s">
        <v>18</v>
      </c>
      <c r="E2772" s="3" t="s">
        <v>211</v>
      </c>
      <c r="F2772" s="3" t="s">
        <v>212</v>
      </c>
      <c r="G2772" s="3" t="s">
        <v>872</v>
      </c>
      <c r="H2772" s="2" t="s">
        <v>55</v>
      </c>
      <c r="I2772" s="2" t="s">
        <v>7369</v>
      </c>
      <c r="J2772" s="3" t="str">
        <f>HYPERLINK("https://www.boe.es/gazeta/dias/1809/10/27/pdfs/GMD-1809-301.pdf#page=1","Abrir facsímil")</f>
        <v>Abrir facsímil</v>
      </c>
      <c r="K2772" s="3" t="s">
        <v>57</v>
      </c>
    </row>
    <row r="2773" spans="1:11" ht="42" customHeight="1">
      <c r="A2773" s="2" t="s">
        <v>7340</v>
      </c>
      <c r="B2773" s="2" t="s">
        <v>7340</v>
      </c>
      <c r="C2773" s="2" t="s">
        <v>25</v>
      </c>
      <c r="D2773" s="2" t="s">
        <v>26</v>
      </c>
      <c r="E2773" s="3" t="s">
        <v>211</v>
      </c>
      <c r="F2773" s="3" t="s">
        <v>212</v>
      </c>
      <c r="G2773" s="3" t="s">
        <v>467</v>
      </c>
      <c r="H2773" s="2" t="s">
        <v>55</v>
      </c>
      <c r="I2773" s="2" t="s">
        <v>7370</v>
      </c>
      <c r="J2773" s="3" t="str">
        <f>HYPERLINK("https://www.boe.es/gazeta/dias/1809/10/27/pdfs/GMD-1809-301.pdf#page=2","Abrir facsímil")</f>
        <v>Abrir facsímil</v>
      </c>
      <c r="K2773" s="3" t="s">
        <v>57</v>
      </c>
    </row>
    <row r="2774" spans="1:11" ht="42" customHeight="1">
      <c r="A2774" s="2" t="s">
        <v>7340</v>
      </c>
      <c r="B2774" s="2" t="s">
        <v>7340</v>
      </c>
      <c r="C2774" s="2" t="s">
        <v>17</v>
      </c>
      <c r="D2774" s="2" t="s">
        <v>18</v>
      </c>
      <c r="E2774" s="3" t="s">
        <v>211</v>
      </c>
      <c r="F2774" s="3" t="s">
        <v>212</v>
      </c>
      <c r="G2774" s="3" t="s">
        <v>29</v>
      </c>
      <c r="H2774" s="2" t="s">
        <v>55</v>
      </c>
      <c r="I2774" s="2" t="s">
        <v>7371</v>
      </c>
      <c r="J2774" s="3" t="str">
        <f>HYPERLINK("https://www.boe.es/gazeta/dias/1809/10/27/pdfs/GMD-1809-301.pdf#page=3","Abrir facsímil")</f>
        <v>Abrir facsímil</v>
      </c>
      <c r="K2774" s="3" t="s">
        <v>57</v>
      </c>
    </row>
    <row r="2775" spans="1:11" ht="42" customHeight="1">
      <c r="A2775" s="2" t="s">
        <v>7340</v>
      </c>
      <c r="B2775" s="2" t="s">
        <v>7340</v>
      </c>
      <c r="C2775" s="2" t="s">
        <v>25</v>
      </c>
      <c r="D2775" s="2" t="s">
        <v>18</v>
      </c>
      <c r="E2775" s="3" t="s">
        <v>211</v>
      </c>
      <c r="F2775" s="3" t="s">
        <v>212</v>
      </c>
      <c r="G2775" s="3" t="s">
        <v>213</v>
      </c>
      <c r="H2775" s="2" t="s">
        <v>55</v>
      </c>
      <c r="I2775" s="2" t="s">
        <v>7372</v>
      </c>
      <c r="J2775" s="3" t="str">
        <f>HYPERLINK("https://www.boe.es/gazeta/dias/1809/10/27/pdfs/GMD-1809-301.pdf#page=4","Abrir facsímil")</f>
        <v>Abrir facsímil</v>
      </c>
      <c r="K2775" s="3" t="s">
        <v>57</v>
      </c>
    </row>
    <row r="2776" spans="1:11" ht="42" customHeight="1">
      <c r="A2776" s="2" t="s">
        <v>7340</v>
      </c>
      <c r="B2776" s="2" t="s">
        <v>7340</v>
      </c>
      <c r="C2776" s="2" t="s">
        <v>369</v>
      </c>
      <c r="D2776" s="2" t="s">
        <v>18</v>
      </c>
      <c r="E2776" s="3" t="s">
        <v>1954</v>
      </c>
      <c r="F2776" s="3" t="s">
        <v>1955</v>
      </c>
      <c r="G2776" s="3" t="s">
        <v>1956</v>
      </c>
      <c r="H2776" s="2" t="s">
        <v>55</v>
      </c>
      <c r="I2776" s="2" t="s">
        <v>7373</v>
      </c>
      <c r="J2776" s="3" t="str">
        <f>HYPERLINK("https://www.boe.es/gazeta/dias/1809/11/08/pdfs/GMD-1809-313.pdf#page=4","Abrir facsímil")</f>
        <v>Abrir facsímil</v>
      </c>
      <c r="K2776" s="3" t="s">
        <v>57</v>
      </c>
    </row>
    <row r="2777" spans="1:11" ht="42" customHeight="1">
      <c r="A2777" s="2" t="s">
        <v>7340</v>
      </c>
      <c r="B2777" s="2" t="s">
        <v>7340</v>
      </c>
      <c r="C2777" s="2" t="s">
        <v>25</v>
      </c>
      <c r="D2777" s="2" t="s">
        <v>26</v>
      </c>
      <c r="E2777" s="3" t="s">
        <v>220</v>
      </c>
      <c r="F2777" s="3" t="s">
        <v>221</v>
      </c>
      <c r="G2777" s="3" t="s">
        <v>154</v>
      </c>
      <c r="H2777" s="2" t="s">
        <v>55</v>
      </c>
      <c r="I2777" s="2" t="s">
        <v>7374</v>
      </c>
      <c r="J2777" s="3" t="str">
        <f>HYPERLINK("https://www.boe.es/gazeta/dias/1809/12/13/pdfs/GMD-1809-348.pdf#page=4","Abrir facsímil")</f>
        <v>Abrir facsímil</v>
      </c>
      <c r="K2777" s="3" t="s">
        <v>57</v>
      </c>
    </row>
    <row r="2778" spans="1:11" ht="42" customHeight="1">
      <c r="A2778" s="2" t="s">
        <v>7340</v>
      </c>
      <c r="B2778" s="2" t="s">
        <v>7340</v>
      </c>
      <c r="C2778" s="2" t="s">
        <v>25</v>
      </c>
      <c r="D2778" s="2" t="s">
        <v>26</v>
      </c>
      <c r="E2778" s="3" t="s">
        <v>223</v>
      </c>
      <c r="F2778" s="3" t="s">
        <v>224</v>
      </c>
      <c r="G2778" s="3" t="s">
        <v>225</v>
      </c>
      <c r="H2778" s="2" t="s">
        <v>55</v>
      </c>
      <c r="I2778" s="2" t="s">
        <v>7375</v>
      </c>
      <c r="J2778" s="3" t="str">
        <f>HYPERLINK("https://www.boe.es/gazeta/dias/1809/12/17/pdfs/GMD-1809-352.pdf#page=4","Abrir facsímil")</f>
        <v>Abrir facsímil</v>
      </c>
      <c r="K2778" s="3" t="s">
        <v>57</v>
      </c>
    </row>
    <row r="2779" spans="1:11" ht="42" customHeight="1">
      <c r="A2779" s="2" t="s">
        <v>7340</v>
      </c>
      <c r="B2779" s="2" t="s">
        <v>7340</v>
      </c>
      <c r="C2779" s="2" t="s">
        <v>17</v>
      </c>
      <c r="D2779" s="2" t="s">
        <v>18</v>
      </c>
      <c r="E2779" s="3" t="s">
        <v>473</v>
      </c>
      <c r="F2779" s="3" t="s">
        <v>474</v>
      </c>
      <c r="G2779" s="3" t="s">
        <v>234</v>
      </c>
      <c r="H2779" s="2" t="s">
        <v>55</v>
      </c>
      <c r="I2779" s="2" t="s">
        <v>7376</v>
      </c>
      <c r="J2779" s="3" t="str">
        <f>HYPERLINK("https://www.boe.es/gazeta/dias/1809/12/28/pdfs/GMD-1809-363.pdf#page=3","Abrir facsímil")</f>
        <v>Abrir facsímil</v>
      </c>
      <c r="K2779" s="3" t="s">
        <v>57</v>
      </c>
    </row>
    <row r="2780" spans="1:11" ht="42" customHeight="1">
      <c r="A2780" s="2" t="s">
        <v>7377</v>
      </c>
      <c r="B2780" s="2" t="s">
        <v>7378</v>
      </c>
      <c r="C2780" s="2" t="s">
        <v>17</v>
      </c>
      <c r="D2780" s="2" t="s">
        <v>18</v>
      </c>
      <c r="E2780" s="3" t="s">
        <v>730</v>
      </c>
      <c r="F2780" s="3" t="s">
        <v>731</v>
      </c>
      <c r="G2780" s="3" t="s">
        <v>62</v>
      </c>
      <c r="H2780" s="2" t="s">
        <v>55</v>
      </c>
      <c r="I2780" s="2" t="s">
        <v>7379</v>
      </c>
      <c r="J2780" s="3" t="str">
        <f>HYPERLINK("https://www.boe.es/gazeta/dias/1809/06/23/pdfs/GMD-1809-174.pdf#page=3","Abrir facsímil")</f>
        <v>Abrir facsímil</v>
      </c>
      <c r="K2780" s="3" t="s">
        <v>57</v>
      </c>
    </row>
    <row r="2781" spans="1:11" ht="42" customHeight="1">
      <c r="A2781" s="2" t="s">
        <v>7380</v>
      </c>
      <c r="B2781" s="2" t="s">
        <v>7380</v>
      </c>
      <c r="C2781" s="2" t="s">
        <v>25</v>
      </c>
      <c r="D2781" s="2" t="s">
        <v>26</v>
      </c>
      <c r="E2781" s="3" t="s">
        <v>27</v>
      </c>
      <c r="F2781" s="3" t="s">
        <v>4554</v>
      </c>
      <c r="G2781" s="3" t="s">
        <v>62</v>
      </c>
      <c r="H2781" s="2" t="s">
        <v>55</v>
      </c>
      <c r="I2781" s="2" t="s">
        <v>7381</v>
      </c>
      <c r="J2781" s="3" t="str">
        <f>HYPERLINK("https://www.boe.es/gazeta/dias/1809/05/12/pdfs/GGB-G-1809-26.pdf#page=2","Abrir facsímil")</f>
        <v>Abrir facsímil</v>
      </c>
      <c r="K2781" s="3" t="s">
        <v>57</v>
      </c>
    </row>
    <row r="2782" spans="1:11" ht="42" customHeight="1">
      <c r="A2782" s="2" t="s">
        <v>7380</v>
      </c>
      <c r="B2782" s="2" t="s">
        <v>7380</v>
      </c>
      <c r="C2782" s="2" t="s">
        <v>47</v>
      </c>
      <c r="D2782" s="2" t="s">
        <v>18</v>
      </c>
      <c r="E2782" s="3" t="s">
        <v>1652</v>
      </c>
      <c r="F2782" s="3" t="s">
        <v>1653</v>
      </c>
      <c r="G2782" s="3" t="s">
        <v>2251</v>
      </c>
      <c r="H2782" s="2" t="s">
        <v>55</v>
      </c>
      <c r="I2782" s="2" t="s">
        <v>7382</v>
      </c>
      <c r="J2782" s="3" t="str">
        <f>HYPERLINK("https://www.boe.es/gazeta/dias/1809/07/25/pdfs/GGB-1809-48.pdf#page=4","Abrir facsímil")</f>
        <v>Abrir facsímil</v>
      </c>
      <c r="K2782" s="3" t="s">
        <v>57</v>
      </c>
    </row>
    <row r="2783" spans="1:11" ht="42" customHeight="1">
      <c r="A2783" s="2" t="s">
        <v>7383</v>
      </c>
      <c r="B2783" s="2" t="s">
        <v>7383</v>
      </c>
      <c r="C2783" s="2" t="s">
        <v>131</v>
      </c>
      <c r="D2783" s="2" t="s">
        <v>18</v>
      </c>
      <c r="E2783" s="3" t="s">
        <v>7384</v>
      </c>
      <c r="F2783" s="3" t="s">
        <v>7385</v>
      </c>
      <c r="G2783" s="3" t="s">
        <v>374</v>
      </c>
      <c r="H2783" s="2" t="s">
        <v>55</v>
      </c>
      <c r="I2783" s="2" t="s">
        <v>7386</v>
      </c>
      <c r="J2783" s="3" t="str">
        <f>HYPERLINK("https://www.boe.es/gazeta/dias/1809/01/18/pdfs/GMD-1809-18.pdf#page=7","Abrir facsímil")</f>
        <v>Abrir facsímil</v>
      </c>
      <c r="K2783" s="3" t="s">
        <v>57</v>
      </c>
    </row>
    <row r="2784" spans="1:11" ht="42" customHeight="1">
      <c r="A2784" s="2" t="s">
        <v>7383</v>
      </c>
      <c r="B2784" s="2" t="s">
        <v>7383</v>
      </c>
      <c r="C2784" s="2" t="s">
        <v>369</v>
      </c>
      <c r="D2784" s="2" t="s">
        <v>72</v>
      </c>
      <c r="E2784" s="3" t="s">
        <v>720</v>
      </c>
      <c r="F2784" s="3" t="s">
        <v>721</v>
      </c>
      <c r="G2784" s="3" t="s">
        <v>2251</v>
      </c>
      <c r="H2784" s="2" t="s">
        <v>55</v>
      </c>
      <c r="I2784" s="2" t="s">
        <v>7387</v>
      </c>
      <c r="J2784" s="3" t="str">
        <f>HYPERLINK("https://www.boe.es/gazeta/dias/1809/01/27/pdfs/GGB-G-1809-5.pdf#page=2","Abrir facsímil")</f>
        <v>Abrir facsímil</v>
      </c>
      <c r="K2784" s="3" t="s">
        <v>57</v>
      </c>
    </row>
    <row r="2785" spans="1:11" ht="42" customHeight="1">
      <c r="A2785" s="2" t="s">
        <v>7388</v>
      </c>
      <c r="B2785" s="2" t="s">
        <v>7388</v>
      </c>
      <c r="C2785" s="2" t="s">
        <v>25</v>
      </c>
      <c r="D2785" s="2" t="s">
        <v>18</v>
      </c>
      <c r="E2785" s="3" t="s">
        <v>27</v>
      </c>
      <c r="F2785" s="3" t="s">
        <v>254</v>
      </c>
      <c r="G2785" s="3" t="s">
        <v>239</v>
      </c>
      <c r="H2785" s="2" t="s">
        <v>55</v>
      </c>
      <c r="I2785" s="2" t="s">
        <v>7389</v>
      </c>
      <c r="J2785" s="3" t="str">
        <f>HYPERLINK("https://www.boe.es/gazeta/dias/1809/05/12/pdfs/GGB-1809-26.pdf#page=11","Abrir facsímil")</f>
        <v>Abrir facsímil</v>
      </c>
      <c r="K2785" s="3" t="s">
        <v>57</v>
      </c>
    </row>
    <row r="2786" spans="1:11" ht="42" customHeight="1">
      <c r="A2786" s="2" t="s">
        <v>7390</v>
      </c>
      <c r="B2786" s="2" t="s">
        <v>7390</v>
      </c>
      <c r="C2786" s="2" t="s">
        <v>25</v>
      </c>
      <c r="D2786" s="2" t="s">
        <v>18</v>
      </c>
      <c r="E2786" s="3" t="s">
        <v>1753</v>
      </c>
      <c r="F2786" s="3" t="s">
        <v>1754</v>
      </c>
      <c r="G2786" s="3" t="s">
        <v>7391</v>
      </c>
      <c r="H2786" s="2" t="s">
        <v>55</v>
      </c>
      <c r="I2786" s="2" t="s">
        <v>7392</v>
      </c>
      <c r="J2786" s="3" t="str">
        <f>HYPERLINK("https://www.boe.es/gazeta/dias/1809/04/25/pdfs/GMD-1809-115.pdf#page=1","Abrir facsímil")</f>
        <v>Abrir facsímil</v>
      </c>
      <c r="K2786" s="3" t="s">
        <v>57</v>
      </c>
    </row>
    <row r="2787" spans="1:11" ht="42" customHeight="1">
      <c r="A2787" s="2" t="s">
        <v>7393</v>
      </c>
      <c r="B2787" s="2" t="s">
        <v>7393</v>
      </c>
      <c r="C2787" s="2" t="s">
        <v>17</v>
      </c>
      <c r="D2787" s="2" t="s">
        <v>18</v>
      </c>
      <c r="E2787" s="3" t="s">
        <v>33</v>
      </c>
      <c r="F2787" s="3" t="s">
        <v>34</v>
      </c>
      <c r="G2787" s="3" t="s">
        <v>35</v>
      </c>
      <c r="H2787" s="2" t="s">
        <v>55</v>
      </c>
      <c r="I2787" s="2" t="s">
        <v>7394</v>
      </c>
      <c r="J2787" s="3" t="str">
        <f>HYPERLINK("https://www.boe.es/gazeta/dias/1809/12/19/pdfs/GGB-1809-602.pdf#page=5","Abrir facsímil")</f>
        <v>Abrir facsímil</v>
      </c>
      <c r="K2787" s="3" t="s">
        <v>57</v>
      </c>
    </row>
    <row r="2788" spans="1:11" ht="42" customHeight="1">
      <c r="A2788" s="2" t="s">
        <v>7395</v>
      </c>
      <c r="B2788" s="2" t="s">
        <v>7395</v>
      </c>
      <c r="C2788" s="2" t="s">
        <v>39</v>
      </c>
      <c r="D2788" s="2" t="s">
        <v>18</v>
      </c>
      <c r="E2788" s="3" t="s">
        <v>2346</v>
      </c>
      <c r="F2788" s="3" t="s">
        <v>2347</v>
      </c>
      <c r="G2788" s="3" t="s">
        <v>98</v>
      </c>
      <c r="H2788" s="2" t="s">
        <v>55</v>
      </c>
      <c r="I2788" s="2" t="s">
        <v>7396</v>
      </c>
      <c r="J2788" s="3" t="str">
        <f>HYPERLINK("https://www.boe.es/gazeta/dias/1809/05/02/pdfs/GMD-1809-122.pdf#page=4","Abrir facsímil")</f>
        <v>Abrir facsímil</v>
      </c>
      <c r="K2788" s="3" t="s">
        <v>57</v>
      </c>
    </row>
    <row r="2789" spans="1:11" ht="42" customHeight="1">
      <c r="A2789" s="2" t="s">
        <v>7397</v>
      </c>
      <c r="B2789" s="2" t="s">
        <v>7397</v>
      </c>
      <c r="C2789" s="2" t="s">
        <v>369</v>
      </c>
      <c r="D2789" s="2" t="s">
        <v>18</v>
      </c>
      <c r="E2789" s="3" t="s">
        <v>163</v>
      </c>
      <c r="F2789" s="3" t="s">
        <v>478</v>
      </c>
      <c r="G2789" s="3" t="s">
        <v>5377</v>
      </c>
      <c r="H2789" s="2" t="s">
        <v>55</v>
      </c>
      <c r="I2789" s="2" t="s">
        <v>7398</v>
      </c>
      <c r="J2789" s="3" t="str">
        <f>HYPERLINK("https://www.boe.es/gazeta/dias/1809/03/10/pdfs/GGB-1809-11.pdf#page=2","Abrir facsímil")</f>
        <v>Abrir facsímil</v>
      </c>
      <c r="K2789" s="3" t="s">
        <v>57</v>
      </c>
    </row>
    <row r="2790" spans="1:11" ht="42" customHeight="1">
      <c r="A2790" s="2" t="s">
        <v>7399</v>
      </c>
      <c r="B2790" s="2" t="s">
        <v>7399</v>
      </c>
      <c r="C2790" s="2" t="s">
        <v>47</v>
      </c>
      <c r="D2790" s="2" t="s">
        <v>18</v>
      </c>
      <c r="E2790" s="3" t="s">
        <v>567</v>
      </c>
      <c r="F2790" s="3" t="s">
        <v>568</v>
      </c>
      <c r="G2790" s="3" t="s">
        <v>225</v>
      </c>
      <c r="H2790" s="2" t="s">
        <v>55</v>
      </c>
      <c r="I2790" s="2" t="s">
        <v>7400</v>
      </c>
      <c r="J2790" s="3" t="str">
        <f>HYPERLINK("https://www.boe.es/gazeta/dias/1809/06/03/pdfs/GMD-1809-154.pdf#page=4","Abrir facsímil")</f>
        <v>Abrir facsímil</v>
      </c>
      <c r="K2790" s="3" t="s">
        <v>57</v>
      </c>
    </row>
    <row r="2791" spans="1:11" ht="42" customHeight="1">
      <c r="A2791" s="2" t="s">
        <v>7401</v>
      </c>
      <c r="B2791" s="2" t="s">
        <v>7401</v>
      </c>
      <c r="C2791" s="2" t="s">
        <v>25</v>
      </c>
      <c r="D2791" s="2" t="s">
        <v>26</v>
      </c>
      <c r="E2791" s="3" t="s">
        <v>883</v>
      </c>
      <c r="F2791" s="3" t="s">
        <v>884</v>
      </c>
      <c r="G2791" s="3" t="s">
        <v>316</v>
      </c>
      <c r="H2791" s="2" t="s">
        <v>55</v>
      </c>
      <c r="I2791" s="2" t="s">
        <v>7402</v>
      </c>
      <c r="J2791" s="3" t="str">
        <f>HYPERLINK("https://www.boe.es/gazeta/dias/1809/12/21/pdfs/GMD-1809-356.pdf#page=4","Abrir facsímil")</f>
        <v>Abrir facsímil</v>
      </c>
      <c r="K2791" s="3" t="s">
        <v>57</v>
      </c>
    </row>
    <row r="2792" spans="1:11" ht="42" customHeight="1">
      <c r="A2792" s="2" t="s">
        <v>7403</v>
      </c>
      <c r="B2792" s="2" t="s">
        <v>7404</v>
      </c>
      <c r="C2792" s="2" t="s">
        <v>17</v>
      </c>
      <c r="D2792" s="2" t="s">
        <v>18</v>
      </c>
      <c r="E2792" s="3" t="s">
        <v>1396</v>
      </c>
      <c r="F2792" s="3" t="s">
        <v>1397</v>
      </c>
      <c r="G2792" s="3" t="s">
        <v>1398</v>
      </c>
      <c r="H2792" s="2" t="s">
        <v>55</v>
      </c>
      <c r="I2792" s="2" t="s">
        <v>7405</v>
      </c>
      <c r="J2792" s="3" t="str">
        <f>HYPERLINK("https://www.boe.es/gazeta/dias/1809/11/28/pdfs/GGB-1809-512.pdf#page=7","Abrir facsímil")</f>
        <v>Abrir facsímil</v>
      </c>
      <c r="K2792" s="3" t="s">
        <v>57</v>
      </c>
    </row>
    <row r="2793" spans="1:11" ht="42" customHeight="1">
      <c r="A2793" s="2" t="s">
        <v>7406</v>
      </c>
      <c r="B2793" s="2" t="s">
        <v>7406</v>
      </c>
      <c r="C2793" s="2" t="s">
        <v>47</v>
      </c>
      <c r="D2793" s="2" t="s">
        <v>40</v>
      </c>
      <c r="E2793" s="3" t="s">
        <v>3521</v>
      </c>
      <c r="F2793" s="3" t="s">
        <v>5399</v>
      </c>
      <c r="G2793" s="3" t="s">
        <v>75</v>
      </c>
      <c r="H2793" s="2" t="s">
        <v>55</v>
      </c>
      <c r="I2793" s="2" t="s">
        <v>7407</v>
      </c>
      <c r="J2793" s="3" t="str">
        <f>HYPERLINK("https://www.boe.es/gazeta/dias/1809/02/24/pdfs/GGB-G-1809-9.pdf#page=6","Abrir facsímil")</f>
        <v>Abrir facsímil</v>
      </c>
      <c r="K2793" s="3" t="s">
        <v>57</v>
      </c>
    </row>
    <row r="2794" spans="1:11" ht="42" customHeight="1">
      <c r="A2794" s="2" t="s">
        <v>7406</v>
      </c>
      <c r="B2794" s="2" t="s">
        <v>7406</v>
      </c>
      <c r="C2794" s="2" t="s">
        <v>25</v>
      </c>
      <c r="D2794" s="2" t="s">
        <v>18</v>
      </c>
      <c r="E2794" s="3" t="s">
        <v>1856</v>
      </c>
      <c r="F2794" s="3" t="s">
        <v>1857</v>
      </c>
      <c r="G2794" s="3" t="s">
        <v>1858</v>
      </c>
      <c r="H2794" s="2" t="s">
        <v>55</v>
      </c>
      <c r="I2794" s="2" t="s">
        <v>7408</v>
      </c>
      <c r="J2794" s="3" t="str">
        <f>HYPERLINK("https://www.boe.es/gazeta/dias/1809/07/12/pdfs/GMD-1809-193.pdf#page=3","Abrir facsímil")</f>
        <v>Abrir facsímil</v>
      </c>
      <c r="K2794" s="3" t="s">
        <v>57</v>
      </c>
    </row>
    <row r="2795" spans="1:11" ht="42" customHeight="1">
      <c r="A2795" s="2" t="s">
        <v>7406</v>
      </c>
      <c r="B2795" s="2" t="s">
        <v>7406</v>
      </c>
      <c r="C2795" s="2" t="s">
        <v>25</v>
      </c>
      <c r="D2795" s="2" t="s">
        <v>26</v>
      </c>
      <c r="E2795" s="3" t="s">
        <v>384</v>
      </c>
      <c r="F2795" s="3" t="s">
        <v>7409</v>
      </c>
      <c r="G2795" s="3" t="s">
        <v>7410</v>
      </c>
      <c r="H2795" s="2" t="s">
        <v>55</v>
      </c>
      <c r="I2795" s="2" t="s">
        <v>7411</v>
      </c>
      <c r="J2795" s="3" t="str">
        <f>HYPERLINK("https://www.boe.es/gazeta/dias/1809/07/27/pdfs/GMD-1809-209E.pdf#page=1","Abrir facsímil")</f>
        <v>Abrir facsímil</v>
      </c>
      <c r="K2795" s="3" t="s">
        <v>57</v>
      </c>
    </row>
    <row r="2796" spans="1:11" ht="42" customHeight="1">
      <c r="A2796" s="2" t="s">
        <v>7412</v>
      </c>
      <c r="B2796" s="2" t="s">
        <v>7413</v>
      </c>
      <c r="C2796" s="2" t="s">
        <v>25</v>
      </c>
      <c r="D2796" s="2" t="s">
        <v>18</v>
      </c>
      <c r="E2796" s="3" t="s">
        <v>258</v>
      </c>
      <c r="F2796" s="3" t="s">
        <v>910</v>
      </c>
      <c r="G2796" s="3" t="s">
        <v>3808</v>
      </c>
      <c r="H2796" s="2" t="s">
        <v>55</v>
      </c>
      <c r="I2796" s="2" t="s">
        <v>7414</v>
      </c>
      <c r="J2796" s="3" t="str">
        <f>HYPERLINK("https://www.boe.es/gazeta/dias/1809/03/17/pdfs/GGB-1809-12.pdf#page=7","Abrir facsímil")</f>
        <v>Abrir facsímil</v>
      </c>
      <c r="K2796" s="3" t="s">
        <v>57</v>
      </c>
    </row>
    <row r="2797" spans="1:11" ht="42" customHeight="1">
      <c r="A2797" s="2" t="s">
        <v>7415</v>
      </c>
      <c r="B2797" s="2" t="s">
        <v>7416</v>
      </c>
      <c r="C2797" s="2" t="s">
        <v>17</v>
      </c>
      <c r="D2797" s="2" t="s">
        <v>18</v>
      </c>
      <c r="E2797" s="3" t="s">
        <v>551</v>
      </c>
      <c r="F2797" s="3" t="s">
        <v>552</v>
      </c>
      <c r="G2797" s="3" t="s">
        <v>29</v>
      </c>
      <c r="H2797" s="2" t="s">
        <v>55</v>
      </c>
      <c r="I2797" s="2" t="s">
        <v>7417</v>
      </c>
      <c r="J2797" s="3" t="str">
        <f>HYPERLINK("https://www.boe.es/gazeta/dias/1809/05/04/pdfs/GMD-1809-124.pdf#page=3","Abrir facsímil")</f>
        <v>Abrir facsímil</v>
      </c>
      <c r="K2797" s="3" t="s">
        <v>57</v>
      </c>
    </row>
    <row r="2798" spans="1:11" ht="42" customHeight="1">
      <c r="A2798" s="2" t="s">
        <v>7418</v>
      </c>
      <c r="B2798" s="2" t="s">
        <v>7419</v>
      </c>
      <c r="C2798" s="2" t="s">
        <v>25</v>
      </c>
      <c r="D2798" s="2" t="s">
        <v>26</v>
      </c>
      <c r="E2798" s="3" t="s">
        <v>1648</v>
      </c>
      <c r="F2798" s="3" t="s">
        <v>1649</v>
      </c>
      <c r="G2798" s="3" t="s">
        <v>1935</v>
      </c>
      <c r="H2798" s="2" t="s">
        <v>55</v>
      </c>
      <c r="I2798" s="2" t="s">
        <v>7420</v>
      </c>
      <c r="J2798" s="3" t="str">
        <f>HYPERLINK("https://www.boe.es/gazeta/dias/1809/05/16/pdfs/GMD-1809-136.pdf#page=1","Abrir facsímil")</f>
        <v>Abrir facsímil</v>
      </c>
      <c r="K2798" s="3" t="s">
        <v>57</v>
      </c>
    </row>
    <row r="2799" spans="1:11" ht="42" customHeight="1">
      <c r="A2799" s="2" t="s">
        <v>7421</v>
      </c>
      <c r="B2799" s="2" t="s">
        <v>7421</v>
      </c>
      <c r="C2799" s="2" t="s">
        <v>39</v>
      </c>
      <c r="D2799" s="2" t="s">
        <v>18</v>
      </c>
      <c r="E2799" s="3" t="s">
        <v>2346</v>
      </c>
      <c r="F2799" s="3" t="s">
        <v>2347</v>
      </c>
      <c r="G2799" s="3" t="s">
        <v>98</v>
      </c>
      <c r="H2799" s="2" t="s">
        <v>55</v>
      </c>
      <c r="I2799" s="2" t="s">
        <v>7422</v>
      </c>
      <c r="J2799" s="3" t="str">
        <f>HYPERLINK("https://www.boe.es/gazeta/dias/1809/05/02/pdfs/GMD-1809-122.pdf#page=4","Abrir facsímil")</f>
        <v>Abrir facsímil</v>
      </c>
      <c r="K2799" s="3" t="s">
        <v>57</v>
      </c>
    </row>
    <row r="2800" spans="1:11" ht="42" customHeight="1">
      <c r="A2800" s="2" t="s">
        <v>7423</v>
      </c>
      <c r="B2800" s="2" t="s">
        <v>7424</v>
      </c>
      <c r="C2800" s="2" t="s">
        <v>25</v>
      </c>
      <c r="D2800" s="2" t="s">
        <v>18</v>
      </c>
      <c r="E2800" s="3" t="s">
        <v>390</v>
      </c>
      <c r="F2800" s="3" t="s">
        <v>391</v>
      </c>
      <c r="G2800" s="3" t="s">
        <v>3729</v>
      </c>
      <c r="H2800" s="2" t="s">
        <v>55</v>
      </c>
      <c r="I2800" s="2" t="s">
        <v>7425</v>
      </c>
      <c r="J2800" s="3" t="str">
        <f>HYPERLINK("https://www.boe.es/gazeta/dias/1809/10/19/pdfs/GGB-1809-342.pdf#page=7","Abrir facsímil")</f>
        <v>Abrir facsímil</v>
      </c>
      <c r="K2800" s="3" t="s">
        <v>57</v>
      </c>
    </row>
    <row r="2801" spans="1:11" ht="42" customHeight="1">
      <c r="A2801" s="2" t="s">
        <v>7426</v>
      </c>
      <c r="B2801" s="2" t="s">
        <v>7426</v>
      </c>
      <c r="C2801" s="2" t="s">
        <v>369</v>
      </c>
      <c r="D2801" s="2" t="s">
        <v>40</v>
      </c>
      <c r="E2801" s="3" t="s">
        <v>1226</v>
      </c>
      <c r="F2801" s="3" t="s">
        <v>1566</v>
      </c>
      <c r="G2801" s="3" t="s">
        <v>4510</v>
      </c>
      <c r="H2801" s="2" t="s">
        <v>55</v>
      </c>
      <c r="I2801" s="2" t="s">
        <v>7427</v>
      </c>
      <c r="J2801" s="3" t="str">
        <f>HYPERLINK("https://www.boe.es/gazeta/dias/1809/11/09/pdfs/GGB-1809-432.pdf#page=8","Abrir facsímil")</f>
        <v>Abrir facsímil</v>
      </c>
      <c r="K2801" s="3" t="s">
        <v>57</v>
      </c>
    </row>
    <row r="2802" spans="1:11" ht="42" customHeight="1">
      <c r="A2802" s="2" t="s">
        <v>7428</v>
      </c>
      <c r="B2802" s="2" t="s">
        <v>7429</v>
      </c>
      <c r="C2802" s="2" t="s">
        <v>25</v>
      </c>
      <c r="D2802" s="2" t="s">
        <v>26</v>
      </c>
      <c r="E2802" s="3" t="s">
        <v>394</v>
      </c>
      <c r="F2802" s="3" t="s">
        <v>2563</v>
      </c>
      <c r="G2802" s="3" t="s">
        <v>110</v>
      </c>
      <c r="H2802" s="2" t="s">
        <v>55</v>
      </c>
      <c r="I2802" s="2" t="s">
        <v>7430</v>
      </c>
      <c r="J2802" s="3" t="str">
        <f>HYPERLINK("https://www.boe.es/gazeta/dias/1809/12/14/pdfs/GMD-1809-349.pdf#page=3","Abrir facsímil")</f>
        <v>Abrir facsímil</v>
      </c>
      <c r="K2802" s="3" t="s">
        <v>57</v>
      </c>
    </row>
    <row r="2803" spans="1:11" ht="42" customHeight="1">
      <c r="A2803" s="2" t="s">
        <v>7431</v>
      </c>
      <c r="B2803" s="2" t="s">
        <v>7431</v>
      </c>
      <c r="C2803" s="2" t="s">
        <v>17</v>
      </c>
      <c r="D2803" s="2" t="s">
        <v>18</v>
      </c>
      <c r="E2803" s="3" t="s">
        <v>1276</v>
      </c>
      <c r="F2803" s="3" t="s">
        <v>1277</v>
      </c>
      <c r="G2803" s="3" t="s">
        <v>120</v>
      </c>
      <c r="H2803" s="2" t="s">
        <v>55</v>
      </c>
      <c r="I2803" s="2" t="s">
        <v>7432</v>
      </c>
      <c r="J2803" s="3" t="str">
        <f>HYPERLINK("https://www.boe.es/gazeta/dias/1809/01/03/pdfs/GMS-1809-63.pdf#page=5","Abrir facsímil")</f>
        <v>Abrir facsímil</v>
      </c>
      <c r="K2803" s="3" t="s">
        <v>57</v>
      </c>
    </row>
    <row r="2804" spans="1:11" ht="42" customHeight="1">
      <c r="A2804" s="2" t="s">
        <v>7431</v>
      </c>
      <c r="B2804" s="2" t="s">
        <v>7431</v>
      </c>
      <c r="C2804" s="2" t="s">
        <v>17</v>
      </c>
      <c r="D2804" s="2" t="s">
        <v>18</v>
      </c>
      <c r="E2804" s="3" t="s">
        <v>925</v>
      </c>
      <c r="F2804" s="3" t="s">
        <v>926</v>
      </c>
      <c r="G2804" s="3" t="s">
        <v>62</v>
      </c>
      <c r="H2804" s="2" t="s">
        <v>55</v>
      </c>
      <c r="I2804" s="2" t="s">
        <v>7433</v>
      </c>
      <c r="J2804" s="3" t="str">
        <f>HYPERLINK("https://www.boe.es/gazeta/dias/1809/01/11/pdfs/GGB-1809-2.pdf#page=6","Abrir facsímil")</f>
        <v>Abrir facsímil</v>
      </c>
      <c r="K2804" s="3" t="s">
        <v>57</v>
      </c>
    </row>
    <row r="2805" spans="1:11" ht="42" customHeight="1">
      <c r="A2805" s="2" t="s">
        <v>7431</v>
      </c>
      <c r="B2805" s="2" t="s">
        <v>7431</v>
      </c>
      <c r="C2805" s="2" t="s">
        <v>17</v>
      </c>
      <c r="D2805" s="2" t="s">
        <v>18</v>
      </c>
      <c r="E2805" s="3" t="s">
        <v>1468</v>
      </c>
      <c r="F2805" s="3" t="s">
        <v>1469</v>
      </c>
      <c r="G2805" s="3" t="s">
        <v>104</v>
      </c>
      <c r="H2805" s="2" t="s">
        <v>55</v>
      </c>
      <c r="I2805" s="2" t="s">
        <v>7434</v>
      </c>
      <c r="J2805" s="3" t="str">
        <f>HYPERLINK("https://www.boe.es/gazeta/dias/1809/02/12/pdfs/GMD-1809-43.pdf#page=6","Abrir facsímil")</f>
        <v>Abrir facsímil</v>
      </c>
      <c r="K2805" s="3" t="s">
        <v>57</v>
      </c>
    </row>
    <row r="2806" spans="1:11" ht="42" customHeight="1">
      <c r="A2806" s="2" t="s">
        <v>7431</v>
      </c>
      <c r="B2806" s="2" t="s">
        <v>7431</v>
      </c>
      <c r="C2806" s="2" t="s">
        <v>25</v>
      </c>
      <c r="D2806" s="2" t="s">
        <v>18</v>
      </c>
      <c r="E2806" s="3" t="s">
        <v>548</v>
      </c>
      <c r="F2806" s="3" t="s">
        <v>549</v>
      </c>
      <c r="G2806" s="3" t="s">
        <v>687</v>
      </c>
      <c r="H2806" s="2" t="s">
        <v>55</v>
      </c>
      <c r="I2806" s="2" t="s">
        <v>7435</v>
      </c>
      <c r="J2806" s="3" t="str">
        <f>HYPERLINK("https://www.boe.es/gazeta/dias/1809/03/12/pdfs/GMD-1809-71.pdf#page=2","Abrir facsímil")</f>
        <v>Abrir facsímil</v>
      </c>
      <c r="K2806" s="3" t="s">
        <v>57</v>
      </c>
    </row>
    <row r="2807" spans="1:11" ht="42" customHeight="1">
      <c r="A2807" s="2" t="s">
        <v>7431</v>
      </c>
      <c r="B2807" s="2" t="s">
        <v>7431</v>
      </c>
      <c r="C2807" s="2" t="s">
        <v>25</v>
      </c>
      <c r="D2807" s="2" t="s">
        <v>26</v>
      </c>
      <c r="E2807" s="3" t="s">
        <v>2607</v>
      </c>
      <c r="F2807" s="3" t="s">
        <v>2608</v>
      </c>
      <c r="G2807" s="3" t="s">
        <v>21</v>
      </c>
      <c r="H2807" s="2" t="s">
        <v>55</v>
      </c>
      <c r="I2807" s="2" t="s">
        <v>7436</v>
      </c>
      <c r="J2807" s="3" t="str">
        <f>HYPERLINK("https://www.boe.es/gazeta/dias/1809/04/30/pdfs/GMD-1809-120.pdf#page=3","Abrir facsímil")</f>
        <v>Abrir facsímil</v>
      </c>
      <c r="K2807" s="3" t="s">
        <v>57</v>
      </c>
    </row>
    <row r="2808" spans="1:11" ht="42" customHeight="1">
      <c r="A2808" s="2" t="s">
        <v>7431</v>
      </c>
      <c r="B2808" s="2" t="s">
        <v>7431</v>
      </c>
      <c r="C2808" s="2" t="s">
        <v>17</v>
      </c>
      <c r="D2808" s="2" t="s">
        <v>18</v>
      </c>
      <c r="E2808" s="3" t="s">
        <v>27</v>
      </c>
      <c r="F2808" s="3" t="s">
        <v>254</v>
      </c>
      <c r="G2808" s="3" t="s">
        <v>239</v>
      </c>
      <c r="H2808" s="2" t="s">
        <v>55</v>
      </c>
      <c r="I2808" s="2" t="s">
        <v>7437</v>
      </c>
      <c r="J2808" s="3" t="str">
        <f>HYPERLINK("https://www.boe.es/gazeta/dias/1809/05/12/pdfs/GGB-1809-26.pdf#page=11","Abrir facsímil")</f>
        <v>Abrir facsímil</v>
      </c>
      <c r="K2808" s="3" t="s">
        <v>57</v>
      </c>
    </row>
    <row r="2809" spans="1:11" ht="42" customHeight="1">
      <c r="A2809" s="2" t="s">
        <v>7431</v>
      </c>
      <c r="B2809" s="2" t="s">
        <v>7431</v>
      </c>
      <c r="C2809" s="2" t="s">
        <v>17</v>
      </c>
      <c r="D2809" s="2" t="s">
        <v>18</v>
      </c>
      <c r="E2809" s="3" t="s">
        <v>749</v>
      </c>
      <c r="F2809" s="3" t="s">
        <v>750</v>
      </c>
      <c r="G2809" s="3" t="s">
        <v>1441</v>
      </c>
      <c r="H2809" s="2" t="s">
        <v>55</v>
      </c>
      <c r="I2809" s="2" t="s">
        <v>7438</v>
      </c>
      <c r="J2809" s="3" t="str">
        <f>HYPERLINK("https://www.boe.es/gazeta/dias/1809/05/19/pdfs/GGB-1809-29.pdf#page=8","Abrir facsímil")</f>
        <v>Abrir facsímil</v>
      </c>
      <c r="K2809" s="3" t="s">
        <v>57</v>
      </c>
    </row>
    <row r="2810" spans="1:11" ht="42" customHeight="1">
      <c r="A2810" s="2" t="s">
        <v>7431</v>
      </c>
      <c r="B2810" s="2" t="s">
        <v>7431</v>
      </c>
      <c r="C2810" s="2" t="s">
        <v>17</v>
      </c>
      <c r="D2810" s="2" t="s">
        <v>18</v>
      </c>
      <c r="E2810" s="3" t="s">
        <v>4946</v>
      </c>
      <c r="F2810" s="3" t="s">
        <v>4947</v>
      </c>
      <c r="G2810" s="3" t="s">
        <v>141</v>
      </c>
      <c r="H2810" s="2" t="s">
        <v>55</v>
      </c>
      <c r="I2810" s="2" t="s">
        <v>7439</v>
      </c>
      <c r="J2810" s="3" t="str">
        <f>HYPERLINK("https://www.boe.es/gazeta/dias/1809/06/13/pdfs/GMD-1809-164.pdf#page=2","Abrir facsímil")</f>
        <v>Abrir facsímil</v>
      </c>
      <c r="K2810" s="3" t="s">
        <v>57</v>
      </c>
    </row>
    <row r="2811" spans="1:11" ht="42" customHeight="1">
      <c r="A2811" s="2" t="s">
        <v>7431</v>
      </c>
      <c r="B2811" s="2" t="s">
        <v>7431</v>
      </c>
      <c r="C2811" s="2" t="s">
        <v>17</v>
      </c>
      <c r="D2811" s="2" t="s">
        <v>18</v>
      </c>
      <c r="E2811" s="3" t="s">
        <v>2595</v>
      </c>
      <c r="F2811" s="3" t="s">
        <v>2596</v>
      </c>
      <c r="G2811" s="3" t="s">
        <v>426</v>
      </c>
      <c r="H2811" s="2" t="s">
        <v>55</v>
      </c>
      <c r="I2811" s="2" t="s">
        <v>7440</v>
      </c>
      <c r="J2811" s="3" t="str">
        <f>HYPERLINK("https://www.boe.es/gazeta/dias/1809/06/16/pdfs/GMD-1809-167.pdf#page=2","Abrir facsímil")</f>
        <v>Abrir facsímil</v>
      </c>
      <c r="K2811" s="3" t="s">
        <v>57</v>
      </c>
    </row>
    <row r="2812" spans="1:11" ht="42" customHeight="1">
      <c r="A2812" s="2" t="s">
        <v>7431</v>
      </c>
      <c r="B2812" s="2" t="s">
        <v>7431</v>
      </c>
      <c r="C2812" s="2" t="s">
        <v>47</v>
      </c>
      <c r="D2812" s="2" t="s">
        <v>18</v>
      </c>
      <c r="E2812" s="3" t="s">
        <v>508</v>
      </c>
      <c r="F2812" s="3" t="s">
        <v>509</v>
      </c>
      <c r="G2812" s="3" t="s">
        <v>316</v>
      </c>
      <c r="H2812" s="2" t="s">
        <v>55</v>
      </c>
      <c r="I2812" s="2" t="s">
        <v>7441</v>
      </c>
      <c r="J2812" s="3" t="str">
        <f>HYPERLINK("https://www.boe.es/gazeta/dias/1809/06/21/pdfs/GMD-1809-172.pdf#page=4","Abrir facsímil")</f>
        <v>Abrir facsímil</v>
      </c>
      <c r="K2812" s="3" t="s">
        <v>57</v>
      </c>
    </row>
    <row r="2813" spans="1:11" ht="42" customHeight="1">
      <c r="A2813" s="2" t="s">
        <v>7431</v>
      </c>
      <c r="B2813" s="2" t="s">
        <v>7431</v>
      </c>
      <c r="C2813" s="2" t="s">
        <v>17</v>
      </c>
      <c r="D2813" s="2" t="s">
        <v>18</v>
      </c>
      <c r="E2813" s="3" t="s">
        <v>730</v>
      </c>
      <c r="F2813" s="3" t="s">
        <v>731</v>
      </c>
      <c r="G2813" s="3" t="s">
        <v>62</v>
      </c>
      <c r="H2813" s="2" t="s">
        <v>55</v>
      </c>
      <c r="I2813" s="2" t="s">
        <v>7442</v>
      </c>
      <c r="J2813" s="3" t="str">
        <f>HYPERLINK("https://www.boe.es/gazeta/dias/1809/06/23/pdfs/GMD-1809-174.pdf#page=3","Abrir facsímil")</f>
        <v>Abrir facsímil</v>
      </c>
      <c r="K2813" s="3" t="s">
        <v>57</v>
      </c>
    </row>
    <row r="2814" spans="1:11" ht="42" customHeight="1">
      <c r="A2814" s="2" t="s">
        <v>7431</v>
      </c>
      <c r="B2814" s="2" t="s">
        <v>7431</v>
      </c>
      <c r="C2814" s="2" t="s">
        <v>17</v>
      </c>
      <c r="D2814" s="2" t="s">
        <v>18</v>
      </c>
      <c r="E2814" s="3" t="s">
        <v>384</v>
      </c>
      <c r="F2814" s="3" t="s">
        <v>385</v>
      </c>
      <c r="G2814" s="3" t="s">
        <v>2747</v>
      </c>
      <c r="H2814" s="2" t="s">
        <v>55</v>
      </c>
      <c r="I2814" s="2" t="s">
        <v>7443</v>
      </c>
      <c r="J2814" s="3" t="str">
        <f>HYPERLINK("https://www.boe.es/gazeta/dias/1809/07/27/pdfs/GMD-1809-208.pdf#page=2","Abrir facsímil")</f>
        <v>Abrir facsímil</v>
      </c>
      <c r="K2814" s="3" t="s">
        <v>57</v>
      </c>
    </row>
    <row r="2815" spans="1:11" ht="42" customHeight="1">
      <c r="A2815" s="2" t="s">
        <v>7431</v>
      </c>
      <c r="B2815" s="2" t="s">
        <v>7431</v>
      </c>
      <c r="C2815" s="2" t="s">
        <v>17</v>
      </c>
      <c r="D2815" s="2" t="s">
        <v>18</v>
      </c>
      <c r="E2815" s="3" t="s">
        <v>1048</v>
      </c>
      <c r="F2815" s="3" t="s">
        <v>5332</v>
      </c>
      <c r="G2815" s="3" t="s">
        <v>7444</v>
      </c>
      <c r="H2815" s="2" t="s">
        <v>55</v>
      </c>
      <c r="I2815" s="2" t="s">
        <v>7445</v>
      </c>
      <c r="J2815" s="3" t="str">
        <f>HYPERLINK("https://www.boe.es/gazeta/dias/1809/08/10/pdfs/GMD-1809-223.pdf#page=3","Abrir facsímil")</f>
        <v>Abrir facsímil</v>
      </c>
      <c r="K2815" s="3" t="s">
        <v>57</v>
      </c>
    </row>
    <row r="2816" spans="1:11" ht="42" customHeight="1">
      <c r="A2816" s="2" t="s">
        <v>7431</v>
      </c>
      <c r="B2816" s="2" t="s">
        <v>7431</v>
      </c>
      <c r="C2816" s="2" t="s">
        <v>17</v>
      </c>
      <c r="D2816" s="2" t="s">
        <v>18</v>
      </c>
      <c r="E2816" s="3" t="s">
        <v>442</v>
      </c>
      <c r="F2816" s="3" t="s">
        <v>2171</v>
      </c>
      <c r="G2816" s="3" t="s">
        <v>2172</v>
      </c>
      <c r="H2816" s="2" t="s">
        <v>55</v>
      </c>
      <c r="I2816" s="2" t="s">
        <v>7446</v>
      </c>
      <c r="J2816" s="3" t="str">
        <f>HYPERLINK("https://www.boe.es/gazeta/dias/1809/09/05/pdfs/GMD-1809-249.pdf#page=4","Abrir facsímil")</f>
        <v>Abrir facsímil</v>
      </c>
      <c r="K2816" s="3" t="s">
        <v>57</v>
      </c>
    </row>
    <row r="2817" spans="1:11" ht="42" customHeight="1">
      <c r="A2817" s="2" t="s">
        <v>7431</v>
      </c>
      <c r="B2817" s="2" t="s">
        <v>7431</v>
      </c>
      <c r="C2817" s="2" t="s">
        <v>25</v>
      </c>
      <c r="D2817" s="2" t="s">
        <v>26</v>
      </c>
      <c r="E2817" s="3" t="s">
        <v>3949</v>
      </c>
      <c r="F2817" s="3" t="s">
        <v>3950</v>
      </c>
      <c r="G2817" s="3" t="s">
        <v>234</v>
      </c>
      <c r="H2817" s="2" t="s">
        <v>55</v>
      </c>
      <c r="I2817" s="2" t="s">
        <v>7447</v>
      </c>
      <c r="J2817" s="3" t="str">
        <f>HYPERLINK("https://www.boe.es/gazeta/dias/1809/09/09/pdfs/GGB-1809-172.pdf#page=3","Abrir facsímil")</f>
        <v>Abrir facsímil</v>
      </c>
      <c r="K2817" s="3" t="s">
        <v>57</v>
      </c>
    </row>
    <row r="2818" spans="1:11" ht="42" customHeight="1">
      <c r="A2818" s="2" t="s">
        <v>7431</v>
      </c>
      <c r="B2818" s="2" t="s">
        <v>7431</v>
      </c>
      <c r="C2818" s="2" t="s">
        <v>25</v>
      </c>
      <c r="D2818" s="2" t="s">
        <v>26</v>
      </c>
      <c r="E2818" s="3" t="s">
        <v>327</v>
      </c>
      <c r="F2818" s="3" t="s">
        <v>2138</v>
      </c>
      <c r="G2818" s="3" t="s">
        <v>2139</v>
      </c>
      <c r="H2818" s="2" t="s">
        <v>55</v>
      </c>
      <c r="I2818" s="2" t="s">
        <v>7448</v>
      </c>
      <c r="J2818" s="3" t="str">
        <f>HYPERLINK("https://www.boe.es/gazeta/dias/1809/09/14/pdfs/GMD-1809-258.pdf#page=1","Abrir facsímil")</f>
        <v>Abrir facsímil</v>
      </c>
      <c r="K2818" s="3" t="s">
        <v>57</v>
      </c>
    </row>
    <row r="2819" spans="1:11" ht="42" customHeight="1">
      <c r="A2819" s="2" t="s">
        <v>7431</v>
      </c>
      <c r="B2819" s="2" t="s">
        <v>7431</v>
      </c>
      <c r="C2819" s="2" t="s">
        <v>17</v>
      </c>
      <c r="D2819" s="2" t="s">
        <v>18</v>
      </c>
      <c r="E2819" s="3" t="s">
        <v>6618</v>
      </c>
      <c r="F2819" s="3" t="s">
        <v>6619</v>
      </c>
      <c r="G2819" s="3" t="s">
        <v>687</v>
      </c>
      <c r="H2819" s="2" t="s">
        <v>55</v>
      </c>
      <c r="I2819" s="2" t="s">
        <v>7449</v>
      </c>
      <c r="J2819" s="3" t="str">
        <f>HYPERLINK("https://www.boe.es/gazeta/dias/1809/09/18/pdfs/GMD-1809-262.pdf#page=2","Abrir facsímil")</f>
        <v>Abrir facsímil</v>
      </c>
      <c r="K2819" s="3" t="s">
        <v>57</v>
      </c>
    </row>
    <row r="2820" spans="1:11" ht="42" customHeight="1">
      <c r="A2820" s="2" t="s">
        <v>7431</v>
      </c>
      <c r="B2820" s="2" t="s">
        <v>7431</v>
      </c>
      <c r="C2820" s="2" t="s">
        <v>17</v>
      </c>
      <c r="D2820" s="2" t="s">
        <v>40</v>
      </c>
      <c r="E2820" s="3" t="s">
        <v>294</v>
      </c>
      <c r="F2820" s="3" t="s">
        <v>7450</v>
      </c>
      <c r="G2820" s="3" t="s">
        <v>110</v>
      </c>
      <c r="H2820" s="2" t="s">
        <v>55</v>
      </c>
      <c r="I2820" s="2" t="s">
        <v>7451</v>
      </c>
      <c r="J2820" s="3" t="str">
        <f>HYPERLINK("https://www.boe.es/gazeta/dias/1809/09/30/pdfs/GMD-1809-274.pdf#page=2","Abrir facsímil")</f>
        <v>Abrir facsímil</v>
      </c>
      <c r="K2820" s="3" t="s">
        <v>57</v>
      </c>
    </row>
    <row r="2821" spans="1:11" ht="42" customHeight="1">
      <c r="A2821" s="2" t="s">
        <v>7431</v>
      </c>
      <c r="B2821" s="2" t="s">
        <v>7431</v>
      </c>
      <c r="C2821" s="2" t="s">
        <v>25</v>
      </c>
      <c r="D2821" s="2" t="s">
        <v>26</v>
      </c>
      <c r="E2821" s="3" t="s">
        <v>294</v>
      </c>
      <c r="F2821" s="3" t="s">
        <v>1360</v>
      </c>
      <c r="G2821" s="3" t="s">
        <v>2517</v>
      </c>
      <c r="H2821" s="2" t="s">
        <v>55</v>
      </c>
      <c r="I2821" s="2" t="s">
        <v>7452</v>
      </c>
      <c r="J2821" s="3" t="str">
        <f>HYPERLINK("https://www.boe.es/gazeta/dias/1809/09/30/pdfs/GGB-1809-262.pdf#page=2","Abrir facsímil")</f>
        <v>Abrir facsímil</v>
      </c>
      <c r="K2821" s="3" t="s">
        <v>57</v>
      </c>
    </row>
    <row r="2822" spans="1:11" ht="42" customHeight="1">
      <c r="A2822" s="2" t="s">
        <v>7431</v>
      </c>
      <c r="B2822" s="2" t="s">
        <v>7431</v>
      </c>
      <c r="C2822" s="2" t="s">
        <v>25</v>
      </c>
      <c r="D2822" s="2" t="s">
        <v>26</v>
      </c>
      <c r="E2822" s="3" t="s">
        <v>4858</v>
      </c>
      <c r="F2822" s="3" t="s">
        <v>4859</v>
      </c>
      <c r="G2822" s="3" t="s">
        <v>7453</v>
      </c>
      <c r="H2822" s="2" t="s">
        <v>55</v>
      </c>
      <c r="I2822" s="2" t="s">
        <v>7454</v>
      </c>
      <c r="J2822" s="3" t="str">
        <f>HYPERLINK("https://www.boe.es/gazeta/dias/1809/10/09/pdfs/GMD-1809-283.pdf#page=4","Abrir facsímil")</f>
        <v>Abrir facsímil</v>
      </c>
      <c r="K2822" s="3" t="s">
        <v>57</v>
      </c>
    </row>
    <row r="2823" spans="1:11" ht="42" customHeight="1">
      <c r="A2823" s="2" t="s">
        <v>7431</v>
      </c>
      <c r="B2823" s="2" t="s">
        <v>7431</v>
      </c>
      <c r="C2823" s="2" t="s">
        <v>25</v>
      </c>
      <c r="D2823" s="2" t="s">
        <v>18</v>
      </c>
      <c r="E2823" s="3" t="s">
        <v>211</v>
      </c>
      <c r="F2823" s="3" t="s">
        <v>212</v>
      </c>
      <c r="G2823" s="3" t="s">
        <v>467</v>
      </c>
      <c r="H2823" s="2" t="s">
        <v>55</v>
      </c>
      <c r="I2823" s="2" t="s">
        <v>7455</v>
      </c>
      <c r="J2823" s="3" t="str">
        <f>HYPERLINK("https://www.boe.es/gazeta/dias/1809/10/27/pdfs/GMD-1809-301.pdf#page=2","Abrir facsímil")</f>
        <v>Abrir facsímil</v>
      </c>
      <c r="K2823" s="3" t="s">
        <v>57</v>
      </c>
    </row>
    <row r="2824" spans="1:11" ht="42" customHeight="1">
      <c r="A2824" s="2" t="s">
        <v>7431</v>
      </c>
      <c r="B2824" s="2" t="s">
        <v>7431</v>
      </c>
      <c r="C2824" s="2" t="s">
        <v>25</v>
      </c>
      <c r="D2824" s="2" t="s">
        <v>18</v>
      </c>
      <c r="E2824" s="3" t="s">
        <v>211</v>
      </c>
      <c r="F2824" s="3" t="s">
        <v>212</v>
      </c>
      <c r="G2824" s="3" t="s">
        <v>29</v>
      </c>
      <c r="H2824" s="2" t="s">
        <v>55</v>
      </c>
      <c r="I2824" s="2" t="s">
        <v>7456</v>
      </c>
      <c r="J2824" s="3" t="str">
        <f>HYPERLINK("https://www.boe.es/gazeta/dias/1809/10/27/pdfs/GMD-1809-301.pdf#page=3","Abrir facsímil")</f>
        <v>Abrir facsímil</v>
      </c>
      <c r="K2824" s="3" t="s">
        <v>57</v>
      </c>
    </row>
    <row r="2825" spans="1:11" ht="42" customHeight="1">
      <c r="A2825" s="2" t="s">
        <v>7431</v>
      </c>
      <c r="B2825" s="2" t="s">
        <v>7431</v>
      </c>
      <c r="C2825" s="2" t="s">
        <v>25</v>
      </c>
      <c r="D2825" s="2" t="s">
        <v>18</v>
      </c>
      <c r="E2825" s="3" t="s">
        <v>211</v>
      </c>
      <c r="F2825" s="3" t="s">
        <v>212</v>
      </c>
      <c r="G2825" s="3" t="s">
        <v>213</v>
      </c>
      <c r="H2825" s="2" t="s">
        <v>55</v>
      </c>
      <c r="I2825" s="2" t="s">
        <v>7457</v>
      </c>
      <c r="J2825" s="3" t="str">
        <f>HYPERLINK("https://www.boe.es/gazeta/dias/1809/10/27/pdfs/GMD-1809-301.pdf#page=4","Abrir facsímil")</f>
        <v>Abrir facsímil</v>
      </c>
      <c r="K2825" s="3" t="s">
        <v>57</v>
      </c>
    </row>
    <row r="2826" spans="1:11" ht="42" customHeight="1">
      <c r="A2826" s="2" t="s">
        <v>7431</v>
      </c>
      <c r="B2826" s="2" t="s">
        <v>7431</v>
      </c>
      <c r="C2826" s="2" t="s">
        <v>17</v>
      </c>
      <c r="D2826" s="2" t="s">
        <v>18</v>
      </c>
      <c r="E2826" s="3" t="s">
        <v>1898</v>
      </c>
      <c r="F2826" s="3" t="s">
        <v>1970</v>
      </c>
      <c r="G2826" s="3" t="s">
        <v>154</v>
      </c>
      <c r="H2826" s="2" t="s">
        <v>55</v>
      </c>
      <c r="I2826" s="2" t="s">
        <v>7458</v>
      </c>
      <c r="J2826" s="3" t="str">
        <f>HYPERLINK("https://www.boe.es/gazeta/dias/1809/12/02/pdfs/GMD-1809-337.pdf#page=4","Abrir facsímil")</f>
        <v>Abrir facsímil</v>
      </c>
      <c r="K2826" s="3" t="s">
        <v>57</v>
      </c>
    </row>
    <row r="2827" spans="1:11" ht="42" customHeight="1">
      <c r="A2827" s="2" t="s">
        <v>7431</v>
      </c>
      <c r="B2827" s="2" t="s">
        <v>7431</v>
      </c>
      <c r="C2827" s="2" t="s">
        <v>25</v>
      </c>
      <c r="D2827" s="2" t="s">
        <v>26</v>
      </c>
      <c r="E2827" s="3" t="s">
        <v>216</v>
      </c>
      <c r="F2827" s="3" t="s">
        <v>217</v>
      </c>
      <c r="G2827" s="3" t="s">
        <v>75</v>
      </c>
      <c r="H2827" s="2" t="s">
        <v>55</v>
      </c>
      <c r="I2827" s="2" t="s">
        <v>7459</v>
      </c>
      <c r="J2827" s="3" t="str">
        <f>HYPERLINK("https://www.boe.es/gazeta/dias/1809/12/05/pdfs/GGB-H-1809-542.pdf#page=2","Abrir facsímil")</f>
        <v>Abrir facsímil</v>
      </c>
      <c r="K2827" s="3" t="s">
        <v>57</v>
      </c>
    </row>
    <row r="2828" spans="1:11" ht="42" customHeight="1">
      <c r="A2828" s="2" t="s">
        <v>7431</v>
      </c>
      <c r="B2828" s="2" t="s">
        <v>7431</v>
      </c>
      <c r="C2828" s="2" t="s">
        <v>25</v>
      </c>
      <c r="D2828" s="2" t="s">
        <v>26</v>
      </c>
      <c r="E2828" s="3" t="s">
        <v>216</v>
      </c>
      <c r="F2828" s="3" t="s">
        <v>217</v>
      </c>
      <c r="G2828" s="3" t="s">
        <v>270</v>
      </c>
      <c r="H2828" s="2" t="s">
        <v>55</v>
      </c>
      <c r="I2828" s="2" t="s">
        <v>7460</v>
      </c>
      <c r="J2828" s="3" t="str">
        <f>HYPERLINK("https://www.boe.es/gazeta/dias/1809/12/05/pdfs/GGB-H-1809-542.pdf#page=3","Abrir facsímil")</f>
        <v>Abrir facsímil</v>
      </c>
      <c r="K2828" s="3" t="s">
        <v>57</v>
      </c>
    </row>
    <row r="2829" spans="1:11" ht="42" customHeight="1">
      <c r="A2829" s="2" t="s">
        <v>7431</v>
      </c>
      <c r="B2829" s="2" t="s">
        <v>7431</v>
      </c>
      <c r="C2829" s="2" t="s">
        <v>25</v>
      </c>
      <c r="D2829" s="2" t="s">
        <v>26</v>
      </c>
      <c r="E2829" s="3" t="s">
        <v>216</v>
      </c>
      <c r="F2829" s="3" t="s">
        <v>217</v>
      </c>
      <c r="G2829" s="3" t="s">
        <v>587</v>
      </c>
      <c r="H2829" s="2" t="s">
        <v>55</v>
      </c>
      <c r="I2829" s="2" t="s">
        <v>7461</v>
      </c>
      <c r="J2829" s="3" t="str">
        <f>HYPERLINK("https://www.boe.es/gazeta/dias/1809/12/05/pdfs/GGB-H-1809-542.pdf#page=4","Abrir facsímil")</f>
        <v>Abrir facsímil</v>
      </c>
      <c r="K2829" s="3" t="s">
        <v>57</v>
      </c>
    </row>
    <row r="2830" spans="1:11" ht="42" customHeight="1">
      <c r="A2830" s="2" t="s">
        <v>7431</v>
      </c>
      <c r="B2830" s="2" t="s">
        <v>7431</v>
      </c>
      <c r="C2830" s="2" t="s">
        <v>25</v>
      </c>
      <c r="D2830" s="2" t="s">
        <v>72</v>
      </c>
      <c r="E2830" s="3" t="s">
        <v>216</v>
      </c>
      <c r="F2830" s="3" t="s">
        <v>217</v>
      </c>
      <c r="G2830" s="3" t="s">
        <v>94</v>
      </c>
      <c r="H2830" s="2" t="s">
        <v>55</v>
      </c>
      <c r="I2830" s="2" t="s">
        <v>7462</v>
      </c>
      <c r="J2830" s="3" t="str">
        <f>HYPERLINK("https://www.boe.es/gazeta/dias/1809/12/05/pdfs/GGB-H-1809-542.pdf#page=5","Abrir facsímil")</f>
        <v>Abrir facsímil</v>
      </c>
      <c r="K2830" s="3" t="s">
        <v>57</v>
      </c>
    </row>
    <row r="2831" spans="1:11" ht="42" customHeight="1">
      <c r="A2831" s="2" t="s">
        <v>7431</v>
      </c>
      <c r="B2831" s="2" t="s">
        <v>7431</v>
      </c>
      <c r="C2831" s="2" t="s">
        <v>25</v>
      </c>
      <c r="D2831" s="2" t="s">
        <v>26</v>
      </c>
      <c r="E2831" s="3" t="s">
        <v>216</v>
      </c>
      <c r="F2831" s="3" t="s">
        <v>217</v>
      </c>
      <c r="G2831" s="3" t="s">
        <v>218</v>
      </c>
      <c r="H2831" s="2" t="s">
        <v>55</v>
      </c>
      <c r="I2831" s="2" t="s">
        <v>7463</v>
      </c>
      <c r="J2831" s="3" t="str">
        <f>HYPERLINK("https://www.boe.es/gazeta/dias/1809/12/05/pdfs/GGB-H-1809-542.pdf#page=6","Abrir facsímil")</f>
        <v>Abrir facsímil</v>
      </c>
      <c r="K2831" s="3" t="s">
        <v>57</v>
      </c>
    </row>
    <row r="2832" spans="1:11" ht="42" customHeight="1">
      <c r="A2832" s="2" t="s">
        <v>7431</v>
      </c>
      <c r="B2832" s="2" t="s">
        <v>7431</v>
      </c>
      <c r="C2832" s="2" t="s">
        <v>131</v>
      </c>
      <c r="D2832" s="2" t="s">
        <v>18</v>
      </c>
      <c r="E2832" s="3" t="s">
        <v>3714</v>
      </c>
      <c r="F2832" s="3" t="s">
        <v>4205</v>
      </c>
      <c r="G2832" s="3" t="s">
        <v>225</v>
      </c>
      <c r="H2832" s="2" t="s">
        <v>55</v>
      </c>
      <c r="I2832" s="2" t="s">
        <v>7464</v>
      </c>
      <c r="J2832" s="3" t="str">
        <f>HYPERLINK("https://www.boe.es/gazeta/dias/1809/12/07/pdfs/GGB-1809-552.pdf#page=4","Abrir facsímil")</f>
        <v>Abrir facsímil</v>
      </c>
      <c r="K2832" s="3" t="s">
        <v>57</v>
      </c>
    </row>
    <row r="2833" spans="1:11" ht="42" customHeight="1">
      <c r="A2833" s="2" t="s">
        <v>7431</v>
      </c>
      <c r="B2833" s="2" t="s">
        <v>7431</v>
      </c>
      <c r="C2833" s="2" t="s">
        <v>25</v>
      </c>
      <c r="D2833" s="2" t="s">
        <v>18</v>
      </c>
      <c r="E2833" s="3" t="s">
        <v>220</v>
      </c>
      <c r="F2833" s="3" t="s">
        <v>221</v>
      </c>
      <c r="G2833" s="3" t="s">
        <v>154</v>
      </c>
      <c r="H2833" s="2" t="s">
        <v>55</v>
      </c>
      <c r="I2833" s="2" t="s">
        <v>7465</v>
      </c>
      <c r="J2833" s="3" t="str">
        <f>HYPERLINK("https://www.boe.es/gazeta/dias/1809/12/13/pdfs/GMD-1809-348.pdf#page=4","Abrir facsímil")</f>
        <v>Abrir facsímil</v>
      </c>
      <c r="K2833" s="3" t="s">
        <v>57</v>
      </c>
    </row>
    <row r="2834" spans="1:11" ht="42" customHeight="1">
      <c r="A2834" s="2" t="s">
        <v>7431</v>
      </c>
      <c r="B2834" s="2" t="s">
        <v>7431</v>
      </c>
      <c r="C2834" s="2" t="s">
        <v>25</v>
      </c>
      <c r="D2834" s="2" t="s">
        <v>26</v>
      </c>
      <c r="E2834" s="3" t="s">
        <v>223</v>
      </c>
      <c r="F2834" s="3" t="s">
        <v>224</v>
      </c>
      <c r="G2834" s="3" t="s">
        <v>225</v>
      </c>
      <c r="H2834" s="2" t="s">
        <v>55</v>
      </c>
      <c r="I2834" s="2" t="s">
        <v>7466</v>
      </c>
      <c r="J2834" s="3" t="str">
        <f>HYPERLINK("https://www.boe.es/gazeta/dias/1809/12/17/pdfs/GMD-1809-352.pdf#page=4","Abrir facsímil")</f>
        <v>Abrir facsímil</v>
      </c>
      <c r="K2834" s="3" t="s">
        <v>57</v>
      </c>
    </row>
    <row r="2835" spans="1:11" ht="42" customHeight="1">
      <c r="A2835" s="2" t="s">
        <v>7431</v>
      </c>
      <c r="B2835" s="2" t="s">
        <v>7431</v>
      </c>
      <c r="C2835" s="2" t="s">
        <v>17</v>
      </c>
      <c r="D2835" s="2" t="s">
        <v>18</v>
      </c>
      <c r="E2835" s="3" t="s">
        <v>473</v>
      </c>
      <c r="F2835" s="3" t="s">
        <v>474</v>
      </c>
      <c r="G2835" s="3" t="s">
        <v>234</v>
      </c>
      <c r="H2835" s="2" t="s">
        <v>55</v>
      </c>
      <c r="I2835" s="2" t="s">
        <v>7467</v>
      </c>
      <c r="J2835" s="3" t="str">
        <f>HYPERLINK("https://www.boe.es/gazeta/dias/1809/12/28/pdfs/GMD-1809-363.pdf#page=3","Abrir facsímil")</f>
        <v>Abrir facsímil</v>
      </c>
      <c r="K2835" s="3" t="s">
        <v>57</v>
      </c>
    </row>
    <row r="2836" spans="1:11" ht="42" customHeight="1">
      <c r="A2836" s="2" t="s">
        <v>7468</v>
      </c>
      <c r="B2836" s="2" t="s">
        <v>7469</v>
      </c>
      <c r="C2836" s="2" t="s">
        <v>25</v>
      </c>
      <c r="D2836" s="2" t="s">
        <v>26</v>
      </c>
      <c r="E2836" s="3" t="s">
        <v>1736</v>
      </c>
      <c r="F2836" s="3" t="s">
        <v>7218</v>
      </c>
      <c r="G2836" s="3" t="s">
        <v>270</v>
      </c>
      <c r="H2836" s="2" t="s">
        <v>55</v>
      </c>
      <c r="I2836" s="2" t="s">
        <v>7470</v>
      </c>
      <c r="J2836" s="3" t="str">
        <f>HYPERLINK("https://www.boe.es/gazeta/dias/1809/02/28/pdfs/GGB-1809-9E.pdf#page=3","Abrir facsímil")</f>
        <v>Abrir facsímil</v>
      </c>
      <c r="K2836" s="3" t="s">
        <v>57</v>
      </c>
    </row>
    <row r="2837" spans="1:11" ht="42" customHeight="1">
      <c r="A2837" s="2" t="s">
        <v>7471</v>
      </c>
      <c r="B2837" s="2" t="s">
        <v>7472</v>
      </c>
      <c r="C2837" s="2" t="s">
        <v>25</v>
      </c>
      <c r="D2837" s="2" t="s">
        <v>26</v>
      </c>
      <c r="E2837" s="3" t="s">
        <v>343</v>
      </c>
      <c r="F2837" s="3" t="s">
        <v>344</v>
      </c>
      <c r="G2837" s="3" t="s">
        <v>426</v>
      </c>
      <c r="H2837" s="2" t="s">
        <v>55</v>
      </c>
      <c r="I2837" s="2" t="s">
        <v>7473</v>
      </c>
      <c r="J2837" s="3" t="str">
        <f>HYPERLINK("https://www.boe.es/gazeta/dias/1809/03/01/pdfs/GGB-1809-9E2.pdf#page=4","Abrir facsímil")</f>
        <v>Abrir facsímil</v>
      </c>
      <c r="K2837" s="3" t="s">
        <v>57</v>
      </c>
    </row>
    <row r="2838" spans="1:11" ht="42" customHeight="1">
      <c r="A2838" s="2" t="s">
        <v>7474</v>
      </c>
      <c r="B2838" s="2" t="s">
        <v>7475</v>
      </c>
      <c r="C2838" s="2" t="s">
        <v>25</v>
      </c>
      <c r="D2838" s="2" t="s">
        <v>26</v>
      </c>
      <c r="E2838" s="3" t="s">
        <v>294</v>
      </c>
      <c r="F2838" s="3" t="s">
        <v>295</v>
      </c>
      <c r="G2838" s="3" t="s">
        <v>154</v>
      </c>
      <c r="H2838" s="2" t="s">
        <v>55</v>
      </c>
      <c r="I2838" s="2" t="s">
        <v>7476</v>
      </c>
      <c r="J2838" s="3" t="str">
        <f>HYPERLINK("https://www.boe.es/gazeta/dias/1809/09/30/pdfs/GGB-H-1809-262.pdf#page=3","Abrir facsímil")</f>
        <v>Abrir facsímil</v>
      </c>
      <c r="K2838" s="3" t="s">
        <v>57</v>
      </c>
    </row>
    <row r="2839" spans="1:11" ht="42" customHeight="1">
      <c r="A2839" s="2" t="s">
        <v>7477</v>
      </c>
      <c r="B2839" s="2" t="s">
        <v>7478</v>
      </c>
      <c r="C2839" s="2" t="s">
        <v>25</v>
      </c>
      <c r="D2839" s="2" t="s">
        <v>18</v>
      </c>
      <c r="E2839" s="3" t="s">
        <v>102</v>
      </c>
      <c r="F2839" s="3" t="s">
        <v>103</v>
      </c>
      <c r="G2839" s="3" t="s">
        <v>736</v>
      </c>
      <c r="H2839" s="2" t="s">
        <v>55</v>
      </c>
      <c r="I2839" s="2" t="s">
        <v>7479</v>
      </c>
      <c r="J2839" s="3" t="str">
        <f>HYPERLINK("https://www.boe.es/gazeta/dias/1809/09/28/pdfs/GGB-1809-252.pdf#page=2","Abrir facsímil")</f>
        <v>Abrir facsímil</v>
      </c>
      <c r="K2839" s="3" t="s">
        <v>57</v>
      </c>
    </row>
    <row r="2840" spans="1:11" ht="42" customHeight="1">
      <c r="A2840" s="2" t="s">
        <v>7480</v>
      </c>
      <c r="B2840" s="2" t="s">
        <v>7480</v>
      </c>
      <c r="C2840" s="2" t="s">
        <v>25</v>
      </c>
      <c r="D2840" s="2" t="s">
        <v>18</v>
      </c>
      <c r="E2840" s="3" t="s">
        <v>473</v>
      </c>
      <c r="F2840" s="3" t="s">
        <v>474</v>
      </c>
      <c r="G2840" s="3" t="s">
        <v>234</v>
      </c>
      <c r="H2840" s="2" t="s">
        <v>55</v>
      </c>
      <c r="I2840" s="2" t="s">
        <v>7481</v>
      </c>
      <c r="J2840" s="3" t="str">
        <f>HYPERLINK("https://www.boe.es/gazeta/dias/1809/12/28/pdfs/GMD-1809-363.pdf#page=3","Abrir facsímil")</f>
        <v>Abrir facsímil</v>
      </c>
      <c r="K2840" s="3" t="s">
        <v>57</v>
      </c>
    </row>
    <row r="2841" spans="1:11" ht="42" customHeight="1">
      <c r="A2841" s="2" t="s">
        <v>7482</v>
      </c>
      <c r="B2841" s="2" t="s">
        <v>7482</v>
      </c>
      <c r="C2841" s="2" t="s">
        <v>369</v>
      </c>
      <c r="D2841" s="2" t="s">
        <v>18</v>
      </c>
      <c r="E2841" s="3" t="s">
        <v>925</v>
      </c>
      <c r="F2841" s="3" t="s">
        <v>1451</v>
      </c>
      <c r="G2841" s="3" t="s">
        <v>239</v>
      </c>
      <c r="H2841" s="2" t="s">
        <v>55</v>
      </c>
      <c r="I2841" s="2" t="s">
        <v>7483</v>
      </c>
      <c r="J2841" s="3" t="str">
        <f>HYPERLINK("https://www.boe.es/gazeta/dias/1809/01/11/pdfs/GMD-1809-11.pdf#page=4","Abrir facsímil")</f>
        <v>Abrir facsímil</v>
      </c>
      <c r="K2841" s="3" t="s">
        <v>57</v>
      </c>
    </row>
    <row r="2842" spans="1:11" ht="42" customHeight="1">
      <c r="A2842" s="2" t="s">
        <v>7484</v>
      </c>
      <c r="B2842" s="2" t="s">
        <v>7484</v>
      </c>
      <c r="C2842" s="2" t="s">
        <v>47</v>
      </c>
      <c r="D2842" s="2" t="s">
        <v>18</v>
      </c>
      <c r="E2842" s="3" t="s">
        <v>394</v>
      </c>
      <c r="F2842" s="3" t="s">
        <v>1210</v>
      </c>
      <c r="G2842" s="3" t="s">
        <v>7485</v>
      </c>
      <c r="H2842" s="2" t="s">
        <v>55</v>
      </c>
      <c r="I2842" s="2" t="s">
        <v>7486</v>
      </c>
      <c r="J2842" s="3" t="str">
        <f>HYPERLINK("https://www.boe.es/gazeta/dias/1809/12/14/pdfs/GGB-1809-582.pdf#page=5","Abrir facsímil")</f>
        <v>Abrir facsímil</v>
      </c>
      <c r="K2842" s="3" t="s">
        <v>57</v>
      </c>
    </row>
    <row r="2843" spans="1:11" ht="42" customHeight="1">
      <c r="A2843" s="2" t="s">
        <v>7487</v>
      </c>
      <c r="B2843" s="2" t="s">
        <v>7487</v>
      </c>
      <c r="C2843" s="2" t="s">
        <v>39</v>
      </c>
      <c r="D2843" s="2" t="s">
        <v>40</v>
      </c>
      <c r="E2843" s="3" t="s">
        <v>2599</v>
      </c>
      <c r="F2843" s="3" t="s">
        <v>3377</v>
      </c>
      <c r="G2843" s="3" t="s">
        <v>2422</v>
      </c>
      <c r="H2843" s="2" t="s">
        <v>55</v>
      </c>
      <c r="I2843" s="2" t="s">
        <v>7488</v>
      </c>
      <c r="J2843" s="3" t="str">
        <f>HYPERLINK("https://www.boe.es/gazeta/dias/1809/05/11/pdfs/GMD-E-1809-131.pdf#page=1","Abrir facsímil")</f>
        <v>Abrir facsímil</v>
      </c>
      <c r="K2843" s="3" t="s">
        <v>57</v>
      </c>
    </row>
    <row r="2844" spans="1:11" ht="42" customHeight="1">
      <c r="A2844" s="2" t="s">
        <v>7487</v>
      </c>
      <c r="B2844" s="2" t="s">
        <v>7487</v>
      </c>
      <c r="C2844" s="2" t="s">
        <v>25</v>
      </c>
      <c r="D2844" s="2" t="s">
        <v>18</v>
      </c>
      <c r="E2844" s="3" t="s">
        <v>1117</v>
      </c>
      <c r="F2844" s="3" t="s">
        <v>1118</v>
      </c>
      <c r="G2844" s="3" t="s">
        <v>3247</v>
      </c>
      <c r="H2844" s="2" t="s">
        <v>55</v>
      </c>
      <c r="I2844" s="2" t="s">
        <v>7489</v>
      </c>
      <c r="J2844" s="3" t="str">
        <f>HYPERLINK("https://www.boe.es/gazeta/dias/1809/11/04/pdfs/GGB-1809-412.pdf#page=6","Abrir facsímil")</f>
        <v>Abrir facsímil</v>
      </c>
      <c r="K2844" s="3" t="s">
        <v>57</v>
      </c>
    </row>
    <row r="2845" spans="1:11" ht="42" customHeight="1">
      <c r="A2845" s="2" t="s">
        <v>7487</v>
      </c>
      <c r="B2845" s="2" t="s">
        <v>7487</v>
      </c>
      <c r="C2845" s="2" t="s">
        <v>25</v>
      </c>
      <c r="D2845" s="2" t="s">
        <v>72</v>
      </c>
      <c r="E2845" s="3" t="s">
        <v>216</v>
      </c>
      <c r="F2845" s="3" t="s">
        <v>217</v>
      </c>
      <c r="G2845" s="3" t="s">
        <v>270</v>
      </c>
      <c r="H2845" s="2" t="s">
        <v>55</v>
      </c>
      <c r="I2845" s="2" t="s">
        <v>7490</v>
      </c>
      <c r="J2845" s="3" t="str">
        <f>HYPERLINK("https://www.boe.es/gazeta/dias/1809/12/05/pdfs/GGB-H-1809-542.pdf#page=3","Abrir facsímil")</f>
        <v>Abrir facsímil</v>
      </c>
      <c r="K2845" s="3" t="s">
        <v>57</v>
      </c>
    </row>
    <row r="2846" spans="1:11" ht="42" customHeight="1">
      <c r="A2846" s="2" t="s">
        <v>7491</v>
      </c>
      <c r="B2846" s="2" t="s">
        <v>7491</v>
      </c>
      <c r="C2846" s="2" t="s">
        <v>25</v>
      </c>
      <c r="D2846" s="2" t="s">
        <v>18</v>
      </c>
      <c r="E2846" s="3" t="s">
        <v>1123</v>
      </c>
      <c r="F2846" s="3" t="s">
        <v>1124</v>
      </c>
      <c r="G2846" s="3" t="s">
        <v>154</v>
      </c>
      <c r="H2846" s="2" t="s">
        <v>55</v>
      </c>
      <c r="I2846" s="2" t="s">
        <v>7492</v>
      </c>
      <c r="J2846" s="3" t="str">
        <f>HYPERLINK("https://www.boe.es/gazeta/dias/1809/01/08/pdfs/GMD-1809-8.pdf#page=2","Abrir facsímil")</f>
        <v>Abrir facsímil</v>
      </c>
      <c r="K2846" s="3" t="s">
        <v>57</v>
      </c>
    </row>
    <row r="2847" spans="1:11" ht="42" customHeight="1">
      <c r="A2847" s="2" t="s">
        <v>7491</v>
      </c>
      <c r="B2847" s="2" t="s">
        <v>7491</v>
      </c>
      <c r="C2847" s="2" t="s">
        <v>25</v>
      </c>
      <c r="D2847" s="2" t="s">
        <v>26</v>
      </c>
      <c r="E2847" s="3" t="s">
        <v>761</v>
      </c>
      <c r="F2847" s="3" t="s">
        <v>1218</v>
      </c>
      <c r="G2847" s="3" t="s">
        <v>595</v>
      </c>
      <c r="H2847" s="2" t="s">
        <v>55</v>
      </c>
      <c r="I2847" s="2" t="s">
        <v>7493</v>
      </c>
      <c r="J2847" s="3" t="str">
        <f>HYPERLINK("https://www.boe.es/gazeta/dias/1809/06/02/pdfs/GGB-1809-33.pdf#page=7","Abrir facsímil")</f>
        <v>Abrir facsímil</v>
      </c>
      <c r="K2847" s="3" t="s">
        <v>57</v>
      </c>
    </row>
    <row r="2848" spans="1:11" ht="42" customHeight="1">
      <c r="A2848" s="2" t="s">
        <v>7491</v>
      </c>
      <c r="B2848" s="2" t="s">
        <v>7491</v>
      </c>
      <c r="C2848" s="2" t="s">
        <v>25</v>
      </c>
      <c r="D2848" s="2" t="s">
        <v>26</v>
      </c>
      <c r="E2848" s="3" t="s">
        <v>327</v>
      </c>
      <c r="F2848" s="3" t="s">
        <v>328</v>
      </c>
      <c r="G2848" s="3" t="s">
        <v>21</v>
      </c>
      <c r="H2848" s="2" t="s">
        <v>55</v>
      </c>
      <c r="I2848" s="2" t="s">
        <v>7494</v>
      </c>
      <c r="J2848" s="3" t="str">
        <f>HYPERLINK("https://www.boe.es/gazeta/dias/1809/09/14/pdfs/GGB-1809-192.pdf#page=2","Abrir facsímil")</f>
        <v>Abrir facsímil</v>
      </c>
      <c r="K2848" s="3" t="s">
        <v>57</v>
      </c>
    </row>
    <row r="2849" spans="1:11" ht="42" customHeight="1">
      <c r="A2849" s="2" t="s">
        <v>7495</v>
      </c>
      <c r="B2849" s="2" t="s">
        <v>7495</v>
      </c>
      <c r="C2849" s="2" t="s">
        <v>25</v>
      </c>
      <c r="D2849" s="2" t="s">
        <v>18</v>
      </c>
      <c r="E2849" s="3" t="s">
        <v>4389</v>
      </c>
      <c r="F2849" s="3" t="s">
        <v>4390</v>
      </c>
      <c r="G2849" s="3" t="s">
        <v>3536</v>
      </c>
      <c r="H2849" s="2" t="s">
        <v>55</v>
      </c>
      <c r="I2849" s="2" t="s">
        <v>7496</v>
      </c>
      <c r="J2849" s="3" t="str">
        <f>HYPERLINK("https://www.boe.es/gazeta/dias/1809/02/06/pdfs/GMD-1809-37.pdf#page=2","Abrir facsímil")</f>
        <v>Abrir facsímil</v>
      </c>
      <c r="K2849" s="3" t="s">
        <v>57</v>
      </c>
    </row>
    <row r="2850" spans="1:11" ht="42" customHeight="1">
      <c r="A2850" s="2" t="s">
        <v>7497</v>
      </c>
      <c r="B2850" s="2" t="s">
        <v>7498</v>
      </c>
      <c r="C2850" s="2" t="s">
        <v>25</v>
      </c>
      <c r="D2850" s="2" t="s">
        <v>26</v>
      </c>
      <c r="E2850" s="3" t="s">
        <v>108</v>
      </c>
      <c r="F2850" s="3" t="s">
        <v>109</v>
      </c>
      <c r="G2850" s="3" t="s">
        <v>110</v>
      </c>
      <c r="H2850" s="2" t="s">
        <v>55</v>
      </c>
      <c r="I2850" s="2" t="s">
        <v>7499</v>
      </c>
      <c r="J2850" s="3" t="str">
        <f>HYPERLINK("https://www.boe.es/gazeta/dias/1809/09/08/pdfs/GMD-1809-252.pdf#page=2","Abrir facsímil")</f>
        <v>Abrir facsímil</v>
      </c>
      <c r="K2850" s="3" t="s">
        <v>57</v>
      </c>
    </row>
    <row r="2851" spans="1:11" ht="42" customHeight="1">
      <c r="A2851" s="2" t="s">
        <v>7500</v>
      </c>
      <c r="B2851" s="2" t="s">
        <v>7501</v>
      </c>
      <c r="C2851" s="2" t="s">
        <v>25</v>
      </c>
      <c r="D2851" s="2" t="s">
        <v>18</v>
      </c>
      <c r="E2851" s="3" t="s">
        <v>473</v>
      </c>
      <c r="F2851" s="3" t="s">
        <v>474</v>
      </c>
      <c r="G2851" s="3" t="s">
        <v>234</v>
      </c>
      <c r="H2851" s="2" t="s">
        <v>55</v>
      </c>
      <c r="I2851" s="2" t="s">
        <v>7502</v>
      </c>
      <c r="J2851" s="3" t="str">
        <f>HYPERLINK("https://www.boe.es/gazeta/dias/1809/12/28/pdfs/GMD-1809-363.pdf#page=3","Abrir facsímil")</f>
        <v>Abrir facsímil</v>
      </c>
      <c r="K2851" s="3" t="s">
        <v>57</v>
      </c>
    </row>
    <row r="2852" spans="1:11" ht="42" customHeight="1">
      <c r="A2852" s="2" t="s">
        <v>7503</v>
      </c>
      <c r="B2852" s="2" t="s">
        <v>7503</v>
      </c>
      <c r="C2852" s="2" t="s">
        <v>25</v>
      </c>
      <c r="D2852" s="2" t="s">
        <v>26</v>
      </c>
      <c r="E2852" s="3" t="s">
        <v>1276</v>
      </c>
      <c r="F2852" s="3" t="s">
        <v>1277</v>
      </c>
      <c r="G2852" s="3" t="s">
        <v>154</v>
      </c>
      <c r="H2852" s="2" t="s">
        <v>55</v>
      </c>
      <c r="I2852" s="2" t="s">
        <v>7504</v>
      </c>
      <c r="J2852" s="3" t="str">
        <f>HYPERLINK("https://www.boe.es/gazeta/dias/1809/01/03/pdfs/GMS-1809-63.pdf#page=1","Abrir facsímil")</f>
        <v>Abrir facsímil</v>
      </c>
      <c r="K2852" s="3" t="s">
        <v>57</v>
      </c>
    </row>
    <row r="2853" spans="1:11" ht="42" customHeight="1">
      <c r="A2853" s="2" t="s">
        <v>7505</v>
      </c>
      <c r="B2853" s="2" t="s">
        <v>7505</v>
      </c>
      <c r="C2853" s="2" t="s">
        <v>25</v>
      </c>
      <c r="D2853" s="2" t="s">
        <v>18</v>
      </c>
      <c r="E2853" s="3" t="s">
        <v>1276</v>
      </c>
      <c r="F2853" s="3" t="s">
        <v>1277</v>
      </c>
      <c r="G2853" s="3" t="s">
        <v>75</v>
      </c>
      <c r="H2853" s="2" t="s">
        <v>55</v>
      </c>
      <c r="I2853" s="2" t="s">
        <v>7506</v>
      </c>
      <c r="J2853" s="3" t="str">
        <f>HYPERLINK("https://www.boe.es/gazeta/dias/1809/01/03/pdfs/GMS-1809-63.pdf#page=2","Abrir facsímil")</f>
        <v>Abrir facsímil</v>
      </c>
      <c r="K2853" s="3" t="s">
        <v>57</v>
      </c>
    </row>
    <row r="2854" spans="1:11" ht="42" customHeight="1">
      <c r="A2854" s="2" t="s">
        <v>7507</v>
      </c>
      <c r="B2854" s="2" t="s">
        <v>7508</v>
      </c>
      <c r="C2854" s="2" t="s">
        <v>39</v>
      </c>
      <c r="D2854" s="2" t="s">
        <v>18</v>
      </c>
      <c r="E2854" s="3" t="s">
        <v>2602</v>
      </c>
      <c r="F2854" s="3" t="s">
        <v>2603</v>
      </c>
      <c r="G2854" s="3" t="s">
        <v>89</v>
      </c>
      <c r="H2854" s="2" t="s">
        <v>55</v>
      </c>
      <c r="I2854" s="2" t="s">
        <v>7509</v>
      </c>
      <c r="J2854" s="3" t="str">
        <f>HYPERLINK("https://www.boe.es/gazeta/dias/1809/11/15/pdfs/GMD-1809-320.pdf#page=4","Abrir facsímil")</f>
        <v>Abrir facsímil</v>
      </c>
      <c r="K2854" s="3" t="s">
        <v>57</v>
      </c>
    </row>
    <row r="2855" spans="1:11" ht="42" customHeight="1">
      <c r="A2855" s="2" t="s">
        <v>7510</v>
      </c>
      <c r="B2855" s="2" t="s">
        <v>7510</v>
      </c>
      <c r="C2855" s="2" t="s">
        <v>25</v>
      </c>
      <c r="D2855" s="2" t="s">
        <v>18</v>
      </c>
      <c r="E2855" s="3" t="s">
        <v>749</v>
      </c>
      <c r="F2855" s="3" t="s">
        <v>1740</v>
      </c>
      <c r="G2855" s="3" t="s">
        <v>7511</v>
      </c>
      <c r="H2855" s="2" t="s">
        <v>55</v>
      </c>
      <c r="I2855" s="2" t="s">
        <v>7512</v>
      </c>
      <c r="J2855" s="3" t="str">
        <f>HYPERLINK("https://www.boe.es/gazeta/dias/1809/05/19/pdfs/GMD-1809-139.pdf#page=1","Abrir facsímil")</f>
        <v>Abrir facsímil</v>
      </c>
      <c r="K2855" s="3" t="s">
        <v>57</v>
      </c>
    </row>
    <row r="2856" spans="1:11" ht="42" customHeight="1">
      <c r="A2856" s="2" t="s">
        <v>7513</v>
      </c>
      <c r="B2856" s="2" t="s">
        <v>7513</v>
      </c>
      <c r="C2856" s="2" t="s">
        <v>25</v>
      </c>
      <c r="D2856" s="2" t="s">
        <v>26</v>
      </c>
      <c r="E2856" s="3" t="s">
        <v>7514</v>
      </c>
      <c r="F2856" s="3" t="s">
        <v>7515</v>
      </c>
      <c r="G2856" s="3" t="s">
        <v>154</v>
      </c>
      <c r="H2856" s="2" t="s">
        <v>55</v>
      </c>
      <c r="I2856" s="2" t="s">
        <v>7516</v>
      </c>
      <c r="J2856" s="3" t="str">
        <f>HYPERLINK("https://www.boe.es/gazeta/dias/1809/10/17/pdfs/GGB-1809-332.pdf#page=3","Abrir facsímil")</f>
        <v>Abrir facsímil</v>
      </c>
      <c r="K2856" s="3" t="s">
        <v>57</v>
      </c>
    </row>
    <row r="2857" spans="1:11" ht="42" customHeight="1">
      <c r="A2857" s="2" t="s">
        <v>7517</v>
      </c>
      <c r="B2857" s="2" t="s">
        <v>7517</v>
      </c>
      <c r="C2857" s="2" t="s">
        <v>25</v>
      </c>
      <c r="D2857" s="2" t="s">
        <v>26</v>
      </c>
      <c r="E2857" s="3" t="s">
        <v>4624</v>
      </c>
      <c r="F2857" s="3" t="s">
        <v>4625</v>
      </c>
      <c r="G2857" s="3" t="s">
        <v>1152</v>
      </c>
      <c r="H2857" s="2" t="s">
        <v>55</v>
      </c>
      <c r="I2857" s="2" t="s">
        <v>7518</v>
      </c>
      <c r="J2857" s="3" t="str">
        <f>HYPERLINK("https://www.boe.es/gazeta/dias/1809/01/31/pdfs/GMD-1809-31.pdf#page=2","Abrir facsímil")</f>
        <v>Abrir facsímil</v>
      </c>
      <c r="K2857" s="3" t="s">
        <v>57</v>
      </c>
    </row>
    <row r="2858" spans="1:11" ht="42" customHeight="1">
      <c r="A2858" s="2" t="s">
        <v>7519</v>
      </c>
      <c r="B2858" s="2" t="s">
        <v>7519</v>
      </c>
      <c r="C2858" s="2" t="s">
        <v>25</v>
      </c>
      <c r="D2858" s="2" t="s">
        <v>26</v>
      </c>
      <c r="E2858" s="3" t="s">
        <v>1807</v>
      </c>
      <c r="F2858" s="3" t="s">
        <v>1808</v>
      </c>
      <c r="G2858" s="3" t="s">
        <v>2093</v>
      </c>
      <c r="H2858" s="2" t="s">
        <v>55</v>
      </c>
      <c r="I2858" s="2" t="s">
        <v>7520</v>
      </c>
      <c r="J2858" s="3" t="str">
        <f>HYPERLINK("https://www.boe.es/gazeta/dias/1809/01/22/pdfs/GMD-1809-22.pdf#page=2","Abrir facsímil")</f>
        <v>Abrir facsímil</v>
      </c>
      <c r="K2858" s="3" t="s">
        <v>57</v>
      </c>
    </row>
    <row r="2859" spans="1:11" ht="42" customHeight="1">
      <c r="A2859" s="2" t="s">
        <v>7519</v>
      </c>
      <c r="B2859" s="2" t="s">
        <v>7519</v>
      </c>
      <c r="C2859" s="2" t="s">
        <v>25</v>
      </c>
      <c r="D2859" s="2" t="s">
        <v>26</v>
      </c>
      <c r="E2859" s="3" t="s">
        <v>1761</v>
      </c>
      <c r="F2859" s="3" t="s">
        <v>1762</v>
      </c>
      <c r="G2859" s="3" t="s">
        <v>234</v>
      </c>
      <c r="H2859" s="2" t="s">
        <v>55</v>
      </c>
      <c r="I2859" s="2" t="s">
        <v>7521</v>
      </c>
      <c r="J2859" s="3" t="str">
        <f>HYPERLINK("https://www.boe.es/gazeta/dias/1809/10/18/pdfs/GMD-1809-292.pdf#page=1","Abrir facsímil")</f>
        <v>Abrir facsímil</v>
      </c>
      <c r="K2859" s="3" t="s">
        <v>57</v>
      </c>
    </row>
    <row r="2860" spans="1:11" ht="42" customHeight="1">
      <c r="A2860" s="2" t="s">
        <v>7522</v>
      </c>
      <c r="B2860" s="2" t="s">
        <v>7522</v>
      </c>
      <c r="C2860" s="2" t="s">
        <v>25</v>
      </c>
      <c r="D2860" s="2" t="s">
        <v>26</v>
      </c>
      <c r="E2860" s="3" t="s">
        <v>4624</v>
      </c>
      <c r="F2860" s="3" t="s">
        <v>4625</v>
      </c>
      <c r="G2860" s="3" t="s">
        <v>29</v>
      </c>
      <c r="H2860" s="2" t="s">
        <v>55</v>
      </c>
      <c r="I2860" s="2" t="s">
        <v>7523</v>
      </c>
      <c r="J2860" s="3" t="str">
        <f>HYPERLINK("https://www.boe.es/gazeta/dias/1809/01/31/pdfs/GMD-1809-31.pdf#page=3","Abrir facsímil")</f>
        <v>Abrir facsímil</v>
      </c>
      <c r="K2860" s="3" t="s">
        <v>57</v>
      </c>
    </row>
    <row r="2861" spans="1:11" ht="42" customHeight="1">
      <c r="A2861" s="2" t="s">
        <v>7524</v>
      </c>
      <c r="B2861" s="2" t="s">
        <v>7524</v>
      </c>
      <c r="C2861" s="2" t="s">
        <v>25</v>
      </c>
      <c r="D2861" s="2" t="s">
        <v>26</v>
      </c>
      <c r="E2861" s="3" t="s">
        <v>1481</v>
      </c>
      <c r="F2861" s="3" t="s">
        <v>1482</v>
      </c>
      <c r="G2861" s="3" t="s">
        <v>75</v>
      </c>
      <c r="H2861" s="2" t="s">
        <v>55</v>
      </c>
      <c r="I2861" s="2" t="s">
        <v>7525</v>
      </c>
      <c r="J2861" s="3" t="str">
        <f>HYPERLINK("https://www.boe.es/gazeta/dias/1809/08/02/pdfs/GMD-1809-215.pdf#page=2","Abrir facsímil")</f>
        <v>Abrir facsímil</v>
      </c>
      <c r="K2861" s="3" t="s">
        <v>57</v>
      </c>
    </row>
    <row r="2862" spans="1:11" ht="42" customHeight="1">
      <c r="A2862" s="2" t="s">
        <v>7524</v>
      </c>
      <c r="B2862" s="2" t="s">
        <v>7524</v>
      </c>
      <c r="C2862" s="2" t="s">
        <v>25</v>
      </c>
      <c r="D2862" s="2" t="s">
        <v>26</v>
      </c>
      <c r="E2862" s="3" t="s">
        <v>3096</v>
      </c>
      <c r="F2862" s="3" t="s">
        <v>4183</v>
      </c>
      <c r="G2862" s="3" t="s">
        <v>7526</v>
      </c>
      <c r="H2862" s="2" t="s">
        <v>55</v>
      </c>
      <c r="I2862" s="2" t="s">
        <v>7527</v>
      </c>
      <c r="J2862" s="3" t="str">
        <f>HYPERLINK("https://www.boe.es/gazeta/dias/1809/08/14/pdfs/GMD-1809-227.pdf#page=1","Abrir facsímil")</f>
        <v>Abrir facsímil</v>
      </c>
      <c r="K2862" s="3" t="s">
        <v>57</v>
      </c>
    </row>
    <row r="2863" spans="1:11" ht="42" customHeight="1">
      <c r="A2863" s="2" t="s">
        <v>7528</v>
      </c>
      <c r="B2863" s="2" t="s">
        <v>7528</v>
      </c>
      <c r="C2863" s="2" t="s">
        <v>25</v>
      </c>
      <c r="D2863" s="2" t="s">
        <v>26</v>
      </c>
      <c r="E2863" s="3" t="s">
        <v>1598</v>
      </c>
      <c r="F2863" s="3" t="s">
        <v>7529</v>
      </c>
      <c r="G2863" s="3" t="s">
        <v>154</v>
      </c>
      <c r="H2863" s="2" t="s">
        <v>55</v>
      </c>
      <c r="I2863" s="2" t="s">
        <v>7530</v>
      </c>
      <c r="J2863" s="3" t="str">
        <f>HYPERLINK("https://www.boe.es/gazeta/dias/1809/01/10/pdfs/GMD-1809-10.pdf#page=1","Abrir facsímil")</f>
        <v>Abrir facsímil</v>
      </c>
      <c r="K2863" s="3" t="s">
        <v>57</v>
      </c>
    </row>
    <row r="2864" spans="1:11" ht="42" customHeight="1">
      <c r="A2864" s="2" t="s">
        <v>7531</v>
      </c>
      <c r="B2864" s="2" t="s">
        <v>7532</v>
      </c>
      <c r="C2864" s="2" t="s">
        <v>25</v>
      </c>
      <c r="D2864" s="2" t="s">
        <v>26</v>
      </c>
      <c r="E2864" s="3" t="s">
        <v>108</v>
      </c>
      <c r="F2864" s="3" t="s">
        <v>109</v>
      </c>
      <c r="G2864" s="3" t="s">
        <v>110</v>
      </c>
      <c r="H2864" s="2" t="s">
        <v>55</v>
      </c>
      <c r="I2864" s="2" t="s">
        <v>7533</v>
      </c>
      <c r="J2864" s="3" t="str">
        <f>HYPERLINK("https://www.boe.es/gazeta/dias/1809/09/08/pdfs/GMD-1809-252.pdf#page=2","Abrir facsímil")</f>
        <v>Abrir facsímil</v>
      </c>
      <c r="K2864" s="3" t="s">
        <v>57</v>
      </c>
    </row>
    <row r="2865" spans="1:11" ht="42" customHeight="1">
      <c r="A2865" s="2" t="s">
        <v>7534</v>
      </c>
      <c r="B2865" s="2" t="s">
        <v>7534</v>
      </c>
      <c r="C2865" s="2" t="s">
        <v>25</v>
      </c>
      <c r="D2865" s="2" t="s">
        <v>26</v>
      </c>
      <c r="E2865" s="3" t="s">
        <v>1098</v>
      </c>
      <c r="F2865" s="3" t="s">
        <v>1099</v>
      </c>
      <c r="G2865" s="3" t="s">
        <v>234</v>
      </c>
      <c r="H2865" s="2" t="s">
        <v>55</v>
      </c>
      <c r="I2865" s="2" t="s">
        <v>7535</v>
      </c>
      <c r="J2865" s="3" t="str">
        <f>HYPERLINK("https://www.boe.es/gazeta/dias/1809/03/23/pdfs/GMD-1809-82.pdf#page=2","Abrir facsímil")</f>
        <v>Abrir facsímil</v>
      </c>
      <c r="K2865" s="3" t="s">
        <v>57</v>
      </c>
    </row>
    <row r="2866" spans="1:11" ht="42" customHeight="1">
      <c r="A2866" s="2" t="s">
        <v>7536</v>
      </c>
      <c r="B2866" s="2" t="s">
        <v>7536</v>
      </c>
      <c r="C2866" s="2" t="s">
        <v>25</v>
      </c>
      <c r="D2866" s="2" t="s">
        <v>18</v>
      </c>
      <c r="E2866" s="3" t="s">
        <v>776</v>
      </c>
      <c r="F2866" s="3" t="s">
        <v>6138</v>
      </c>
      <c r="G2866" s="3" t="s">
        <v>234</v>
      </c>
      <c r="H2866" s="2" t="s">
        <v>55</v>
      </c>
      <c r="I2866" s="2" t="s">
        <v>7537</v>
      </c>
      <c r="J2866" s="3" t="str">
        <f>HYPERLINK("https://www.boe.es/gazeta/dias/1809/05/28/pdfs/GMD-1809-148.pdf#page=3","Abrir facsímil")</f>
        <v>Abrir facsímil</v>
      </c>
      <c r="K2866" s="3" t="s">
        <v>57</v>
      </c>
    </row>
    <row r="2867" spans="1:11" ht="42" customHeight="1">
      <c r="A2867" s="2" t="s">
        <v>7538</v>
      </c>
      <c r="B2867" s="2" t="s">
        <v>7538</v>
      </c>
      <c r="C2867" s="2" t="s">
        <v>25</v>
      </c>
      <c r="D2867" s="2" t="s">
        <v>26</v>
      </c>
      <c r="E2867" s="3" t="s">
        <v>2607</v>
      </c>
      <c r="F2867" s="3" t="s">
        <v>2608</v>
      </c>
      <c r="G2867" s="3" t="s">
        <v>426</v>
      </c>
      <c r="H2867" s="2" t="s">
        <v>55</v>
      </c>
      <c r="I2867" s="2" t="s">
        <v>7539</v>
      </c>
      <c r="J2867" s="3" t="str">
        <f>HYPERLINK("https://www.boe.es/gazeta/dias/1809/04/30/pdfs/GMD-1809-120.pdf#page=4","Abrir facsímil")</f>
        <v>Abrir facsímil</v>
      </c>
      <c r="K2867" s="3" t="s">
        <v>57</v>
      </c>
    </row>
    <row r="2868" spans="1:11" ht="42" customHeight="1">
      <c r="A2868" s="2" t="s">
        <v>7540</v>
      </c>
      <c r="B2868" s="2" t="s">
        <v>7540</v>
      </c>
      <c r="C2868" s="2" t="s">
        <v>25</v>
      </c>
      <c r="D2868" s="2" t="s">
        <v>26</v>
      </c>
      <c r="E2868" s="3" t="s">
        <v>4993</v>
      </c>
      <c r="F2868" s="3" t="s">
        <v>4994</v>
      </c>
      <c r="G2868" s="3" t="s">
        <v>110</v>
      </c>
      <c r="H2868" s="2" t="s">
        <v>55</v>
      </c>
      <c r="I2868" s="2" t="s">
        <v>7541</v>
      </c>
      <c r="J2868" s="3" t="str">
        <f>HYPERLINK("https://www.boe.es/gazeta/dias/1809/01/15/pdfs/GMD-1809-15.pdf#page=4","Abrir facsímil")</f>
        <v>Abrir facsímil</v>
      </c>
      <c r="K2868" s="3" t="s">
        <v>57</v>
      </c>
    </row>
    <row r="2869" spans="1:11" ht="42" customHeight="1">
      <c r="A2869" s="2" t="s">
        <v>7542</v>
      </c>
      <c r="B2869" s="2" t="s">
        <v>7542</v>
      </c>
      <c r="C2869" s="2" t="s">
        <v>25</v>
      </c>
      <c r="D2869" s="2" t="s">
        <v>107</v>
      </c>
      <c r="E2869" s="3" t="s">
        <v>857</v>
      </c>
      <c r="F2869" s="3" t="s">
        <v>858</v>
      </c>
      <c r="G2869" s="3" t="s">
        <v>270</v>
      </c>
      <c r="H2869" s="2" t="s">
        <v>55</v>
      </c>
      <c r="I2869" s="2" t="s">
        <v>7543</v>
      </c>
      <c r="J2869" s="3" t="str">
        <f>HYPERLINK("https://www.boe.es/gazeta/dias/1809/05/01/pdfs/GGB-1809-23.pdf#page=5","Abrir facsímil")</f>
        <v>Abrir facsímil</v>
      </c>
      <c r="K2869" s="3" t="s">
        <v>57</v>
      </c>
    </row>
    <row r="2870" spans="1:11" ht="42" customHeight="1">
      <c r="A2870" s="2" t="s">
        <v>7540</v>
      </c>
      <c r="B2870" s="2" t="s">
        <v>7540</v>
      </c>
      <c r="C2870" s="2" t="s">
        <v>25</v>
      </c>
      <c r="D2870" s="2" t="s">
        <v>107</v>
      </c>
      <c r="E2870" s="3" t="s">
        <v>139</v>
      </c>
      <c r="F2870" s="3" t="s">
        <v>140</v>
      </c>
      <c r="G2870" s="3" t="s">
        <v>225</v>
      </c>
      <c r="H2870" s="2" t="s">
        <v>55</v>
      </c>
      <c r="I2870" s="2" t="s">
        <v>7544</v>
      </c>
      <c r="J2870" s="3" t="str">
        <f>HYPERLINK("https://www.boe.es/gazeta/dias/1809/05/06/pdfs/GMD-1809-126.pdf#page=4","Abrir facsímil")</f>
        <v>Abrir facsímil</v>
      </c>
      <c r="K2870" s="3" t="s">
        <v>57</v>
      </c>
    </row>
    <row r="2871" spans="1:11" ht="42" customHeight="1">
      <c r="A2871" s="2" t="s">
        <v>7540</v>
      </c>
      <c r="B2871" s="2" t="s">
        <v>7540</v>
      </c>
      <c r="C2871" s="2" t="s">
        <v>25</v>
      </c>
      <c r="D2871" s="2" t="s">
        <v>18</v>
      </c>
      <c r="E2871" s="3" t="s">
        <v>758</v>
      </c>
      <c r="F2871" s="3" t="s">
        <v>759</v>
      </c>
      <c r="G2871" s="3" t="s">
        <v>225</v>
      </c>
      <c r="H2871" s="2" t="s">
        <v>55</v>
      </c>
      <c r="I2871" s="2" t="s">
        <v>7545</v>
      </c>
      <c r="J2871" s="3" t="str">
        <f>HYPERLINK("https://www.boe.es/gazeta/dias/1809/06/01/pdfs/GMD-1809-152.pdf#page=4","Abrir facsímil")</f>
        <v>Abrir facsímil</v>
      </c>
      <c r="K2871" s="3" t="s">
        <v>57</v>
      </c>
    </row>
    <row r="2872" spans="1:11" ht="42" customHeight="1">
      <c r="A2872" s="2" t="s">
        <v>7540</v>
      </c>
      <c r="B2872" s="2" t="s">
        <v>7540</v>
      </c>
      <c r="C2872" s="2" t="s">
        <v>25</v>
      </c>
      <c r="D2872" s="2" t="s">
        <v>18</v>
      </c>
      <c r="E2872" s="3" t="s">
        <v>1288</v>
      </c>
      <c r="F2872" s="3" t="s">
        <v>1289</v>
      </c>
      <c r="G2872" s="3" t="s">
        <v>301</v>
      </c>
      <c r="H2872" s="2" t="s">
        <v>55</v>
      </c>
      <c r="I2872" s="2" t="s">
        <v>7546</v>
      </c>
      <c r="J2872" s="3" t="str">
        <f>HYPERLINK("https://www.boe.es/gazeta/dias/1809/07/28/pdfs/GGB-1809-49.pdf#page=10","Abrir facsímil")</f>
        <v>Abrir facsímil</v>
      </c>
      <c r="K2872" s="3" t="s">
        <v>57</v>
      </c>
    </row>
    <row r="2873" spans="1:11" ht="42" customHeight="1">
      <c r="A2873" s="2" t="s">
        <v>7540</v>
      </c>
      <c r="B2873" s="2" t="s">
        <v>7540</v>
      </c>
      <c r="C2873" s="2" t="s">
        <v>17</v>
      </c>
      <c r="D2873" s="2" t="s">
        <v>18</v>
      </c>
      <c r="E2873" s="3" t="s">
        <v>2705</v>
      </c>
      <c r="F2873" s="3" t="s">
        <v>3622</v>
      </c>
      <c r="G2873" s="3" t="s">
        <v>120</v>
      </c>
      <c r="H2873" s="2" t="s">
        <v>55</v>
      </c>
      <c r="I2873" s="2" t="s">
        <v>7547</v>
      </c>
      <c r="J2873" s="3" t="str">
        <f>HYPERLINK("https://www.boe.es/gazeta/dias/1809/08/05/pdfs/GGB-1809-22.pdf#page=1","Abrir facsímil")</f>
        <v>Abrir facsímil</v>
      </c>
      <c r="K2873" s="3" t="s">
        <v>57</v>
      </c>
    </row>
    <row r="2874" spans="1:11" ht="42" customHeight="1">
      <c r="A2874" s="2" t="s">
        <v>7540</v>
      </c>
      <c r="B2874" s="2" t="s">
        <v>7540</v>
      </c>
      <c r="C2874" s="2" t="s">
        <v>25</v>
      </c>
      <c r="D2874" s="2" t="s">
        <v>40</v>
      </c>
      <c r="E2874" s="3" t="s">
        <v>5017</v>
      </c>
      <c r="F2874" s="3" t="s">
        <v>5018</v>
      </c>
      <c r="G2874" s="3" t="s">
        <v>120</v>
      </c>
      <c r="H2874" s="2" t="s">
        <v>55</v>
      </c>
      <c r="I2874" s="2" t="s">
        <v>7548</v>
      </c>
      <c r="J2874" s="3" t="str">
        <f>HYPERLINK("https://www.boe.es/gazeta/dias/1809/12/03/pdfs/GMD-1809-338.pdf#page=3","Abrir facsímil")</f>
        <v>Abrir facsímil</v>
      </c>
      <c r="K2874" s="3" t="s">
        <v>57</v>
      </c>
    </row>
    <row r="2875" spans="1:11" ht="42" customHeight="1">
      <c r="A2875" s="2" t="s">
        <v>7549</v>
      </c>
      <c r="B2875" s="2" t="s">
        <v>7549</v>
      </c>
      <c r="C2875" s="2" t="s">
        <v>25</v>
      </c>
      <c r="D2875" s="2" t="s">
        <v>18</v>
      </c>
      <c r="E2875" s="3" t="s">
        <v>814</v>
      </c>
      <c r="F2875" s="3" t="s">
        <v>815</v>
      </c>
      <c r="G2875" s="3" t="s">
        <v>697</v>
      </c>
      <c r="H2875" s="2" t="s">
        <v>55</v>
      </c>
      <c r="I2875" s="2" t="s">
        <v>7550</v>
      </c>
      <c r="J2875" s="3" t="str">
        <f>HYPERLINK("https://www.boe.es/gazeta/dias/1809/12/09/pdfs/GGB-1809-562.pdf#page=6","Abrir facsímil")</f>
        <v>Abrir facsímil</v>
      </c>
      <c r="K2875" s="3" t="s">
        <v>57</v>
      </c>
    </row>
    <row r="2876" spans="1:11" ht="42" customHeight="1">
      <c r="A2876" s="2" t="s">
        <v>7551</v>
      </c>
      <c r="B2876" s="2" t="s">
        <v>7552</v>
      </c>
      <c r="C2876" s="2" t="s">
        <v>25</v>
      </c>
      <c r="D2876" s="2" t="s">
        <v>107</v>
      </c>
      <c r="E2876" s="3" t="s">
        <v>41</v>
      </c>
      <c r="F2876" s="3" t="s">
        <v>42</v>
      </c>
      <c r="G2876" s="3" t="s">
        <v>6124</v>
      </c>
      <c r="H2876" s="2" t="s">
        <v>55</v>
      </c>
      <c r="I2876" s="2" t="s">
        <v>7553</v>
      </c>
      <c r="J2876" s="3" t="str">
        <f>HYPERLINK("https://www.boe.es/gazeta/dias/1809/03/11/pdfs/GMD-1809-70.pdf#page=2","Abrir facsímil")</f>
        <v>Abrir facsímil</v>
      </c>
      <c r="K2876" s="3" t="s">
        <v>57</v>
      </c>
    </row>
    <row r="2877" spans="1:11" ht="42" customHeight="1">
      <c r="A2877" s="2" t="s">
        <v>7554</v>
      </c>
      <c r="B2877" s="2" t="s">
        <v>7554</v>
      </c>
      <c r="C2877" s="2" t="s">
        <v>47</v>
      </c>
      <c r="D2877" s="2" t="s">
        <v>18</v>
      </c>
      <c r="E2877" s="3" t="s">
        <v>143</v>
      </c>
      <c r="F2877" s="3" t="s">
        <v>144</v>
      </c>
      <c r="G2877" s="3" t="s">
        <v>7555</v>
      </c>
      <c r="H2877" s="2" t="s">
        <v>55</v>
      </c>
      <c r="I2877" s="2" t="s">
        <v>7556</v>
      </c>
      <c r="J2877" s="3" t="str">
        <f>HYPERLINK("https://www.boe.es/gazeta/dias/1809/11/16/pdfs/GGB-1809-462.pdf#page=5","Abrir facsímil")</f>
        <v>Abrir facsímil</v>
      </c>
      <c r="K2877" s="3" t="s">
        <v>57</v>
      </c>
    </row>
    <row r="2878" spans="1:11" ht="42" customHeight="1">
      <c r="A2878" s="2" t="s">
        <v>7557</v>
      </c>
      <c r="B2878" s="2" t="s">
        <v>7557</v>
      </c>
      <c r="C2878" s="2" t="s">
        <v>25</v>
      </c>
      <c r="D2878" s="2" t="s">
        <v>18</v>
      </c>
      <c r="E2878" s="3" t="s">
        <v>338</v>
      </c>
      <c r="F2878" s="3" t="s">
        <v>339</v>
      </c>
      <c r="G2878" s="3" t="s">
        <v>7558</v>
      </c>
      <c r="H2878" s="2" t="s">
        <v>55</v>
      </c>
      <c r="I2878" s="2" t="s">
        <v>7559</v>
      </c>
      <c r="J2878" s="3" t="str">
        <f>HYPERLINK("https://www.boe.es/gazeta/dias/1809/08/04/pdfs/GMD-1809-217.pdf#page=1","Abrir facsímil")</f>
        <v>Abrir facsímil</v>
      </c>
      <c r="K2878" s="3" t="s">
        <v>57</v>
      </c>
    </row>
    <row r="2879" spans="1:11" ht="42" customHeight="1">
      <c r="A2879" s="2" t="s">
        <v>7560</v>
      </c>
      <c r="B2879" s="2" t="s">
        <v>7560</v>
      </c>
      <c r="C2879" s="2" t="s">
        <v>25</v>
      </c>
      <c r="D2879" s="2" t="s">
        <v>26</v>
      </c>
      <c r="E2879" s="3" t="s">
        <v>370</v>
      </c>
      <c r="F2879" s="3" t="s">
        <v>371</v>
      </c>
      <c r="G2879" s="3" t="s">
        <v>234</v>
      </c>
      <c r="H2879" s="2" t="s">
        <v>55</v>
      </c>
      <c r="I2879" s="2" t="s">
        <v>7561</v>
      </c>
      <c r="J2879" s="3" t="str">
        <f>HYPERLINK("https://www.boe.es/gazeta/dias/1809/08/20/pdfs/GMD-1809-233.pdf#page=2","Abrir facsímil")</f>
        <v>Abrir facsímil</v>
      </c>
      <c r="K2879" s="3" t="s">
        <v>57</v>
      </c>
    </row>
    <row r="2880" spans="1:11" ht="42" customHeight="1">
      <c r="A2880" s="2" t="s">
        <v>7562</v>
      </c>
      <c r="B2880" s="2" t="s">
        <v>7562</v>
      </c>
      <c r="C2880" s="2" t="s">
        <v>25</v>
      </c>
      <c r="D2880" s="2" t="s">
        <v>26</v>
      </c>
      <c r="E2880" s="3" t="s">
        <v>152</v>
      </c>
      <c r="F2880" s="3" t="s">
        <v>153</v>
      </c>
      <c r="G2880" s="3" t="s">
        <v>2010</v>
      </c>
      <c r="H2880" s="2" t="s">
        <v>55</v>
      </c>
      <c r="I2880" s="2" t="s">
        <v>7563</v>
      </c>
      <c r="J2880" s="3" t="str">
        <f>HYPERLINK("https://www.boe.es/gazeta/dias/1809/08/26/pdfs/GGB-1809-112.pdf#page=4","Abrir facsímil")</f>
        <v>Abrir facsímil</v>
      </c>
      <c r="K2880" s="3" t="s">
        <v>57</v>
      </c>
    </row>
    <row r="2881" spans="1:11" ht="42" customHeight="1">
      <c r="A2881" s="2" t="s">
        <v>7562</v>
      </c>
      <c r="B2881" s="2" t="s">
        <v>7562</v>
      </c>
      <c r="C2881" s="2" t="s">
        <v>25</v>
      </c>
      <c r="D2881" s="2" t="s">
        <v>26</v>
      </c>
      <c r="E2881" s="3" t="s">
        <v>6243</v>
      </c>
      <c r="F2881" s="3" t="s">
        <v>6244</v>
      </c>
      <c r="G2881" s="3" t="s">
        <v>5805</v>
      </c>
      <c r="H2881" s="2" t="s">
        <v>55</v>
      </c>
      <c r="I2881" s="2" t="s">
        <v>7564</v>
      </c>
      <c r="J2881" s="3" t="str">
        <f>HYPERLINK("https://www.boe.es/gazeta/dias/1809/08/30/pdfs/GMD-1809-243.pdf#page=1","Abrir facsímil")</f>
        <v>Abrir facsímil</v>
      </c>
      <c r="K2881" s="3" t="s">
        <v>57</v>
      </c>
    </row>
    <row r="2882" spans="1:11" ht="42" customHeight="1">
      <c r="A2882" s="2" t="s">
        <v>7562</v>
      </c>
      <c r="B2882" s="2" t="s">
        <v>7562</v>
      </c>
      <c r="C2882" s="2" t="s">
        <v>25</v>
      </c>
      <c r="D2882" s="2" t="s">
        <v>26</v>
      </c>
      <c r="E2882" s="3" t="s">
        <v>327</v>
      </c>
      <c r="F2882" s="3" t="s">
        <v>328</v>
      </c>
      <c r="G2882" s="3" t="s">
        <v>21</v>
      </c>
      <c r="H2882" s="2" t="s">
        <v>55</v>
      </c>
      <c r="I2882" s="2" t="s">
        <v>7565</v>
      </c>
      <c r="J2882" s="3" t="str">
        <f>HYPERLINK("https://www.boe.es/gazeta/dias/1809/09/14/pdfs/GGB-1809-192.pdf#page=2","Abrir facsímil")</f>
        <v>Abrir facsímil</v>
      </c>
      <c r="K2882" s="3" t="s">
        <v>57</v>
      </c>
    </row>
    <row r="2883" spans="1:11" ht="42" customHeight="1">
      <c r="A2883" s="2" t="s">
        <v>7562</v>
      </c>
      <c r="B2883" s="2" t="s">
        <v>7562</v>
      </c>
      <c r="C2883" s="2" t="s">
        <v>25</v>
      </c>
      <c r="D2883" s="2" t="s">
        <v>18</v>
      </c>
      <c r="E2883" s="3" t="s">
        <v>7566</v>
      </c>
      <c r="F2883" s="3" t="s">
        <v>7567</v>
      </c>
      <c r="G2883" s="3" t="s">
        <v>7568</v>
      </c>
      <c r="H2883" s="2" t="s">
        <v>55</v>
      </c>
      <c r="I2883" s="2" t="s">
        <v>7569</v>
      </c>
      <c r="J2883" s="3" t="str">
        <f>HYPERLINK("https://www.boe.es/gazeta/dias/1809/10/02/pdfs/GMD-1809-276.pdf#page=2","Abrir facsímil")</f>
        <v>Abrir facsímil</v>
      </c>
      <c r="K2883" s="3" t="s">
        <v>57</v>
      </c>
    </row>
    <row r="2884" spans="1:11" ht="42" customHeight="1">
      <c r="A2884" s="2" t="s">
        <v>7562</v>
      </c>
      <c r="B2884" s="2" t="s">
        <v>7562</v>
      </c>
      <c r="C2884" s="2" t="s">
        <v>25</v>
      </c>
      <c r="D2884" s="2" t="s">
        <v>26</v>
      </c>
      <c r="E2884" s="3" t="s">
        <v>190</v>
      </c>
      <c r="F2884" s="3" t="s">
        <v>191</v>
      </c>
      <c r="G2884" s="3" t="s">
        <v>6060</v>
      </c>
      <c r="H2884" s="2" t="s">
        <v>55</v>
      </c>
      <c r="I2884" s="2" t="s">
        <v>7570</v>
      </c>
      <c r="J2884" s="3" t="str">
        <f>HYPERLINK("https://www.boe.es/gazeta/dias/1809/10/14/pdfs/GGB-1809-322.pdf#page=3","Abrir facsímil")</f>
        <v>Abrir facsímil</v>
      </c>
      <c r="K2884" s="3" t="s">
        <v>57</v>
      </c>
    </row>
    <row r="2885" spans="1:11" ht="42" customHeight="1">
      <c r="A2885" s="2" t="s">
        <v>7562</v>
      </c>
      <c r="B2885" s="2" t="s">
        <v>7562</v>
      </c>
      <c r="C2885" s="2" t="s">
        <v>25</v>
      </c>
      <c r="D2885" s="2" t="s">
        <v>18</v>
      </c>
      <c r="E2885" s="3" t="s">
        <v>190</v>
      </c>
      <c r="F2885" s="3" t="s">
        <v>191</v>
      </c>
      <c r="G2885" s="3" t="s">
        <v>5929</v>
      </c>
      <c r="H2885" s="2" t="s">
        <v>55</v>
      </c>
      <c r="I2885" s="2" t="s">
        <v>7571</v>
      </c>
      <c r="J2885" s="3" t="str">
        <f>HYPERLINK("https://www.boe.es/gazeta/dias/1809/10/14/pdfs/GGB-1809-322.pdf#page=4","Abrir facsímil")</f>
        <v>Abrir facsímil</v>
      </c>
      <c r="K2885" s="3" t="s">
        <v>57</v>
      </c>
    </row>
    <row r="2886" spans="1:11" ht="42" customHeight="1">
      <c r="A2886" s="2" t="s">
        <v>7562</v>
      </c>
      <c r="B2886" s="2" t="s">
        <v>7562</v>
      </c>
      <c r="C2886" s="2" t="s">
        <v>25</v>
      </c>
      <c r="D2886" s="2" t="s">
        <v>26</v>
      </c>
      <c r="E2886" s="3" t="s">
        <v>616</v>
      </c>
      <c r="F2886" s="3" t="s">
        <v>617</v>
      </c>
      <c r="G2886" s="3" t="s">
        <v>75</v>
      </c>
      <c r="H2886" s="2" t="s">
        <v>55</v>
      </c>
      <c r="I2886" s="2" t="s">
        <v>7572</v>
      </c>
      <c r="J2886" s="3" t="str">
        <f>HYPERLINK("https://www.boe.es/gazeta/dias/1809/10/15/pdfs/GMD-1809-289.pdf#page=2","Abrir facsímil")</f>
        <v>Abrir facsímil</v>
      </c>
      <c r="K2886" s="3" t="s">
        <v>57</v>
      </c>
    </row>
    <row r="2887" spans="1:11" ht="42" customHeight="1">
      <c r="A2887" s="2" t="s">
        <v>7562</v>
      </c>
      <c r="B2887" s="2" t="s">
        <v>7562</v>
      </c>
      <c r="C2887" s="2" t="s">
        <v>25</v>
      </c>
      <c r="D2887" s="2" t="s">
        <v>18</v>
      </c>
      <c r="E2887" s="3" t="s">
        <v>771</v>
      </c>
      <c r="F2887" s="3" t="s">
        <v>772</v>
      </c>
      <c r="G2887" s="3" t="s">
        <v>21</v>
      </c>
      <c r="H2887" s="2" t="s">
        <v>55</v>
      </c>
      <c r="I2887" s="2" t="s">
        <v>7573</v>
      </c>
      <c r="J2887" s="3" t="str">
        <f>HYPERLINK("https://www.boe.es/gazeta/dias/1809/10/31/pdfs/GGB-1809-392.pdf#page=4","Abrir facsímil")</f>
        <v>Abrir facsímil</v>
      </c>
      <c r="K2887" s="3" t="s">
        <v>57</v>
      </c>
    </row>
    <row r="2888" spans="1:11" ht="42" customHeight="1">
      <c r="A2888" s="2" t="s">
        <v>7574</v>
      </c>
      <c r="B2888" s="2" t="s">
        <v>7574</v>
      </c>
      <c r="C2888" s="2" t="s">
        <v>25</v>
      </c>
      <c r="D2888" s="2" t="s">
        <v>26</v>
      </c>
      <c r="E2888" s="3" t="s">
        <v>4389</v>
      </c>
      <c r="F2888" s="3" t="s">
        <v>4390</v>
      </c>
      <c r="G2888" s="3" t="s">
        <v>3536</v>
      </c>
      <c r="H2888" s="2" t="s">
        <v>55</v>
      </c>
      <c r="I2888" s="2" t="s">
        <v>7575</v>
      </c>
      <c r="J2888" s="3" t="str">
        <f>HYPERLINK("https://www.boe.es/gazeta/dias/1809/02/06/pdfs/GMD-1809-37.pdf#page=2","Abrir facsímil")</f>
        <v>Abrir facsímil</v>
      </c>
      <c r="K2888" s="3" t="s">
        <v>57</v>
      </c>
    </row>
    <row r="2889" spans="1:11" ht="42" customHeight="1">
      <c r="A2889" s="2" t="s">
        <v>7576</v>
      </c>
      <c r="B2889" s="2" t="s">
        <v>7576</v>
      </c>
      <c r="C2889" s="2" t="s">
        <v>131</v>
      </c>
      <c r="D2889" s="2" t="s">
        <v>18</v>
      </c>
      <c r="E2889" s="3" t="s">
        <v>113</v>
      </c>
      <c r="F2889" s="3" t="s">
        <v>114</v>
      </c>
      <c r="G2889" s="3" t="s">
        <v>115</v>
      </c>
      <c r="H2889" s="2" t="s">
        <v>55</v>
      </c>
      <c r="I2889" s="2" t="s">
        <v>7577</v>
      </c>
      <c r="J2889" s="3" t="str">
        <f>HYPERLINK("https://www.boe.es/gazeta/dias/1809/04/24/pdfs/GMD-1809-114.pdf#page=2","Abrir facsímil")</f>
        <v>Abrir facsímil</v>
      </c>
      <c r="K2889" s="3" t="s">
        <v>57</v>
      </c>
    </row>
    <row r="2890" spans="1:11" ht="42" customHeight="1">
      <c r="A2890" s="2" t="s">
        <v>7578</v>
      </c>
      <c r="B2890" s="2" t="s">
        <v>7578</v>
      </c>
      <c r="C2890" s="2" t="s">
        <v>131</v>
      </c>
      <c r="D2890" s="2" t="s">
        <v>26</v>
      </c>
      <c r="E2890" s="3" t="s">
        <v>4993</v>
      </c>
      <c r="F2890" s="3" t="s">
        <v>4994</v>
      </c>
      <c r="G2890" s="3" t="s">
        <v>4762</v>
      </c>
      <c r="H2890" s="2" t="s">
        <v>55</v>
      </c>
      <c r="I2890" s="2" t="s">
        <v>7579</v>
      </c>
      <c r="J2890" s="3" t="str">
        <f>HYPERLINK("https://www.boe.es/gazeta/dias/1809/01/15/pdfs/GMD-1809-15.pdf#page=2","Abrir facsímil")</f>
        <v>Abrir facsímil</v>
      </c>
      <c r="K2890" s="3" t="s">
        <v>57</v>
      </c>
    </row>
    <row r="2891" spans="1:11" ht="42" customHeight="1">
      <c r="A2891" s="2" t="s">
        <v>7580</v>
      </c>
      <c r="B2891" s="2" t="s">
        <v>7580</v>
      </c>
      <c r="C2891" s="2" t="s">
        <v>25</v>
      </c>
      <c r="D2891" s="2" t="s">
        <v>18</v>
      </c>
      <c r="E2891" s="3" t="s">
        <v>139</v>
      </c>
      <c r="F2891" s="3" t="s">
        <v>140</v>
      </c>
      <c r="G2891" s="3" t="s">
        <v>6962</v>
      </c>
      <c r="H2891" s="2" t="s">
        <v>55</v>
      </c>
      <c r="I2891" s="2" t="s">
        <v>7581</v>
      </c>
      <c r="J2891" s="3" t="str">
        <f>HYPERLINK("https://www.boe.es/gazeta/dias/1809/05/06/pdfs/GMD-1809-126.pdf#page=1","Abrir facsímil")</f>
        <v>Abrir facsímil</v>
      </c>
      <c r="K2891" s="3" t="s">
        <v>57</v>
      </c>
    </row>
    <row r="2892" spans="1:11" ht="42" customHeight="1">
      <c r="A2892" s="2" t="s">
        <v>7582</v>
      </c>
      <c r="B2892" s="2" t="s">
        <v>7582</v>
      </c>
      <c r="C2892" s="2" t="s">
        <v>25</v>
      </c>
      <c r="D2892" s="2" t="s">
        <v>26</v>
      </c>
      <c r="E2892" s="3" t="s">
        <v>1288</v>
      </c>
      <c r="F2892" s="3" t="s">
        <v>1289</v>
      </c>
      <c r="G2892" s="3" t="s">
        <v>270</v>
      </c>
      <c r="H2892" s="2" t="s">
        <v>55</v>
      </c>
      <c r="I2892" s="2" t="s">
        <v>7583</v>
      </c>
      <c r="J2892" s="3" t="str">
        <f>HYPERLINK("https://www.boe.es/gazeta/dias/1809/07/28/pdfs/GGB-1809-49.pdf#page=2","Abrir facsímil")</f>
        <v>Abrir facsímil</v>
      </c>
      <c r="K2892" s="3" t="s">
        <v>57</v>
      </c>
    </row>
    <row r="2893" spans="1:11" ht="42" customHeight="1">
      <c r="A2893" s="2" t="s">
        <v>7584</v>
      </c>
      <c r="B2893" s="2" t="s">
        <v>7584</v>
      </c>
      <c r="C2893" s="2" t="s">
        <v>25</v>
      </c>
      <c r="D2893" s="2" t="s">
        <v>18</v>
      </c>
      <c r="E2893" s="3" t="s">
        <v>2607</v>
      </c>
      <c r="F2893" s="3" t="s">
        <v>2608</v>
      </c>
      <c r="G2893" s="3" t="s">
        <v>270</v>
      </c>
      <c r="H2893" s="2" t="s">
        <v>55</v>
      </c>
      <c r="I2893" s="2" t="s">
        <v>7585</v>
      </c>
      <c r="J2893" s="3" t="str">
        <f>HYPERLINK("https://www.boe.es/gazeta/dias/1809/04/30/pdfs/GMD-1809-120.pdf#page=2","Abrir facsímil")</f>
        <v>Abrir facsímil</v>
      </c>
      <c r="K2893" s="3" t="s">
        <v>57</v>
      </c>
    </row>
    <row r="2894" spans="1:11" ht="42" customHeight="1">
      <c r="A2894" s="2" t="s">
        <v>7586</v>
      </c>
      <c r="B2894" s="2" t="s">
        <v>7586</v>
      </c>
      <c r="C2894" s="2" t="s">
        <v>39</v>
      </c>
      <c r="D2894" s="2" t="s">
        <v>18</v>
      </c>
      <c r="E2894" s="3" t="s">
        <v>6100</v>
      </c>
      <c r="F2894" s="3" t="s">
        <v>6101</v>
      </c>
      <c r="G2894" s="3" t="s">
        <v>7587</v>
      </c>
      <c r="H2894" s="2" t="s">
        <v>55</v>
      </c>
      <c r="I2894" s="2" t="s">
        <v>7588</v>
      </c>
      <c r="J2894" s="3" t="str">
        <f>HYPERLINK("https://www.boe.es/gazeta/dias/1809/01/21/pdfs/GMD-1809-21.pdf#page=2","Abrir facsímil")</f>
        <v>Abrir facsímil</v>
      </c>
      <c r="K2894" s="3" t="s">
        <v>57</v>
      </c>
    </row>
    <row r="2895" spans="1:11" ht="42" customHeight="1">
      <c r="A2895" s="2" t="s">
        <v>7589</v>
      </c>
      <c r="B2895" s="2" t="s">
        <v>7589</v>
      </c>
      <c r="C2895" s="2" t="s">
        <v>25</v>
      </c>
      <c r="D2895" s="2" t="s">
        <v>107</v>
      </c>
      <c r="E2895" s="3" t="s">
        <v>904</v>
      </c>
      <c r="F2895" s="3" t="s">
        <v>2393</v>
      </c>
      <c r="G2895" s="3" t="s">
        <v>154</v>
      </c>
      <c r="H2895" s="2" t="s">
        <v>55</v>
      </c>
      <c r="I2895" s="2" t="s">
        <v>7590</v>
      </c>
      <c r="J2895" s="3" t="str">
        <f>HYPERLINK("https://www.boe.es/gazeta/dias/1809/07/07/pdfs/GMD-1809-188.pdf#page=1","Abrir facsímil")</f>
        <v>Abrir facsímil</v>
      </c>
      <c r="K2895" s="3" t="s">
        <v>57</v>
      </c>
    </row>
    <row r="2896" spans="1:11" ht="42" customHeight="1">
      <c r="A2896" s="2" t="s">
        <v>7591</v>
      </c>
      <c r="B2896" s="2" t="s">
        <v>7591</v>
      </c>
      <c r="C2896" s="2" t="s">
        <v>25</v>
      </c>
      <c r="D2896" s="2" t="s">
        <v>18</v>
      </c>
      <c r="E2896" s="3" t="s">
        <v>1282</v>
      </c>
      <c r="F2896" s="3" t="s">
        <v>1743</v>
      </c>
      <c r="G2896" s="3" t="s">
        <v>1516</v>
      </c>
      <c r="H2896" s="2" t="s">
        <v>55</v>
      </c>
      <c r="I2896" s="2" t="s">
        <v>7592</v>
      </c>
      <c r="J2896" s="3" t="str">
        <f>HYPERLINK("https://www.boe.es/gazeta/dias/1809/06/26/pdfs/GMD-1809-177.pdf#page=3","Abrir facsímil")</f>
        <v>Abrir facsímil</v>
      </c>
      <c r="K2896" s="3" t="s">
        <v>57</v>
      </c>
    </row>
    <row r="2897" spans="1:11" ht="42" customHeight="1">
      <c r="A2897" s="2" t="s">
        <v>7593</v>
      </c>
      <c r="B2897" s="2" t="s">
        <v>7593</v>
      </c>
      <c r="C2897" s="2" t="s">
        <v>131</v>
      </c>
      <c r="D2897" s="2" t="s">
        <v>26</v>
      </c>
      <c r="E2897" s="3" t="s">
        <v>1276</v>
      </c>
      <c r="F2897" s="3" t="s">
        <v>2088</v>
      </c>
      <c r="G2897" s="3" t="s">
        <v>651</v>
      </c>
      <c r="H2897" s="2" t="s">
        <v>55</v>
      </c>
      <c r="I2897" s="2" t="s">
        <v>7594</v>
      </c>
      <c r="J2897" s="3" t="str">
        <f>HYPERLINK("https://www.boe.es/gazeta/dias/1809/01/03/pdfs/GMD-1809-3.pdf#page=1","Abrir facsímil")</f>
        <v>Abrir facsímil</v>
      </c>
      <c r="K2897" s="3" t="s">
        <v>57</v>
      </c>
    </row>
    <row r="2898" spans="1:11" ht="42" customHeight="1">
      <c r="A2898" s="2" t="s">
        <v>7593</v>
      </c>
      <c r="B2898" s="2" t="s">
        <v>7593</v>
      </c>
      <c r="C2898" s="2" t="s">
        <v>25</v>
      </c>
      <c r="D2898" s="2" t="s">
        <v>107</v>
      </c>
      <c r="E2898" s="3" t="s">
        <v>2607</v>
      </c>
      <c r="F2898" s="3" t="s">
        <v>2608</v>
      </c>
      <c r="G2898" s="3" t="s">
        <v>21</v>
      </c>
      <c r="H2898" s="2" t="s">
        <v>55</v>
      </c>
      <c r="I2898" s="2" t="s">
        <v>7595</v>
      </c>
      <c r="J2898" s="3" t="str">
        <f>HYPERLINK("https://www.boe.es/gazeta/dias/1809/04/30/pdfs/GMD-1809-120.pdf#page=3","Abrir facsímil")</f>
        <v>Abrir facsímil</v>
      </c>
      <c r="K2898" s="3" t="s">
        <v>57</v>
      </c>
    </row>
    <row r="2899" spans="1:11" ht="42" customHeight="1">
      <c r="A2899" s="2" t="s">
        <v>7593</v>
      </c>
      <c r="B2899" s="2" t="s">
        <v>7593</v>
      </c>
      <c r="C2899" s="2" t="s">
        <v>25</v>
      </c>
      <c r="D2899" s="2" t="s">
        <v>18</v>
      </c>
      <c r="E2899" s="3" t="s">
        <v>857</v>
      </c>
      <c r="F2899" s="3" t="s">
        <v>4692</v>
      </c>
      <c r="G2899" s="3" t="s">
        <v>587</v>
      </c>
      <c r="H2899" s="2" t="s">
        <v>55</v>
      </c>
      <c r="I2899" s="2" t="s">
        <v>7596</v>
      </c>
      <c r="J2899" s="3" t="str">
        <f>HYPERLINK("https://www.boe.es/gazeta/dias/1809/05/01/pdfs/GMD-1809-121.pdf#page=2","Abrir facsímil")</f>
        <v>Abrir facsímil</v>
      </c>
      <c r="K2899" s="3" t="s">
        <v>57</v>
      </c>
    </row>
    <row r="2900" spans="1:11" ht="42" customHeight="1">
      <c r="A2900" s="2" t="s">
        <v>7593</v>
      </c>
      <c r="B2900" s="2" t="s">
        <v>7593</v>
      </c>
      <c r="C2900" s="2" t="s">
        <v>25</v>
      </c>
      <c r="D2900" s="2" t="s">
        <v>107</v>
      </c>
      <c r="E2900" s="3" t="s">
        <v>2038</v>
      </c>
      <c r="F2900" s="3" t="s">
        <v>2039</v>
      </c>
      <c r="G2900" s="3" t="s">
        <v>270</v>
      </c>
      <c r="H2900" s="2" t="s">
        <v>55</v>
      </c>
      <c r="I2900" s="2" t="s">
        <v>7597</v>
      </c>
      <c r="J2900" s="3" t="str">
        <f>HYPERLINK("https://www.boe.es/gazeta/dias/1809/05/07/pdfs/GMD-1809-127.pdf#page=1","Abrir facsímil")</f>
        <v>Abrir facsímil</v>
      </c>
      <c r="K2900" s="3" t="s">
        <v>57</v>
      </c>
    </row>
    <row r="2901" spans="1:11" ht="42" customHeight="1">
      <c r="A2901" s="2" t="s">
        <v>7598</v>
      </c>
      <c r="B2901" s="2" t="s">
        <v>7598</v>
      </c>
      <c r="C2901" s="2" t="s">
        <v>25</v>
      </c>
      <c r="D2901" s="2" t="s">
        <v>26</v>
      </c>
      <c r="E2901" s="3" t="s">
        <v>381</v>
      </c>
      <c r="F2901" s="3" t="s">
        <v>382</v>
      </c>
      <c r="G2901" s="3" t="s">
        <v>5194</v>
      </c>
      <c r="H2901" s="2" t="s">
        <v>55</v>
      </c>
      <c r="I2901" s="2" t="s">
        <v>7599</v>
      </c>
      <c r="J2901" s="3" t="str">
        <f>HYPERLINK("https://www.boe.es/gazeta/dias/1809/06/27/pdfs/GMD-1809-178.pdf#page=3","Abrir facsímil")</f>
        <v>Abrir facsímil</v>
      </c>
      <c r="K2901" s="3" t="s">
        <v>57</v>
      </c>
    </row>
    <row r="2902" spans="1:11" ht="42" customHeight="1">
      <c r="A2902" s="2" t="s">
        <v>7600</v>
      </c>
      <c r="B2902" s="2" t="s">
        <v>7600</v>
      </c>
      <c r="C2902" s="2" t="s">
        <v>25</v>
      </c>
      <c r="D2902" s="2" t="s">
        <v>107</v>
      </c>
      <c r="E2902" s="3" t="s">
        <v>1053</v>
      </c>
      <c r="F2902" s="3" t="s">
        <v>1054</v>
      </c>
      <c r="G2902" s="3" t="s">
        <v>426</v>
      </c>
      <c r="H2902" s="2" t="s">
        <v>55</v>
      </c>
      <c r="I2902" s="2" t="s">
        <v>7601</v>
      </c>
      <c r="J2902" s="3" t="str">
        <f>HYPERLINK("https://www.boe.es/gazeta/dias/1809/05/13/pdfs/GMD-1809-133.pdf#page=5","Abrir facsímil")</f>
        <v>Abrir facsímil</v>
      </c>
      <c r="K2902" s="3" t="s">
        <v>57</v>
      </c>
    </row>
    <row r="2903" spans="1:11" ht="42" customHeight="1">
      <c r="A2903" s="2" t="s">
        <v>7600</v>
      </c>
      <c r="B2903" s="2" t="s">
        <v>7600</v>
      </c>
      <c r="C2903" s="2" t="s">
        <v>25</v>
      </c>
      <c r="D2903" s="2" t="s">
        <v>26</v>
      </c>
      <c r="E2903" s="3" t="s">
        <v>1555</v>
      </c>
      <c r="F2903" s="3" t="s">
        <v>1556</v>
      </c>
      <c r="G2903" s="3" t="s">
        <v>1557</v>
      </c>
      <c r="H2903" s="2" t="s">
        <v>55</v>
      </c>
      <c r="I2903" s="2" t="s">
        <v>7602</v>
      </c>
      <c r="J2903" s="3" t="str">
        <f>HYPERLINK("https://www.boe.es/gazeta/dias/1809/06/29/pdfs/GMD-1809-180.pdf#page=2","Abrir facsímil")</f>
        <v>Abrir facsímil</v>
      </c>
      <c r="K2903" s="3" t="s">
        <v>57</v>
      </c>
    </row>
    <row r="2904" spans="1:11" ht="42" customHeight="1">
      <c r="A2904" s="2" t="s">
        <v>7603</v>
      </c>
      <c r="B2904" s="2" t="s">
        <v>7603</v>
      </c>
      <c r="C2904" s="2" t="s">
        <v>25</v>
      </c>
      <c r="D2904" s="2" t="s">
        <v>26</v>
      </c>
      <c r="E2904" s="3" t="s">
        <v>695</v>
      </c>
      <c r="F2904" s="3" t="s">
        <v>696</v>
      </c>
      <c r="G2904" s="3" t="s">
        <v>7604</v>
      </c>
      <c r="H2904" s="2" t="s">
        <v>55</v>
      </c>
      <c r="I2904" s="2" t="s">
        <v>7605</v>
      </c>
      <c r="J2904" s="3" t="str">
        <f>HYPERLINK("https://www.boe.es/gazeta/dias/1809/10/24/pdfs/GGB-1809-362.pdf#page=1","Abrir facsímil")</f>
        <v>Abrir facsímil</v>
      </c>
      <c r="K2904" s="3" t="s">
        <v>57</v>
      </c>
    </row>
    <row r="2905" spans="1:11" ht="42" customHeight="1">
      <c r="A2905" s="2" t="s">
        <v>7606</v>
      </c>
      <c r="B2905" s="2" t="s">
        <v>7606</v>
      </c>
      <c r="C2905" s="2" t="s">
        <v>25</v>
      </c>
      <c r="D2905" s="2" t="s">
        <v>107</v>
      </c>
      <c r="E2905" s="3" t="s">
        <v>2705</v>
      </c>
      <c r="F2905" s="3" t="s">
        <v>3622</v>
      </c>
      <c r="G2905" s="3" t="s">
        <v>316</v>
      </c>
      <c r="H2905" s="2" t="s">
        <v>55</v>
      </c>
      <c r="I2905" s="2" t="s">
        <v>7607</v>
      </c>
      <c r="J2905" s="3" t="str">
        <f>HYPERLINK("https://www.boe.es/gazeta/dias/1809/08/05/pdfs/GGB-1809-22.pdf#page=3","Abrir facsímil")</f>
        <v>Abrir facsímil</v>
      </c>
      <c r="K2905" s="3" t="s">
        <v>57</v>
      </c>
    </row>
    <row r="2906" spans="1:11" ht="42" customHeight="1">
      <c r="A2906" s="2" t="s">
        <v>7608</v>
      </c>
      <c r="B2906" s="2" t="s">
        <v>7609</v>
      </c>
      <c r="C2906" s="2" t="s">
        <v>17</v>
      </c>
      <c r="D2906" s="2" t="s">
        <v>18</v>
      </c>
      <c r="E2906" s="3" t="s">
        <v>33</v>
      </c>
      <c r="F2906" s="3" t="s">
        <v>34</v>
      </c>
      <c r="G2906" s="3" t="s">
        <v>35</v>
      </c>
      <c r="H2906" s="2" t="s">
        <v>55</v>
      </c>
      <c r="I2906" s="2" t="s">
        <v>7610</v>
      </c>
      <c r="J2906" s="3" t="str">
        <f>HYPERLINK("https://www.boe.es/gazeta/dias/1809/12/19/pdfs/GGB-1809-602.pdf#page=5","Abrir facsímil")</f>
        <v>Abrir facsímil</v>
      </c>
      <c r="K2906" s="3" t="s">
        <v>57</v>
      </c>
    </row>
    <row r="2907" spans="1:11" ht="42" customHeight="1">
      <c r="A2907" s="2" t="s">
        <v>7611</v>
      </c>
      <c r="B2907" s="2" t="s">
        <v>7611</v>
      </c>
      <c r="C2907" s="2" t="s">
        <v>25</v>
      </c>
      <c r="D2907" s="2" t="s">
        <v>26</v>
      </c>
      <c r="E2907" s="3" t="s">
        <v>5140</v>
      </c>
      <c r="F2907" s="3" t="s">
        <v>5141</v>
      </c>
      <c r="G2907" s="3" t="s">
        <v>5142</v>
      </c>
      <c r="H2907" s="2" t="s">
        <v>55</v>
      </c>
      <c r="I2907" s="2" t="s">
        <v>7612</v>
      </c>
      <c r="J2907" s="3" t="str">
        <f>HYPERLINK("https://www.boe.es/gazeta/dias/1809/07/16/pdfs/GMD-1809-197.pdf#page=2","Abrir facsímil")</f>
        <v>Abrir facsímil</v>
      </c>
      <c r="K2907" s="3" t="s">
        <v>57</v>
      </c>
    </row>
    <row r="2908" spans="1:11" ht="42" customHeight="1">
      <c r="A2908" s="2" t="s">
        <v>7613</v>
      </c>
      <c r="B2908" s="2" t="s">
        <v>7613</v>
      </c>
      <c r="C2908" s="2" t="s">
        <v>25</v>
      </c>
      <c r="D2908" s="2" t="s">
        <v>18</v>
      </c>
      <c r="E2908" s="3" t="s">
        <v>6618</v>
      </c>
      <c r="F2908" s="3" t="s">
        <v>6619</v>
      </c>
      <c r="G2908" s="3" t="s">
        <v>239</v>
      </c>
      <c r="H2908" s="2" t="s">
        <v>55</v>
      </c>
      <c r="I2908" s="2" t="s">
        <v>7614</v>
      </c>
      <c r="J2908" s="3" t="str">
        <f>HYPERLINK("https://www.boe.es/gazeta/dias/1809/09/18/pdfs/GMD-1809-262.pdf#page=1","Abrir facsímil")</f>
        <v>Abrir facsímil</v>
      </c>
      <c r="K2908" s="3" t="s">
        <v>57</v>
      </c>
    </row>
    <row r="2909" spans="1:11" ht="42" customHeight="1">
      <c r="A2909" s="2" t="s">
        <v>7615</v>
      </c>
      <c r="B2909" s="2" t="s">
        <v>7615</v>
      </c>
      <c r="C2909" s="2" t="s">
        <v>25</v>
      </c>
      <c r="D2909" s="2" t="s">
        <v>18</v>
      </c>
      <c r="E2909" s="3" t="s">
        <v>508</v>
      </c>
      <c r="F2909" s="3" t="s">
        <v>509</v>
      </c>
      <c r="G2909" s="3" t="s">
        <v>1138</v>
      </c>
      <c r="H2909" s="2" t="s">
        <v>55</v>
      </c>
      <c r="I2909" s="2" t="s">
        <v>7616</v>
      </c>
      <c r="J2909" s="3" t="str">
        <f>HYPERLINK("https://www.boe.es/gazeta/dias/1809/06/21/pdfs/GMD-1809-172.pdf#page=2","Abrir facsímil")</f>
        <v>Abrir facsímil</v>
      </c>
      <c r="K2909" s="3" t="s">
        <v>57</v>
      </c>
    </row>
    <row r="2910" spans="1:11" ht="42" customHeight="1">
      <c r="A2910" s="2" t="s">
        <v>7615</v>
      </c>
      <c r="B2910" s="2" t="s">
        <v>7615</v>
      </c>
      <c r="C2910" s="2" t="s">
        <v>131</v>
      </c>
      <c r="D2910" s="2" t="s">
        <v>26</v>
      </c>
      <c r="E2910" s="3" t="s">
        <v>7617</v>
      </c>
      <c r="F2910" s="3" t="s">
        <v>7618</v>
      </c>
      <c r="G2910" s="3" t="s">
        <v>75</v>
      </c>
      <c r="H2910" s="2" t="s">
        <v>55</v>
      </c>
      <c r="I2910" s="2" t="s">
        <v>7619</v>
      </c>
      <c r="J2910" s="3" t="str">
        <f>HYPERLINK("https://www.boe.es/gazeta/dias/1809/12/24/pdfs/GMD-1809-359.pdf#page=2","Abrir facsímil")</f>
        <v>Abrir facsímil</v>
      </c>
      <c r="K2910" s="3" t="s">
        <v>57</v>
      </c>
    </row>
    <row r="2911" spans="1:11" ht="42" customHeight="1">
      <c r="A2911" s="2" t="s">
        <v>7620</v>
      </c>
      <c r="B2911" s="2" t="s">
        <v>7620</v>
      </c>
      <c r="C2911" s="2" t="s">
        <v>25</v>
      </c>
      <c r="D2911" s="2" t="s">
        <v>18</v>
      </c>
      <c r="E2911" s="3" t="s">
        <v>1829</v>
      </c>
      <c r="F2911" s="3" t="s">
        <v>1830</v>
      </c>
      <c r="G2911" s="3" t="s">
        <v>129</v>
      </c>
      <c r="H2911" s="2" t="s">
        <v>55</v>
      </c>
      <c r="I2911" s="2" t="s">
        <v>7621</v>
      </c>
      <c r="J2911" s="3" t="str">
        <f>HYPERLINK("https://www.boe.es/gazeta/dias/1809/09/17/pdfs/GMD-1809-261.pdf#page=2","Abrir facsímil")</f>
        <v>Abrir facsímil</v>
      </c>
      <c r="K2911" s="3" t="s">
        <v>57</v>
      </c>
    </row>
    <row r="2912" spans="1:11" ht="42" customHeight="1">
      <c r="A2912" s="2" t="s">
        <v>7622</v>
      </c>
      <c r="B2912" s="2" t="s">
        <v>7622</v>
      </c>
      <c r="C2912" s="2" t="s">
        <v>25</v>
      </c>
      <c r="D2912" s="2" t="s">
        <v>18</v>
      </c>
      <c r="E2912" s="3" t="s">
        <v>1285</v>
      </c>
      <c r="F2912" s="3" t="s">
        <v>1286</v>
      </c>
      <c r="G2912" s="3" t="s">
        <v>2745</v>
      </c>
      <c r="H2912" s="2" t="s">
        <v>55</v>
      </c>
      <c r="I2912" s="2" t="s">
        <v>7623</v>
      </c>
      <c r="J2912" s="3" t="str">
        <f>HYPERLINK("https://www.boe.es/gazeta/dias/1809/07/01/pdfs/GMD-1809-182.pdf#page=1","Abrir facsímil")</f>
        <v>Abrir facsímil</v>
      </c>
      <c r="K2912" s="3" t="s">
        <v>57</v>
      </c>
    </row>
    <row r="2913" spans="1:11" ht="42" customHeight="1">
      <c r="A2913" s="2" t="s">
        <v>7624</v>
      </c>
      <c r="B2913" s="2" t="s">
        <v>7624</v>
      </c>
      <c r="C2913" s="2" t="s">
        <v>25</v>
      </c>
      <c r="D2913" s="2" t="s">
        <v>18</v>
      </c>
      <c r="E2913" s="3" t="s">
        <v>2888</v>
      </c>
      <c r="F2913" s="3" t="s">
        <v>2889</v>
      </c>
      <c r="G2913" s="3" t="s">
        <v>234</v>
      </c>
      <c r="H2913" s="2" t="s">
        <v>55</v>
      </c>
      <c r="I2913" s="2" t="s">
        <v>7625</v>
      </c>
      <c r="J2913" s="3" t="str">
        <f>HYPERLINK("https://www.boe.es/gazeta/dias/1809/06/25/pdfs/GMD-1809-176.pdf#page=3","Abrir facsímil")</f>
        <v>Abrir facsímil</v>
      </c>
      <c r="K2913" s="3" t="s">
        <v>57</v>
      </c>
    </row>
    <row r="2914" spans="1:11" ht="42" customHeight="1">
      <c r="A2914" s="2" t="s">
        <v>7626</v>
      </c>
      <c r="B2914" s="2" t="s">
        <v>7626</v>
      </c>
      <c r="C2914" s="2" t="s">
        <v>25</v>
      </c>
      <c r="D2914" s="2" t="s">
        <v>18</v>
      </c>
      <c r="E2914" s="3" t="s">
        <v>381</v>
      </c>
      <c r="F2914" s="3" t="s">
        <v>382</v>
      </c>
      <c r="G2914" s="3" t="s">
        <v>5194</v>
      </c>
      <c r="H2914" s="2" t="s">
        <v>55</v>
      </c>
      <c r="I2914" s="2" t="s">
        <v>7627</v>
      </c>
      <c r="J2914" s="3" t="str">
        <f>HYPERLINK("https://www.boe.es/gazeta/dias/1809/06/27/pdfs/GMD-1809-178.pdf#page=3","Abrir facsímil")</f>
        <v>Abrir facsímil</v>
      </c>
      <c r="K2914" s="3" t="s">
        <v>57</v>
      </c>
    </row>
    <row r="2915" spans="1:11" ht="42" customHeight="1">
      <c r="A2915" s="2" t="s">
        <v>7624</v>
      </c>
      <c r="B2915" s="2" t="s">
        <v>7624</v>
      </c>
      <c r="C2915" s="2" t="s">
        <v>25</v>
      </c>
      <c r="D2915" s="2" t="s">
        <v>26</v>
      </c>
      <c r="E2915" s="3" t="s">
        <v>248</v>
      </c>
      <c r="F2915" s="3" t="s">
        <v>2399</v>
      </c>
      <c r="G2915" s="3" t="s">
        <v>4249</v>
      </c>
      <c r="H2915" s="2" t="s">
        <v>55</v>
      </c>
      <c r="I2915" s="2" t="s">
        <v>7628</v>
      </c>
      <c r="J2915" s="3" t="str">
        <f>HYPERLINK("https://www.boe.es/gazeta/dias/1809/07/26/pdfs/GMD-1809-207.pdf#page=1","Abrir facsímil")</f>
        <v>Abrir facsímil</v>
      </c>
      <c r="K2915" s="3" t="s">
        <v>57</v>
      </c>
    </row>
    <row r="2916" spans="1:11" ht="42" customHeight="1">
      <c r="A2916" s="2" t="s">
        <v>7629</v>
      </c>
      <c r="B2916" s="2" t="s">
        <v>7629</v>
      </c>
      <c r="C2916" s="2" t="s">
        <v>25</v>
      </c>
      <c r="D2916" s="2" t="s">
        <v>18</v>
      </c>
      <c r="E2916" s="3" t="s">
        <v>857</v>
      </c>
      <c r="F2916" s="3" t="s">
        <v>4692</v>
      </c>
      <c r="G2916" s="3" t="s">
        <v>587</v>
      </c>
      <c r="H2916" s="2" t="s">
        <v>55</v>
      </c>
      <c r="I2916" s="2" t="s">
        <v>7630</v>
      </c>
      <c r="J2916" s="3" t="str">
        <f>HYPERLINK("https://www.boe.es/gazeta/dias/1809/05/01/pdfs/GMD-1809-121.pdf#page=2","Abrir facsímil")</f>
        <v>Abrir facsímil</v>
      </c>
      <c r="K2916" s="3" t="s">
        <v>57</v>
      </c>
    </row>
    <row r="2917" spans="1:11" ht="42" customHeight="1">
      <c r="A2917" s="2" t="s">
        <v>7631</v>
      </c>
      <c r="B2917" s="2" t="s">
        <v>7631</v>
      </c>
      <c r="C2917" s="2" t="s">
        <v>369</v>
      </c>
      <c r="D2917" s="2" t="s">
        <v>18</v>
      </c>
      <c r="E2917" s="3" t="s">
        <v>4389</v>
      </c>
      <c r="F2917" s="3" t="s">
        <v>4390</v>
      </c>
      <c r="G2917" s="3" t="s">
        <v>2147</v>
      </c>
      <c r="H2917" s="2" t="s">
        <v>55</v>
      </c>
      <c r="I2917" s="2" t="s">
        <v>7632</v>
      </c>
      <c r="J2917" s="3" t="str">
        <f>HYPERLINK("https://www.boe.es/gazeta/dias/1809/02/06/pdfs/GMD-1809-37.pdf#page=1","Abrir facsímil")</f>
        <v>Abrir facsímil</v>
      </c>
      <c r="K2917" s="3" t="s">
        <v>57</v>
      </c>
    </row>
    <row r="2918" spans="1:11" ht="42" customHeight="1">
      <c r="A2918" s="2" t="s">
        <v>7631</v>
      </c>
      <c r="B2918" s="2" t="s">
        <v>7631</v>
      </c>
      <c r="C2918" s="2" t="s">
        <v>25</v>
      </c>
      <c r="D2918" s="2" t="s">
        <v>107</v>
      </c>
      <c r="E2918" s="3" t="s">
        <v>347</v>
      </c>
      <c r="F2918" s="3" t="s">
        <v>348</v>
      </c>
      <c r="G2918" s="3" t="s">
        <v>349</v>
      </c>
      <c r="H2918" s="2" t="s">
        <v>55</v>
      </c>
      <c r="I2918" s="2" t="s">
        <v>7633</v>
      </c>
      <c r="J2918" s="3" t="str">
        <f>HYPERLINK("https://www.boe.es/gazeta/dias/1809/03/07/pdfs/GMD-1809-66.pdf#page=3","Abrir facsímil")</f>
        <v>Abrir facsímil</v>
      </c>
      <c r="K2918" s="3" t="s">
        <v>57</v>
      </c>
    </row>
    <row r="2919" spans="1:11" ht="42" customHeight="1">
      <c r="A2919" s="2" t="s">
        <v>7631</v>
      </c>
      <c r="B2919" s="2" t="s">
        <v>7631</v>
      </c>
      <c r="C2919" s="2" t="s">
        <v>47</v>
      </c>
      <c r="D2919" s="2" t="s">
        <v>107</v>
      </c>
      <c r="E2919" s="3" t="s">
        <v>394</v>
      </c>
      <c r="F2919" s="3" t="s">
        <v>2563</v>
      </c>
      <c r="G2919" s="3" t="s">
        <v>110</v>
      </c>
      <c r="H2919" s="2" t="s">
        <v>55</v>
      </c>
      <c r="I2919" s="2" t="s">
        <v>7634</v>
      </c>
      <c r="J2919" s="3" t="str">
        <f>HYPERLINK("https://www.boe.es/gazeta/dias/1809/12/14/pdfs/GMD-1809-349.pdf#page=2","Abrir facsímil")</f>
        <v>Abrir facsímil</v>
      </c>
      <c r="K2919" s="3" t="s">
        <v>57</v>
      </c>
    </row>
    <row r="2920" spans="1:11" ht="42" customHeight="1">
      <c r="A2920" s="2" t="s">
        <v>7635</v>
      </c>
      <c r="B2920" s="2" t="s">
        <v>7636</v>
      </c>
      <c r="C2920" s="2" t="s">
        <v>25</v>
      </c>
      <c r="D2920" s="2" t="s">
        <v>26</v>
      </c>
      <c r="E2920" s="3" t="s">
        <v>102</v>
      </c>
      <c r="F2920" s="3" t="s">
        <v>1095</v>
      </c>
      <c r="G2920" s="3" t="s">
        <v>75</v>
      </c>
      <c r="H2920" s="2" t="s">
        <v>55</v>
      </c>
      <c r="I2920" s="2" t="s">
        <v>7637</v>
      </c>
      <c r="J2920" s="3" t="str">
        <f>HYPERLINK("https://www.boe.es/gazeta/dias/1809/09/28/pdfs/GMD-1809-272.pdf#page=2","Abrir facsímil")</f>
        <v>Abrir facsímil</v>
      </c>
      <c r="K2920" s="3" t="s">
        <v>57</v>
      </c>
    </row>
    <row r="2921" spans="1:11" ht="42" customHeight="1">
      <c r="A2921" s="2" t="s">
        <v>7638</v>
      </c>
      <c r="B2921" s="2" t="s">
        <v>7638</v>
      </c>
      <c r="C2921" s="2" t="s">
        <v>25</v>
      </c>
      <c r="D2921" s="2" t="s">
        <v>18</v>
      </c>
      <c r="E2921" s="3" t="s">
        <v>299</v>
      </c>
      <c r="F2921" s="3" t="s">
        <v>300</v>
      </c>
      <c r="G2921" s="3" t="s">
        <v>301</v>
      </c>
      <c r="H2921" s="2" t="s">
        <v>55</v>
      </c>
      <c r="I2921" s="2" t="s">
        <v>7639</v>
      </c>
      <c r="J2921" s="3" t="str">
        <f>HYPERLINK("https://www.boe.es/gazeta/dias/1809/05/26/pdfs/GGB-1809-31.pdf#page=10","Abrir facsímil")</f>
        <v>Abrir facsímil</v>
      </c>
      <c r="K2921" s="3" t="s">
        <v>57</v>
      </c>
    </row>
    <row r="2922" spans="1:11" ht="42" customHeight="1">
      <c r="A2922" s="2" t="s">
        <v>7640</v>
      </c>
      <c r="B2922" s="2" t="s">
        <v>7640</v>
      </c>
      <c r="C2922" s="2" t="s">
        <v>25</v>
      </c>
      <c r="D2922" s="2" t="s">
        <v>107</v>
      </c>
      <c r="E2922" s="3" t="s">
        <v>237</v>
      </c>
      <c r="F2922" s="3" t="s">
        <v>238</v>
      </c>
      <c r="G2922" s="3" t="s">
        <v>239</v>
      </c>
      <c r="H2922" s="2" t="s">
        <v>55</v>
      </c>
      <c r="I2922" s="2" t="s">
        <v>7641</v>
      </c>
      <c r="J2922" s="3" t="str">
        <f>HYPERLINK("https://www.boe.es/gazeta/dias/1809/07/30/pdfs/GMD-1809-212.pdf#page=1","Abrir facsímil")</f>
        <v>Abrir facsímil</v>
      </c>
      <c r="K2922" s="3" t="s">
        <v>57</v>
      </c>
    </row>
    <row r="2923" spans="1:11" ht="42" customHeight="1">
      <c r="A2923" s="2" t="s">
        <v>7642</v>
      </c>
      <c r="B2923" s="2" t="s">
        <v>7642</v>
      </c>
      <c r="C2923" s="2" t="s">
        <v>25</v>
      </c>
      <c r="D2923" s="2" t="s">
        <v>26</v>
      </c>
      <c r="E2923" s="3" t="s">
        <v>139</v>
      </c>
      <c r="F2923" s="3" t="s">
        <v>140</v>
      </c>
      <c r="G2923" s="3" t="s">
        <v>6962</v>
      </c>
      <c r="H2923" s="2" t="s">
        <v>55</v>
      </c>
      <c r="I2923" s="2" t="s">
        <v>7643</v>
      </c>
      <c r="J2923" s="3" t="str">
        <f>HYPERLINK("https://www.boe.es/gazeta/dias/1809/05/06/pdfs/GMD-1809-126.pdf#page=1","Abrir facsímil")</f>
        <v>Abrir facsímil</v>
      </c>
      <c r="K2923" s="3" t="s">
        <v>57</v>
      </c>
    </row>
    <row r="2924" spans="1:11" ht="42" customHeight="1">
      <c r="A2924" s="2" t="s">
        <v>7644</v>
      </c>
      <c r="B2924" s="2" t="s">
        <v>7644</v>
      </c>
      <c r="C2924" s="2" t="s">
        <v>25</v>
      </c>
      <c r="D2924" s="2" t="s">
        <v>107</v>
      </c>
      <c r="E2924" s="3" t="s">
        <v>179</v>
      </c>
      <c r="F2924" s="3" t="s">
        <v>2418</v>
      </c>
      <c r="G2924" s="3" t="s">
        <v>525</v>
      </c>
      <c r="H2924" s="2" t="s">
        <v>55</v>
      </c>
      <c r="I2924" s="2" t="s">
        <v>7645</v>
      </c>
      <c r="J2924" s="3" t="str">
        <f>HYPERLINK("https://www.boe.es/gazeta/dias/1809/12/08/pdfs/GMD-1809-343.pdf#page=4","Abrir facsímil")</f>
        <v>Abrir facsímil</v>
      </c>
      <c r="K2924" s="3" t="s">
        <v>57</v>
      </c>
    </row>
    <row r="2925" spans="1:11" ht="42" customHeight="1">
      <c r="A2925" s="2" t="s">
        <v>7646</v>
      </c>
      <c r="B2925" s="2" t="s">
        <v>7646</v>
      </c>
      <c r="C2925" s="2" t="s">
        <v>47</v>
      </c>
      <c r="D2925" s="2" t="s">
        <v>107</v>
      </c>
      <c r="E2925" s="3" t="s">
        <v>1123</v>
      </c>
      <c r="F2925" s="3" t="s">
        <v>1124</v>
      </c>
      <c r="G2925" s="3" t="s">
        <v>154</v>
      </c>
      <c r="H2925" s="2" t="s">
        <v>55</v>
      </c>
      <c r="I2925" s="2" t="s">
        <v>7647</v>
      </c>
      <c r="J2925" s="3" t="str">
        <f>HYPERLINK("https://www.boe.es/gazeta/dias/1809/01/08/pdfs/GMD-1809-8.pdf#page=4","Abrir facsímil")</f>
        <v>Abrir facsímil</v>
      </c>
      <c r="K2925" s="3" t="s">
        <v>57</v>
      </c>
    </row>
    <row r="2926" spans="1:11" ht="42" customHeight="1">
      <c r="A2926" s="2" t="s">
        <v>7646</v>
      </c>
      <c r="B2926" s="2" t="s">
        <v>7646</v>
      </c>
      <c r="C2926" s="2" t="s">
        <v>47</v>
      </c>
      <c r="D2926" s="2" t="s">
        <v>107</v>
      </c>
      <c r="E2926" s="3" t="s">
        <v>1233</v>
      </c>
      <c r="F2926" s="3" t="s">
        <v>1234</v>
      </c>
      <c r="G2926" s="3" t="s">
        <v>7648</v>
      </c>
      <c r="H2926" s="2" t="s">
        <v>55</v>
      </c>
      <c r="I2926" s="2" t="s">
        <v>7649</v>
      </c>
      <c r="J2926" s="3" t="str">
        <f>HYPERLINK("https://www.boe.es/gazeta/dias/1809/12/01/pdfs/GMD-1809-336.pdf#page=2","Abrir facsímil")</f>
        <v>Abrir facsímil</v>
      </c>
      <c r="K2926" s="3" t="s">
        <v>57</v>
      </c>
    </row>
    <row r="2927" spans="1:11" ht="42" customHeight="1">
      <c r="A2927" s="2" t="s">
        <v>7650</v>
      </c>
      <c r="B2927" s="2" t="s">
        <v>7650</v>
      </c>
      <c r="C2927" s="2" t="s">
        <v>25</v>
      </c>
      <c r="D2927" s="2" t="s">
        <v>40</v>
      </c>
      <c r="E2927" s="3" t="s">
        <v>4361</v>
      </c>
      <c r="F2927" s="3" t="s">
        <v>4362</v>
      </c>
      <c r="G2927" s="3" t="s">
        <v>75</v>
      </c>
      <c r="H2927" s="2" t="s">
        <v>55</v>
      </c>
      <c r="I2927" s="2" t="s">
        <v>7651</v>
      </c>
      <c r="J2927" s="3" t="str">
        <f>HYPERLINK("https://www.boe.es/gazeta/dias/1809/01/28/pdfs/GMD-1809-28.pdf#page=3","Abrir facsímil")</f>
        <v>Abrir facsímil</v>
      </c>
      <c r="K2927" s="3" t="s">
        <v>57</v>
      </c>
    </row>
    <row r="2928" spans="1:11" ht="42" customHeight="1">
      <c r="A2928" s="2" t="s">
        <v>7652</v>
      </c>
      <c r="B2928" s="2" t="s">
        <v>7653</v>
      </c>
      <c r="C2928" s="2" t="s">
        <v>25</v>
      </c>
      <c r="D2928" s="2" t="s">
        <v>80</v>
      </c>
      <c r="E2928" s="3" t="s">
        <v>179</v>
      </c>
      <c r="F2928" s="3" t="s">
        <v>180</v>
      </c>
      <c r="G2928" s="3" t="s">
        <v>966</v>
      </c>
      <c r="H2928" s="2" t="s">
        <v>55</v>
      </c>
      <c r="I2928" s="2" t="s">
        <v>7654</v>
      </c>
      <c r="J2928" s="3" t="str">
        <f>HYPERLINK("https://www.boe.es/gazeta/dias/1809/12/08/pdfs/GGB-1809-552E.pdf#page=3","Abrir facsímil")</f>
        <v>Abrir facsímil</v>
      </c>
      <c r="K2928" s="3" t="s">
        <v>57</v>
      </c>
    </row>
    <row r="2929" spans="1:11" ht="42" customHeight="1">
      <c r="A2929" s="2" t="s">
        <v>7655</v>
      </c>
      <c r="B2929" s="2" t="s">
        <v>7656</v>
      </c>
      <c r="C2929" s="2" t="s">
        <v>79</v>
      </c>
      <c r="D2929" s="2" t="s">
        <v>80</v>
      </c>
      <c r="E2929" s="3" t="s">
        <v>81</v>
      </c>
      <c r="F2929" s="3" t="s">
        <v>82</v>
      </c>
      <c r="G2929" s="3" t="s">
        <v>595</v>
      </c>
      <c r="H2929" s="2" t="s">
        <v>55</v>
      </c>
      <c r="I2929" s="2" t="s">
        <v>7657</v>
      </c>
      <c r="J2929" s="3" t="str">
        <f>HYPERLINK("https://www.boe.es/gazeta/dias/1809/04/11/pdfs/GGB-1809-16E.pdf#page=7","Abrir facsímil")</f>
        <v>Abrir facsímil</v>
      </c>
      <c r="K2929" s="3" t="s">
        <v>57</v>
      </c>
    </row>
    <row r="2930" spans="1:11" ht="42" customHeight="1">
      <c r="A2930" s="2" t="s">
        <v>7658</v>
      </c>
      <c r="B2930" s="2" t="s">
        <v>7659</v>
      </c>
      <c r="C2930" s="2" t="s">
        <v>25</v>
      </c>
      <c r="D2930" s="2" t="s">
        <v>26</v>
      </c>
      <c r="E2930" s="3" t="s">
        <v>883</v>
      </c>
      <c r="F2930" s="3" t="s">
        <v>884</v>
      </c>
      <c r="G2930" s="3" t="s">
        <v>21</v>
      </c>
      <c r="H2930" s="2" t="s">
        <v>55</v>
      </c>
      <c r="I2930" s="2" t="s">
        <v>7660</v>
      </c>
      <c r="J2930" s="3" t="str">
        <f>HYPERLINK("https://www.boe.es/gazeta/dias/1809/12/21/pdfs/GMD-1809-356.pdf#page=3","Abrir facsímil")</f>
        <v>Abrir facsímil</v>
      </c>
      <c r="K2930" s="3" t="s">
        <v>57</v>
      </c>
    </row>
    <row r="2931" spans="1:11" ht="42" customHeight="1">
      <c r="A2931" s="2" t="s">
        <v>7661</v>
      </c>
      <c r="B2931" s="2" t="s">
        <v>7662</v>
      </c>
      <c r="C2931" s="2" t="s">
        <v>17</v>
      </c>
      <c r="D2931" s="2" t="s">
        <v>18</v>
      </c>
      <c r="E2931" s="3" t="s">
        <v>158</v>
      </c>
      <c r="F2931" s="3" t="s">
        <v>159</v>
      </c>
      <c r="G2931" s="3" t="s">
        <v>120</v>
      </c>
      <c r="H2931" s="2" t="s">
        <v>55</v>
      </c>
      <c r="I2931" s="2" t="s">
        <v>7663</v>
      </c>
      <c r="J2931" s="3" t="str">
        <f>HYPERLINK("https://www.boe.es/gazeta/dias/1809/02/10/pdfs/GGB-1809-7.pdf#page=9","Abrir facsímil")</f>
        <v>Abrir facsímil</v>
      </c>
      <c r="K2931" s="3" t="s">
        <v>57</v>
      </c>
    </row>
    <row r="2932" spans="1:11" ht="42" customHeight="1">
      <c r="A2932" s="2" t="s">
        <v>7664</v>
      </c>
      <c r="B2932" s="2" t="s">
        <v>7665</v>
      </c>
      <c r="C2932" s="2" t="s">
        <v>17</v>
      </c>
      <c r="D2932" s="2" t="s">
        <v>18</v>
      </c>
      <c r="E2932" s="3" t="s">
        <v>3397</v>
      </c>
      <c r="F2932" s="3" t="s">
        <v>3398</v>
      </c>
      <c r="G2932" s="3" t="s">
        <v>4342</v>
      </c>
      <c r="H2932" s="2" t="s">
        <v>55</v>
      </c>
      <c r="I2932" s="2" t="s">
        <v>7666</v>
      </c>
      <c r="J2932" s="3" t="str">
        <f>HYPERLINK("https://www.boe.es/gazeta/dias/1809/02/08/pdfs/GMD-1809-39.pdf#page=3","Abrir facsímil")</f>
        <v>Abrir facsímil</v>
      </c>
      <c r="K2932" s="3" t="s">
        <v>57</v>
      </c>
    </row>
    <row r="2933" spans="1:11" ht="42" customHeight="1">
      <c r="A2933" s="2" t="s">
        <v>7667</v>
      </c>
      <c r="B2933" s="2" t="s">
        <v>7668</v>
      </c>
      <c r="C2933" s="2" t="s">
        <v>25</v>
      </c>
      <c r="D2933" s="2" t="s">
        <v>26</v>
      </c>
      <c r="E2933" s="3" t="s">
        <v>3714</v>
      </c>
      <c r="F2933" s="3" t="s">
        <v>4205</v>
      </c>
      <c r="G2933" s="3" t="s">
        <v>3729</v>
      </c>
      <c r="H2933" s="2" t="s">
        <v>55</v>
      </c>
      <c r="I2933" s="2" t="s">
        <v>7669</v>
      </c>
      <c r="J2933" s="3" t="str">
        <f>HYPERLINK("https://www.boe.es/gazeta/dias/1809/12/07/pdfs/GGB-1809-552.pdf#page=3","Abrir facsímil")</f>
        <v>Abrir facsímil</v>
      </c>
      <c r="K2933" s="3" t="s">
        <v>57</v>
      </c>
    </row>
    <row r="2934" spans="1:11" ht="42" customHeight="1">
      <c r="A2934" s="2" t="s">
        <v>7670</v>
      </c>
      <c r="B2934" s="2" t="s">
        <v>7671</v>
      </c>
      <c r="C2934" s="2" t="s">
        <v>25</v>
      </c>
      <c r="D2934" s="2" t="s">
        <v>72</v>
      </c>
      <c r="E2934" s="3" t="s">
        <v>143</v>
      </c>
      <c r="F2934" s="3" t="s">
        <v>705</v>
      </c>
      <c r="G2934" s="3" t="s">
        <v>225</v>
      </c>
      <c r="H2934" s="2" t="s">
        <v>55</v>
      </c>
      <c r="I2934" s="2" t="s">
        <v>7672</v>
      </c>
      <c r="J2934" s="3" t="str">
        <f>HYPERLINK("https://www.boe.es/gazeta/dias/1809/11/16/pdfs/GGB-H-1809-462.pdf#page=4","Abrir facsímil")</f>
        <v>Abrir facsímil</v>
      </c>
      <c r="K2934" s="3" t="s">
        <v>57</v>
      </c>
    </row>
    <row r="2935" spans="1:11" ht="42" customHeight="1">
      <c r="A2935" s="2" t="s">
        <v>7670</v>
      </c>
      <c r="B2935" s="2" t="s">
        <v>7671</v>
      </c>
      <c r="C2935" s="2" t="s">
        <v>25</v>
      </c>
      <c r="D2935" s="2" t="s">
        <v>72</v>
      </c>
      <c r="E2935" s="3" t="s">
        <v>473</v>
      </c>
      <c r="F2935" s="3" t="s">
        <v>1199</v>
      </c>
      <c r="G2935" s="3" t="s">
        <v>94</v>
      </c>
      <c r="H2935" s="2" t="s">
        <v>55</v>
      </c>
      <c r="I2935" s="2" t="s">
        <v>7673</v>
      </c>
      <c r="J2935" s="3" t="str">
        <f>HYPERLINK("https://www.boe.es/gazeta/dias/1809/12/28/pdfs/GGB-H-1809-642.pdf#page=5","Abrir facsímil")</f>
        <v>Abrir facsímil</v>
      </c>
      <c r="K2935" s="3" t="s">
        <v>57</v>
      </c>
    </row>
    <row r="2936" spans="1:11" ht="42" customHeight="1">
      <c r="A2936" s="2" t="s">
        <v>7674</v>
      </c>
      <c r="B2936" s="2" t="s">
        <v>7675</v>
      </c>
      <c r="C2936" s="2" t="s">
        <v>17</v>
      </c>
      <c r="D2936" s="2" t="s">
        <v>18</v>
      </c>
      <c r="E2936" s="3" t="s">
        <v>4361</v>
      </c>
      <c r="F2936" s="3" t="s">
        <v>4362</v>
      </c>
      <c r="G2936" s="3" t="s">
        <v>75</v>
      </c>
      <c r="H2936" s="2" t="s">
        <v>55</v>
      </c>
      <c r="I2936" s="2" t="s">
        <v>7676</v>
      </c>
      <c r="J2936" s="3" t="str">
        <f>HYPERLINK("https://www.boe.es/gazeta/dias/1809/01/28/pdfs/GMD-1809-28.pdf#page=3","Abrir facsímil")</f>
        <v>Abrir facsímil</v>
      </c>
      <c r="K2936" s="3" t="s">
        <v>57</v>
      </c>
    </row>
    <row r="2937" spans="1:11" ht="42" customHeight="1">
      <c r="A2937" s="2" t="s">
        <v>7677</v>
      </c>
      <c r="B2937" s="2" t="s">
        <v>7678</v>
      </c>
      <c r="C2937" s="2" t="s">
        <v>17</v>
      </c>
      <c r="D2937" s="2" t="s">
        <v>40</v>
      </c>
      <c r="E2937" s="3" t="s">
        <v>864</v>
      </c>
      <c r="F2937" s="3" t="s">
        <v>2291</v>
      </c>
      <c r="G2937" s="3" t="s">
        <v>2292</v>
      </c>
      <c r="H2937" s="2" t="s">
        <v>55</v>
      </c>
      <c r="I2937" s="2" t="s">
        <v>7679</v>
      </c>
      <c r="J2937" s="3" t="str">
        <f>HYPERLINK("https://www.boe.es/gazeta/dias/1809/08/31/pdfs/GGB-H-1809-132.pdf#page=3","Abrir facsímil")</f>
        <v>Abrir facsímil</v>
      </c>
      <c r="K2937" s="3" t="s">
        <v>57</v>
      </c>
    </row>
    <row r="2938" spans="1:11" ht="42" customHeight="1">
      <c r="A2938" s="2" t="s">
        <v>7680</v>
      </c>
      <c r="B2938" s="2" t="s">
        <v>7681</v>
      </c>
      <c r="C2938" s="2" t="s">
        <v>288</v>
      </c>
      <c r="D2938" s="2" t="s">
        <v>72</v>
      </c>
      <c r="E2938" s="3" t="s">
        <v>2607</v>
      </c>
      <c r="F2938" s="3" t="s">
        <v>7682</v>
      </c>
      <c r="G2938" s="3" t="s">
        <v>141</v>
      </c>
      <c r="H2938" s="2" t="s">
        <v>55</v>
      </c>
      <c r="I2938" s="2" t="s">
        <v>7683</v>
      </c>
      <c r="J2938" s="3" t="str">
        <f>HYPERLINK("https://www.boe.es/gazeta/dias/1809/04/30/pdfs/GMD-E-1809-120.pdf#page=1","Abrir facsímil")</f>
        <v>Abrir facsímil</v>
      </c>
      <c r="K2938" s="3" t="s">
        <v>57</v>
      </c>
    </row>
    <row r="2939" spans="1:11" ht="42" customHeight="1">
      <c r="A2939" s="2" t="s">
        <v>7684</v>
      </c>
      <c r="B2939" s="2" t="s">
        <v>7685</v>
      </c>
      <c r="C2939" s="2" t="s">
        <v>25</v>
      </c>
      <c r="D2939" s="2" t="s">
        <v>107</v>
      </c>
      <c r="E2939" s="3" t="s">
        <v>81</v>
      </c>
      <c r="F2939" s="3" t="s">
        <v>82</v>
      </c>
      <c r="G2939" s="3" t="s">
        <v>3332</v>
      </c>
      <c r="H2939" s="2" t="s">
        <v>55</v>
      </c>
      <c r="I2939" s="2" t="s">
        <v>7686</v>
      </c>
      <c r="J2939" s="3" t="str">
        <f>HYPERLINK("https://www.boe.es/gazeta/dias/1809/04/11/pdfs/GGB-1809-16E.pdf#page=8","Abrir facsímil")</f>
        <v>Abrir facsímil</v>
      </c>
      <c r="K2939" s="3" t="s">
        <v>57</v>
      </c>
    </row>
    <row r="2940" spans="1:11" ht="42" customHeight="1">
      <c r="A2940" s="2" t="s">
        <v>7684</v>
      </c>
      <c r="B2940" s="2" t="s">
        <v>7685</v>
      </c>
      <c r="C2940" s="2" t="s">
        <v>25</v>
      </c>
      <c r="D2940" s="2" t="s">
        <v>72</v>
      </c>
      <c r="E2940" s="3" t="s">
        <v>118</v>
      </c>
      <c r="F2940" s="3" t="s">
        <v>819</v>
      </c>
      <c r="G2940" s="3" t="s">
        <v>2287</v>
      </c>
      <c r="H2940" s="2" t="s">
        <v>55</v>
      </c>
      <c r="I2940" s="2" t="s">
        <v>7687</v>
      </c>
      <c r="J2940" s="3" t="str">
        <f>HYPERLINK("https://www.boe.es/gazeta/dias/1809/09/07/pdfs/GGB-H-1809-162.pdf#page=7","Abrir facsímil")</f>
        <v>Abrir facsímil</v>
      </c>
      <c r="K2940" s="3" t="s">
        <v>57</v>
      </c>
    </row>
    <row r="2941" spans="1:11" ht="42" customHeight="1">
      <c r="A2941" s="2" t="s">
        <v>7688</v>
      </c>
      <c r="B2941" s="2" t="s">
        <v>7689</v>
      </c>
      <c r="C2941" s="2" t="s">
        <v>17</v>
      </c>
      <c r="D2941" s="2" t="s">
        <v>80</v>
      </c>
      <c r="E2941" s="3" t="s">
        <v>1581</v>
      </c>
      <c r="F2941" s="3" t="s">
        <v>3668</v>
      </c>
      <c r="G2941" s="3" t="s">
        <v>110</v>
      </c>
      <c r="H2941" s="2" t="s">
        <v>55</v>
      </c>
      <c r="I2941" s="2" t="s">
        <v>7690</v>
      </c>
      <c r="J2941" s="3" t="str">
        <f>HYPERLINK("https://www.boe.es/gazeta/dias/1809/05/30/pdfs/GGB-1809-32E.pdf#page=4","Abrir facsímil")</f>
        <v>Abrir facsímil</v>
      </c>
      <c r="K2941" s="3" t="s">
        <v>57</v>
      </c>
    </row>
    <row r="2942" spans="1:11" ht="42" customHeight="1">
      <c r="A2942" s="2" t="s">
        <v>7691</v>
      </c>
      <c r="B2942" s="2" t="s">
        <v>7692</v>
      </c>
      <c r="C2942" s="2" t="s">
        <v>17</v>
      </c>
      <c r="D2942" s="2" t="s">
        <v>18</v>
      </c>
      <c r="E2942" s="3" t="s">
        <v>6250</v>
      </c>
      <c r="F2942" s="3" t="s">
        <v>6251</v>
      </c>
      <c r="G2942" s="3" t="s">
        <v>1880</v>
      </c>
      <c r="H2942" s="2" t="s">
        <v>55</v>
      </c>
      <c r="I2942" s="2" t="s">
        <v>7693</v>
      </c>
      <c r="J2942" s="3" t="str">
        <f>HYPERLINK("https://www.boe.es/gazeta/dias/1809/03/15/pdfs/GMD-1809-74.pdf#page=4","Abrir facsímil")</f>
        <v>Abrir facsímil</v>
      </c>
      <c r="K2942" s="3" t="s">
        <v>57</v>
      </c>
    </row>
    <row r="2943" spans="1:11" ht="42" customHeight="1">
      <c r="A2943" s="2" t="s">
        <v>7694</v>
      </c>
      <c r="B2943" s="2" t="s">
        <v>7695</v>
      </c>
      <c r="C2943" s="2" t="s">
        <v>17</v>
      </c>
      <c r="D2943" s="2" t="s">
        <v>18</v>
      </c>
      <c r="E2943" s="3" t="s">
        <v>523</v>
      </c>
      <c r="F2943" s="3" t="s">
        <v>524</v>
      </c>
      <c r="G2943" s="3" t="s">
        <v>605</v>
      </c>
      <c r="H2943" s="2" t="s">
        <v>55</v>
      </c>
      <c r="I2943" s="2" t="s">
        <v>7696</v>
      </c>
      <c r="J2943" s="3" t="str">
        <f>HYPERLINK("https://www.boe.es/gazeta/dias/1809/02/14/pdfs/GMD-1809-45.pdf#page=2","Abrir facsímil")</f>
        <v>Abrir facsímil</v>
      </c>
      <c r="K2943" s="3" t="s">
        <v>57</v>
      </c>
    </row>
    <row r="2944" spans="1:11" ht="42" customHeight="1">
      <c r="A2944" s="2" t="s">
        <v>7697</v>
      </c>
      <c r="B2944" s="2" t="s">
        <v>7698</v>
      </c>
      <c r="C2944" s="2" t="s">
        <v>17</v>
      </c>
      <c r="D2944" s="2" t="s">
        <v>72</v>
      </c>
      <c r="E2944" s="3" t="s">
        <v>2818</v>
      </c>
      <c r="F2944" s="3" t="s">
        <v>4265</v>
      </c>
      <c r="G2944" s="3" t="s">
        <v>225</v>
      </c>
      <c r="H2944" s="2" t="s">
        <v>55</v>
      </c>
      <c r="I2944" s="2" t="s">
        <v>7699</v>
      </c>
      <c r="J2944" s="3" t="str">
        <f>HYPERLINK("https://www.boe.es/gazeta/dias/1809/02/03/pdfs/GGB-G-1809-6.pdf#page=4","Abrir facsímil")</f>
        <v>Abrir facsímil</v>
      </c>
      <c r="K2944" s="3" t="s">
        <v>57</v>
      </c>
    </row>
    <row r="2945" spans="1:11" ht="42" customHeight="1">
      <c r="A2945" s="2" t="s">
        <v>7697</v>
      </c>
      <c r="B2945" s="2" t="s">
        <v>7698</v>
      </c>
      <c r="C2945" s="2" t="s">
        <v>17</v>
      </c>
      <c r="D2945" s="2" t="s">
        <v>80</v>
      </c>
      <c r="E2945" s="3" t="s">
        <v>1667</v>
      </c>
      <c r="F2945" s="3" t="s">
        <v>7700</v>
      </c>
      <c r="G2945" s="3" t="s">
        <v>29</v>
      </c>
      <c r="H2945" s="2" t="s">
        <v>55</v>
      </c>
      <c r="I2945" s="2" t="s">
        <v>7701</v>
      </c>
      <c r="J2945" s="3" t="str">
        <f>HYPERLINK("https://www.boe.es/gazeta/dias/1809/02/21/pdfs/GGB-1809-8E2.pdf#page=3","Abrir facsímil")</f>
        <v>Abrir facsímil</v>
      </c>
      <c r="K2945" s="3" t="s">
        <v>57</v>
      </c>
    </row>
    <row r="2946" spans="1:11" ht="42" customHeight="1">
      <c r="A2946" s="2" t="s">
        <v>7697</v>
      </c>
      <c r="B2946" s="2" t="s">
        <v>7698</v>
      </c>
      <c r="C2946" s="2" t="s">
        <v>25</v>
      </c>
      <c r="D2946" s="2" t="s">
        <v>26</v>
      </c>
      <c r="E2946" s="3" t="s">
        <v>739</v>
      </c>
      <c r="F2946" s="3" t="s">
        <v>3666</v>
      </c>
      <c r="G2946" s="3" t="s">
        <v>582</v>
      </c>
      <c r="H2946" s="2" t="s">
        <v>55</v>
      </c>
      <c r="I2946" s="2" t="s">
        <v>7702</v>
      </c>
      <c r="J2946" s="3" t="str">
        <f>HYPERLINK("https://www.boe.es/gazeta/dias/1809/05/08/pdfs/GGB-G-1809-25.pdf#page=1","Abrir facsímil")</f>
        <v>Abrir facsímil</v>
      </c>
      <c r="K2946" s="3" t="s">
        <v>57</v>
      </c>
    </row>
    <row r="2947" spans="1:11" ht="42" customHeight="1">
      <c r="A2947" s="2" t="s">
        <v>7697</v>
      </c>
      <c r="B2947" s="2" t="s">
        <v>7698</v>
      </c>
      <c r="C2947" s="2" t="s">
        <v>17</v>
      </c>
      <c r="D2947" s="2" t="s">
        <v>40</v>
      </c>
      <c r="E2947" s="3" t="s">
        <v>289</v>
      </c>
      <c r="F2947" s="3" t="s">
        <v>3937</v>
      </c>
      <c r="G2947" s="3" t="s">
        <v>75</v>
      </c>
      <c r="H2947" s="2" t="s">
        <v>55</v>
      </c>
      <c r="I2947" s="2" t="s">
        <v>7703</v>
      </c>
      <c r="J2947" s="3" t="str">
        <f>HYPERLINK("https://www.boe.es/gazeta/dias/1809/05/15/pdfs/GGB-1809-27.pdf#page=12","Abrir facsímil")</f>
        <v>Abrir facsímil</v>
      </c>
      <c r="K2947" s="3" t="s">
        <v>57</v>
      </c>
    </row>
    <row r="2948" spans="1:11" ht="42" customHeight="1">
      <c r="A2948" s="2" t="s">
        <v>7697</v>
      </c>
      <c r="B2948" s="2" t="s">
        <v>7698</v>
      </c>
      <c r="C2948" s="2" t="s">
        <v>25</v>
      </c>
      <c r="D2948" s="2" t="s">
        <v>26</v>
      </c>
      <c r="E2948" s="3" t="s">
        <v>1288</v>
      </c>
      <c r="F2948" s="3" t="s">
        <v>1289</v>
      </c>
      <c r="G2948" s="3" t="s">
        <v>2559</v>
      </c>
      <c r="H2948" s="2" t="s">
        <v>55</v>
      </c>
      <c r="I2948" s="2" t="s">
        <v>7704</v>
      </c>
      <c r="J2948" s="3" t="str">
        <f>HYPERLINK("https://www.boe.es/gazeta/dias/1809/07/28/pdfs/GGB-1809-49.pdf#page=12","Abrir facsímil")</f>
        <v>Abrir facsímil</v>
      </c>
      <c r="K2948" s="3" t="s">
        <v>57</v>
      </c>
    </row>
    <row r="2949" spans="1:11" ht="42" customHeight="1">
      <c r="A2949" s="2" t="s">
        <v>7697</v>
      </c>
      <c r="B2949" s="2" t="s">
        <v>7698</v>
      </c>
      <c r="C2949" s="2" t="s">
        <v>25</v>
      </c>
      <c r="D2949" s="2" t="s">
        <v>18</v>
      </c>
      <c r="E2949" s="3" t="s">
        <v>838</v>
      </c>
      <c r="F2949" s="3" t="s">
        <v>839</v>
      </c>
      <c r="G2949" s="3" t="s">
        <v>595</v>
      </c>
      <c r="H2949" s="2" t="s">
        <v>55</v>
      </c>
      <c r="I2949" s="2" t="s">
        <v>7705</v>
      </c>
      <c r="J2949" s="3" t="str">
        <f>HYPERLINK("https://www.boe.es/gazeta/dias/1809/08/03/pdfs/GGB-1809-12.pdf#page=7","Abrir facsímil")</f>
        <v>Abrir facsímil</v>
      </c>
      <c r="K2949" s="3" t="s">
        <v>57</v>
      </c>
    </row>
    <row r="2950" spans="1:11" ht="42" customHeight="1">
      <c r="A2950" s="2" t="s">
        <v>7697</v>
      </c>
      <c r="B2950" s="2" t="s">
        <v>7698</v>
      </c>
      <c r="C2950" s="2" t="s">
        <v>25</v>
      </c>
      <c r="D2950" s="2" t="s">
        <v>26</v>
      </c>
      <c r="E2950" s="3" t="s">
        <v>1206</v>
      </c>
      <c r="F2950" s="3" t="s">
        <v>1207</v>
      </c>
      <c r="G2950" s="3" t="s">
        <v>4342</v>
      </c>
      <c r="H2950" s="2" t="s">
        <v>55</v>
      </c>
      <c r="I2950" s="2" t="s">
        <v>7706</v>
      </c>
      <c r="J2950" s="3" t="str">
        <f>HYPERLINK("https://www.boe.es/gazeta/dias/1809/09/23/pdfs/GGB-H-1809-232.pdf#page=1","Abrir facsímil")</f>
        <v>Abrir facsímil</v>
      </c>
      <c r="K2950" s="3" t="s">
        <v>57</v>
      </c>
    </row>
    <row r="2951" spans="1:11" ht="42" customHeight="1">
      <c r="A2951" s="2" t="s">
        <v>7697</v>
      </c>
      <c r="B2951" s="2" t="s">
        <v>7698</v>
      </c>
      <c r="C2951" s="2" t="s">
        <v>25</v>
      </c>
      <c r="D2951" s="2" t="s">
        <v>26</v>
      </c>
      <c r="E2951" s="3" t="s">
        <v>294</v>
      </c>
      <c r="F2951" s="3" t="s">
        <v>295</v>
      </c>
      <c r="G2951" s="3" t="s">
        <v>21</v>
      </c>
      <c r="H2951" s="2" t="s">
        <v>55</v>
      </c>
      <c r="I2951" s="2" t="s">
        <v>7707</v>
      </c>
      <c r="J2951" s="3" t="str">
        <f>HYPERLINK("https://www.boe.es/gazeta/dias/1809/09/30/pdfs/GGB-H-1809-262.pdf#page=1","Abrir facsímil")</f>
        <v>Abrir facsímil</v>
      </c>
      <c r="K2951" s="3" t="s">
        <v>57</v>
      </c>
    </row>
    <row r="2952" spans="1:11" ht="42" customHeight="1">
      <c r="A2952" s="2" t="s">
        <v>7708</v>
      </c>
      <c r="B2952" s="2" t="s">
        <v>7709</v>
      </c>
      <c r="C2952" s="2" t="s">
        <v>47</v>
      </c>
      <c r="D2952" s="2" t="s">
        <v>80</v>
      </c>
      <c r="E2952" s="3" t="s">
        <v>81</v>
      </c>
      <c r="F2952" s="3" t="s">
        <v>82</v>
      </c>
      <c r="G2952" s="3" t="s">
        <v>29</v>
      </c>
      <c r="H2952" s="2" t="s">
        <v>55</v>
      </c>
      <c r="I2952" s="2" t="s">
        <v>7710</v>
      </c>
      <c r="J2952" s="3" t="str">
        <f>HYPERLINK("https://www.boe.es/gazeta/dias/1809/04/11/pdfs/GGB-1809-16E.pdf#page=3","Abrir facsímil")</f>
        <v>Abrir facsímil</v>
      </c>
      <c r="K2952" s="3" t="s">
        <v>57</v>
      </c>
    </row>
    <row r="2953" spans="1:11" ht="42" customHeight="1">
      <c r="A2953" s="2" t="s">
        <v>7708</v>
      </c>
      <c r="B2953" s="2" t="s">
        <v>7709</v>
      </c>
      <c r="C2953" s="2" t="s">
        <v>25</v>
      </c>
      <c r="D2953" s="2" t="s">
        <v>80</v>
      </c>
      <c r="E2953" s="3" t="s">
        <v>81</v>
      </c>
      <c r="F2953" s="3" t="s">
        <v>82</v>
      </c>
      <c r="G2953" s="3" t="s">
        <v>623</v>
      </c>
      <c r="H2953" s="2" t="s">
        <v>55</v>
      </c>
      <c r="I2953" s="2" t="s">
        <v>7711</v>
      </c>
      <c r="J2953" s="3" t="str">
        <f>HYPERLINK("https://www.boe.es/gazeta/dias/1809/04/11/pdfs/GGB-1809-16E.pdf#page=6","Abrir facsímil")</f>
        <v>Abrir facsímil</v>
      </c>
      <c r="K2953" s="3" t="s">
        <v>57</v>
      </c>
    </row>
    <row r="2954" spans="1:11" ht="42" customHeight="1">
      <c r="A2954" s="2" t="s">
        <v>7708</v>
      </c>
      <c r="B2954" s="2" t="s">
        <v>7709</v>
      </c>
      <c r="C2954" s="2" t="s">
        <v>25</v>
      </c>
      <c r="D2954" s="2" t="s">
        <v>80</v>
      </c>
      <c r="E2954" s="3" t="s">
        <v>81</v>
      </c>
      <c r="F2954" s="3" t="s">
        <v>82</v>
      </c>
      <c r="G2954" s="3" t="s">
        <v>3332</v>
      </c>
      <c r="H2954" s="2" t="s">
        <v>55</v>
      </c>
      <c r="I2954" s="2" t="s">
        <v>7712</v>
      </c>
      <c r="J2954" s="3" t="str">
        <f>HYPERLINK("https://www.boe.es/gazeta/dias/1809/04/11/pdfs/GGB-1809-16E.pdf#page=8","Abrir facsímil")</f>
        <v>Abrir facsímil</v>
      </c>
      <c r="K2954" s="3" t="s">
        <v>57</v>
      </c>
    </row>
    <row r="2955" spans="1:11" ht="42" customHeight="1">
      <c r="A2955" s="2" t="s">
        <v>7713</v>
      </c>
      <c r="B2955" s="2" t="s">
        <v>7714</v>
      </c>
      <c r="C2955" s="2" t="s">
        <v>17</v>
      </c>
      <c r="D2955" s="2" t="s">
        <v>18</v>
      </c>
      <c r="E2955" s="3" t="s">
        <v>627</v>
      </c>
      <c r="F2955" s="3" t="s">
        <v>628</v>
      </c>
      <c r="G2955" s="3" t="s">
        <v>270</v>
      </c>
      <c r="H2955" s="2" t="s">
        <v>55</v>
      </c>
      <c r="I2955" s="2" t="s">
        <v>7715</v>
      </c>
      <c r="J2955" s="3" t="str">
        <f>HYPERLINK("https://www.boe.es/gazeta/dias/1809/08/28/pdfs/GMD-1809-241.pdf#page=3","Abrir facsímil")</f>
        <v>Abrir facsímil</v>
      </c>
      <c r="K2955" s="3" t="s">
        <v>57</v>
      </c>
    </row>
    <row r="2956" spans="1:11" ht="42" customHeight="1">
      <c r="A2956" s="2" t="s">
        <v>7716</v>
      </c>
      <c r="B2956" s="2" t="s">
        <v>7717</v>
      </c>
      <c r="C2956" s="2" t="s">
        <v>25</v>
      </c>
      <c r="D2956" s="2" t="s">
        <v>107</v>
      </c>
      <c r="E2956" s="3" t="s">
        <v>81</v>
      </c>
      <c r="F2956" s="3" t="s">
        <v>82</v>
      </c>
      <c r="G2956" s="3" t="s">
        <v>3332</v>
      </c>
      <c r="H2956" s="2" t="s">
        <v>55</v>
      </c>
      <c r="I2956" s="2" t="s">
        <v>7718</v>
      </c>
      <c r="J2956" s="3" t="str">
        <f>HYPERLINK("https://www.boe.es/gazeta/dias/1809/04/11/pdfs/GGB-1809-16E.pdf#page=8","Abrir facsímil")</f>
        <v>Abrir facsímil</v>
      </c>
      <c r="K2956" s="3" t="s">
        <v>57</v>
      </c>
    </row>
    <row r="2957" spans="1:11" ht="42" customHeight="1">
      <c r="A2957" s="2" t="s">
        <v>7719</v>
      </c>
      <c r="B2957" s="2" t="s">
        <v>7720</v>
      </c>
      <c r="C2957" s="2" t="s">
        <v>25</v>
      </c>
      <c r="D2957" s="2" t="s">
        <v>26</v>
      </c>
      <c r="E2957" s="3" t="s">
        <v>1288</v>
      </c>
      <c r="F2957" s="3" t="s">
        <v>1289</v>
      </c>
      <c r="G2957" s="3" t="s">
        <v>2559</v>
      </c>
      <c r="H2957" s="2" t="s">
        <v>55</v>
      </c>
      <c r="I2957" s="2" t="s">
        <v>7721</v>
      </c>
      <c r="J2957" s="3" t="str">
        <f>HYPERLINK("https://www.boe.es/gazeta/dias/1809/07/28/pdfs/GGB-1809-49.pdf#page=12","Abrir facsímil")</f>
        <v>Abrir facsímil</v>
      </c>
      <c r="K2957" s="3" t="s">
        <v>57</v>
      </c>
    </row>
    <row r="2958" spans="1:11" ht="42" customHeight="1">
      <c r="A2958" s="2" t="s">
        <v>7722</v>
      </c>
      <c r="B2958" s="2" t="s">
        <v>7723</v>
      </c>
      <c r="C2958" s="2" t="s">
        <v>79</v>
      </c>
      <c r="D2958" s="2" t="s">
        <v>18</v>
      </c>
      <c r="E2958" s="3" t="s">
        <v>327</v>
      </c>
      <c r="F2958" s="3" t="s">
        <v>328</v>
      </c>
      <c r="G2958" s="3" t="s">
        <v>329</v>
      </c>
      <c r="H2958" s="2" t="s">
        <v>55</v>
      </c>
      <c r="I2958" s="2" t="s">
        <v>7724</v>
      </c>
      <c r="J2958" s="3" t="str">
        <f>HYPERLINK("https://www.boe.es/gazeta/dias/1809/09/14/pdfs/GGB-1809-192.pdf#page=8","Abrir facsímil")</f>
        <v>Abrir facsímil</v>
      </c>
      <c r="K2958" s="3" t="s">
        <v>57</v>
      </c>
    </row>
    <row r="2959" spans="1:11" ht="42" customHeight="1">
      <c r="A2959" s="2" t="s">
        <v>7725</v>
      </c>
      <c r="B2959" s="2" t="s">
        <v>7726</v>
      </c>
      <c r="C2959" s="2" t="s">
        <v>17</v>
      </c>
      <c r="D2959" s="2" t="s">
        <v>18</v>
      </c>
      <c r="E2959" s="3" t="s">
        <v>1586</v>
      </c>
      <c r="F2959" s="3" t="s">
        <v>1587</v>
      </c>
      <c r="G2959" s="3" t="s">
        <v>1909</v>
      </c>
      <c r="H2959" s="2" t="s">
        <v>55</v>
      </c>
      <c r="I2959" s="2" t="s">
        <v>7727</v>
      </c>
      <c r="J2959" s="3" t="str">
        <f>HYPERLINK("https://www.boe.es/gazeta/dias/1809/02/20/pdfs/GMD-1809-51.pdf#page=4","Abrir facsímil")</f>
        <v>Abrir facsímil</v>
      </c>
      <c r="K2959" s="3" t="s">
        <v>57</v>
      </c>
    </row>
    <row r="2960" spans="1:11" ht="42" customHeight="1">
      <c r="A2960" s="2" t="s">
        <v>7728</v>
      </c>
      <c r="B2960" s="2" t="s">
        <v>7729</v>
      </c>
      <c r="C2960" s="2" t="s">
        <v>47</v>
      </c>
      <c r="D2960" s="2" t="s">
        <v>107</v>
      </c>
      <c r="E2960" s="3" t="s">
        <v>2845</v>
      </c>
      <c r="F2960" s="3" t="s">
        <v>2846</v>
      </c>
      <c r="G2960" s="3" t="s">
        <v>255</v>
      </c>
      <c r="H2960" s="2" t="s">
        <v>55</v>
      </c>
      <c r="I2960" s="2" t="s">
        <v>7730</v>
      </c>
      <c r="J2960" s="3" t="str">
        <f>HYPERLINK("https://www.boe.es/gazeta/dias/1809/11/23/pdfs/GGB-1809-492.pdf#page=1","Abrir facsímil")</f>
        <v>Abrir facsímil</v>
      </c>
      <c r="K2960" s="3" t="s">
        <v>57</v>
      </c>
    </row>
    <row r="2961" spans="1:11" ht="42" customHeight="1">
      <c r="A2961" s="2" t="s">
        <v>7731</v>
      </c>
      <c r="B2961" s="2" t="s">
        <v>7732</v>
      </c>
      <c r="C2961" s="2" t="s">
        <v>25</v>
      </c>
      <c r="D2961" s="2" t="s">
        <v>18</v>
      </c>
      <c r="E2961" s="3" t="s">
        <v>294</v>
      </c>
      <c r="F2961" s="3" t="s">
        <v>1360</v>
      </c>
      <c r="G2961" s="3" t="s">
        <v>2517</v>
      </c>
      <c r="H2961" s="2" t="s">
        <v>55</v>
      </c>
      <c r="I2961" s="2" t="s">
        <v>7733</v>
      </c>
      <c r="J2961" s="3" t="str">
        <f>HYPERLINK("https://www.boe.es/gazeta/dias/1809/09/30/pdfs/GGB-1809-262.pdf#page=1","Abrir facsímil")</f>
        <v>Abrir facsímil</v>
      </c>
      <c r="K2961" s="3" t="s">
        <v>57</v>
      </c>
    </row>
    <row r="2962" spans="1:11" ht="42" customHeight="1">
      <c r="A2962" s="2" t="s">
        <v>7734</v>
      </c>
      <c r="B2962" s="2" t="s">
        <v>7735</v>
      </c>
      <c r="C2962" s="2" t="s">
        <v>25</v>
      </c>
      <c r="D2962" s="2" t="s">
        <v>80</v>
      </c>
      <c r="E2962" s="3" t="s">
        <v>81</v>
      </c>
      <c r="F2962" s="3" t="s">
        <v>82</v>
      </c>
      <c r="G2962" s="3" t="s">
        <v>595</v>
      </c>
      <c r="H2962" s="2" t="s">
        <v>55</v>
      </c>
      <c r="I2962" s="2" t="s">
        <v>7736</v>
      </c>
      <c r="J2962" s="3" t="str">
        <f>HYPERLINK("https://www.boe.es/gazeta/dias/1809/04/11/pdfs/GGB-1809-16E.pdf#page=7","Abrir facsímil")</f>
        <v>Abrir facsímil</v>
      </c>
      <c r="K2962" s="3" t="s">
        <v>57</v>
      </c>
    </row>
    <row r="2963" spans="1:11" ht="42" customHeight="1">
      <c r="A2963" s="2" t="s">
        <v>7737</v>
      </c>
      <c r="B2963" s="2" t="s">
        <v>7738</v>
      </c>
      <c r="C2963" s="2" t="s">
        <v>25</v>
      </c>
      <c r="D2963" s="2" t="s">
        <v>26</v>
      </c>
      <c r="E2963" s="3" t="s">
        <v>173</v>
      </c>
      <c r="F2963" s="3" t="s">
        <v>7739</v>
      </c>
      <c r="G2963" s="3" t="s">
        <v>1452</v>
      </c>
      <c r="H2963" s="2" t="s">
        <v>55</v>
      </c>
      <c r="I2963" s="2" t="s">
        <v>7740</v>
      </c>
      <c r="J2963" s="3" t="str">
        <f>HYPERLINK("https://www.boe.es/gazeta/dias/1809/09/12/pdfs/GMD-1809-256.pdf#page=1","Abrir facsímil")</f>
        <v>Abrir facsímil</v>
      </c>
      <c r="K2963" s="3" t="s">
        <v>57</v>
      </c>
    </row>
    <row r="2964" spans="1:11" ht="42" customHeight="1">
      <c r="A2964" s="2" t="s">
        <v>7741</v>
      </c>
      <c r="B2964" s="2" t="s">
        <v>7742</v>
      </c>
      <c r="C2964" s="2" t="s">
        <v>79</v>
      </c>
      <c r="D2964" s="2" t="s">
        <v>18</v>
      </c>
      <c r="E2964" s="3" t="s">
        <v>2473</v>
      </c>
      <c r="F2964" s="3" t="s">
        <v>2474</v>
      </c>
      <c r="G2964" s="3" t="s">
        <v>29</v>
      </c>
      <c r="H2964" s="2" t="s">
        <v>55</v>
      </c>
      <c r="I2964" s="2" t="s">
        <v>7743</v>
      </c>
      <c r="J2964" s="3" t="str">
        <f>HYPERLINK("https://www.boe.es/gazeta/dias/1809/02/16/pdfs/GMD-1809-47.pdf#page=3","Abrir facsímil")</f>
        <v>Abrir facsímil</v>
      </c>
      <c r="K2964" s="3" t="s">
        <v>57</v>
      </c>
    </row>
    <row r="2965" spans="1:11" ht="42" customHeight="1">
      <c r="A2965" s="2" t="s">
        <v>7744</v>
      </c>
      <c r="B2965" s="2" t="s">
        <v>7745</v>
      </c>
      <c r="C2965" s="2" t="s">
        <v>25</v>
      </c>
      <c r="D2965" s="2" t="s">
        <v>80</v>
      </c>
      <c r="E2965" s="3" t="s">
        <v>179</v>
      </c>
      <c r="F2965" s="3" t="s">
        <v>180</v>
      </c>
      <c r="G2965" s="3" t="s">
        <v>966</v>
      </c>
      <c r="H2965" s="2" t="s">
        <v>55</v>
      </c>
      <c r="I2965" s="2" t="s">
        <v>7746</v>
      </c>
      <c r="J2965" s="3" t="str">
        <f>HYPERLINK("https://www.boe.es/gazeta/dias/1809/12/08/pdfs/GGB-1809-552E.pdf#page=3","Abrir facsímil")</f>
        <v>Abrir facsímil</v>
      </c>
      <c r="K2965" s="3" t="s">
        <v>57</v>
      </c>
    </row>
    <row r="2966" spans="1:11" ht="42" customHeight="1">
      <c r="A2966" s="2" t="s">
        <v>7747</v>
      </c>
      <c r="B2966" s="2" t="s">
        <v>7748</v>
      </c>
      <c r="C2966" s="2" t="s">
        <v>17</v>
      </c>
      <c r="D2966" s="2" t="s">
        <v>18</v>
      </c>
      <c r="E2966" s="3" t="s">
        <v>33</v>
      </c>
      <c r="F2966" s="3" t="s">
        <v>34</v>
      </c>
      <c r="G2966" s="3" t="s">
        <v>35</v>
      </c>
      <c r="H2966" s="2" t="s">
        <v>55</v>
      </c>
      <c r="I2966" s="2" t="s">
        <v>7749</v>
      </c>
      <c r="J2966" s="3" t="str">
        <f>HYPERLINK("https://www.boe.es/gazeta/dias/1809/12/19/pdfs/GGB-1809-602.pdf#page=5","Abrir facsímil")</f>
        <v>Abrir facsímil</v>
      </c>
      <c r="K2966" s="3" t="s">
        <v>57</v>
      </c>
    </row>
    <row r="2967" spans="1:11" ht="42" customHeight="1">
      <c r="A2967" s="2" t="s">
        <v>7750</v>
      </c>
      <c r="B2967" s="2" t="s">
        <v>7751</v>
      </c>
      <c r="C2967" s="2" t="s">
        <v>17</v>
      </c>
      <c r="D2967" s="2" t="s">
        <v>18</v>
      </c>
      <c r="E2967" s="3" t="s">
        <v>548</v>
      </c>
      <c r="F2967" s="3" t="s">
        <v>549</v>
      </c>
      <c r="G2967" s="3" t="s">
        <v>316</v>
      </c>
      <c r="H2967" s="2" t="s">
        <v>55</v>
      </c>
      <c r="I2967" s="2" t="s">
        <v>7752</v>
      </c>
      <c r="J2967" s="3" t="str">
        <f>HYPERLINK("https://www.boe.es/gazeta/dias/1809/03/12/pdfs/GMD-1809-71.pdf#page=4","Abrir facsímil")</f>
        <v>Abrir facsímil</v>
      </c>
      <c r="K2967" s="3" t="s">
        <v>57</v>
      </c>
    </row>
    <row r="2968" spans="1:11" ht="42" customHeight="1">
      <c r="A2968" s="2" t="s">
        <v>7753</v>
      </c>
      <c r="B2968" s="2" t="s">
        <v>7754</v>
      </c>
      <c r="C2968" s="2" t="s">
        <v>17</v>
      </c>
      <c r="D2968" s="2" t="s">
        <v>72</v>
      </c>
      <c r="E2968" s="3" t="s">
        <v>243</v>
      </c>
      <c r="F2968" s="3" t="s">
        <v>244</v>
      </c>
      <c r="G2968" s="3" t="s">
        <v>525</v>
      </c>
      <c r="H2968" s="2" t="s">
        <v>55</v>
      </c>
      <c r="I2968" s="2" t="s">
        <v>7755</v>
      </c>
      <c r="J2968" s="3" t="str">
        <f>HYPERLINK("https://www.boe.es/gazeta/dias/1809/02/17/pdfs/GGB-G-1809-8.pdf#page=4","Abrir facsímil")</f>
        <v>Abrir facsímil</v>
      </c>
      <c r="K2968" s="3" t="s">
        <v>57</v>
      </c>
    </row>
    <row r="2969" spans="1:11" ht="42" customHeight="1">
      <c r="A2969" s="2" t="s">
        <v>7756</v>
      </c>
      <c r="B2969" s="2" t="s">
        <v>7757</v>
      </c>
      <c r="C2969" s="2" t="s">
        <v>17</v>
      </c>
      <c r="D2969" s="2" t="s">
        <v>18</v>
      </c>
      <c r="E2969" s="3" t="s">
        <v>864</v>
      </c>
      <c r="F2969" s="3" t="s">
        <v>865</v>
      </c>
      <c r="G2969" s="3" t="s">
        <v>225</v>
      </c>
      <c r="H2969" s="2" t="s">
        <v>55</v>
      </c>
      <c r="I2969" s="2" t="s">
        <v>7758</v>
      </c>
      <c r="J2969" s="3" t="str">
        <f>HYPERLINK("https://www.boe.es/gazeta/dias/1809/08/31/pdfs/GMD-1809-244.pdf#page=4","Abrir facsímil")</f>
        <v>Abrir facsímil</v>
      </c>
      <c r="K2969" s="3" t="s">
        <v>57</v>
      </c>
    </row>
    <row r="2970" spans="1:11" ht="42" customHeight="1">
      <c r="A2970" s="2" t="s">
        <v>7759</v>
      </c>
      <c r="B2970" s="2" t="s">
        <v>7760</v>
      </c>
      <c r="C2970" s="2" t="s">
        <v>25</v>
      </c>
      <c r="D2970" s="2" t="s">
        <v>26</v>
      </c>
      <c r="E2970" s="3" t="s">
        <v>1011</v>
      </c>
      <c r="F2970" s="3" t="s">
        <v>1012</v>
      </c>
      <c r="G2970" s="3" t="s">
        <v>75</v>
      </c>
      <c r="H2970" s="2" t="s">
        <v>22</v>
      </c>
      <c r="I2970" s="2" t="s">
        <v>7761</v>
      </c>
      <c r="J2970" s="3" t="str">
        <f>HYPERLINK("https://www.boe.es/gazeta/dias/1809/08/01/pdfs/GGB-1809-50.pdf#page=6","Abrir facsímil")</f>
        <v>Abrir facsímil</v>
      </c>
      <c r="K2970" s="3" t="s">
        <v>24</v>
      </c>
    </row>
    <row r="2971" spans="1:11" ht="42" customHeight="1">
      <c r="A2971" s="2" t="s">
        <v>7762</v>
      </c>
      <c r="B2971" s="2" t="s">
        <v>7763</v>
      </c>
      <c r="C2971" s="2" t="s">
        <v>17</v>
      </c>
      <c r="D2971" s="2" t="s">
        <v>107</v>
      </c>
      <c r="E2971" s="3" t="s">
        <v>243</v>
      </c>
      <c r="F2971" s="3" t="s">
        <v>244</v>
      </c>
      <c r="G2971" s="3" t="s">
        <v>120</v>
      </c>
      <c r="H2971" s="2" t="s">
        <v>55</v>
      </c>
      <c r="I2971" s="2" t="s">
        <v>7764</v>
      </c>
      <c r="J2971" s="3" t="str">
        <f>HYPERLINK("https://www.boe.es/gazeta/dias/1809/02/17/pdfs/GGB-G-1809-8.pdf#page=2","Abrir facsímil")</f>
        <v>Abrir facsímil</v>
      </c>
      <c r="K2971" s="3" t="s">
        <v>57</v>
      </c>
    </row>
    <row r="2972" spans="1:11" ht="42" customHeight="1">
      <c r="A2972" s="2" t="s">
        <v>7765</v>
      </c>
      <c r="B2972" s="2" t="s">
        <v>7766</v>
      </c>
      <c r="C2972" s="2" t="s">
        <v>17</v>
      </c>
      <c r="D2972" s="2" t="s">
        <v>18</v>
      </c>
      <c r="E2972" s="3" t="s">
        <v>33</v>
      </c>
      <c r="F2972" s="3" t="s">
        <v>34</v>
      </c>
      <c r="G2972" s="3" t="s">
        <v>595</v>
      </c>
      <c r="H2972" s="2" t="s">
        <v>55</v>
      </c>
      <c r="I2972" s="2" t="s">
        <v>7767</v>
      </c>
      <c r="J2972" s="3" t="str">
        <f>HYPERLINK("https://www.boe.es/gazeta/dias/1809/12/19/pdfs/GGB-1809-602.pdf#page=7","Abrir facsímil")</f>
        <v>Abrir facsímil</v>
      </c>
      <c r="K2972" s="3" t="s">
        <v>57</v>
      </c>
    </row>
    <row r="2973" spans="1:11" ht="42" customHeight="1">
      <c r="A2973" s="2" t="s">
        <v>7768</v>
      </c>
      <c r="B2973" s="2" t="s">
        <v>7769</v>
      </c>
      <c r="C2973" s="2" t="s">
        <v>25</v>
      </c>
      <c r="D2973" s="2" t="s">
        <v>26</v>
      </c>
      <c r="E2973" s="3" t="s">
        <v>1288</v>
      </c>
      <c r="F2973" s="3" t="s">
        <v>1289</v>
      </c>
      <c r="G2973" s="3" t="s">
        <v>270</v>
      </c>
      <c r="H2973" s="2" t="s">
        <v>55</v>
      </c>
      <c r="I2973" s="2" t="s">
        <v>7770</v>
      </c>
      <c r="J2973" s="3" t="str">
        <f>HYPERLINK("https://www.boe.es/gazeta/dias/1809/07/28/pdfs/GGB-1809-49.pdf#page=7","Abrir facsímil")</f>
        <v>Abrir facsímil</v>
      </c>
      <c r="K2973" s="3" t="s">
        <v>57</v>
      </c>
    </row>
    <row r="2974" spans="1:11" ht="42" customHeight="1">
      <c r="A2974" s="2" t="s">
        <v>7771</v>
      </c>
      <c r="B2974" s="2" t="s">
        <v>7772</v>
      </c>
      <c r="C2974" s="2" t="s">
        <v>17</v>
      </c>
      <c r="D2974" s="2" t="s">
        <v>18</v>
      </c>
      <c r="E2974" s="3" t="s">
        <v>73</v>
      </c>
      <c r="F2974" s="3" t="s">
        <v>1045</v>
      </c>
      <c r="G2974" s="3" t="s">
        <v>89</v>
      </c>
      <c r="H2974" s="2" t="s">
        <v>55</v>
      </c>
      <c r="I2974" s="2" t="s">
        <v>7773</v>
      </c>
      <c r="J2974" s="3" t="str">
        <f>HYPERLINK("https://www.boe.es/gazeta/dias/1809/09/21/pdfs/GMD-1809-265.pdf#page=3","Abrir facsímil")</f>
        <v>Abrir facsímil</v>
      </c>
      <c r="K2974" s="3" t="s">
        <v>57</v>
      </c>
    </row>
    <row r="2975" spans="1:11" ht="42" customHeight="1">
      <c r="A2975" s="2" t="s">
        <v>7774</v>
      </c>
      <c r="B2975" s="2" t="s">
        <v>7775</v>
      </c>
      <c r="C2975" s="2" t="s">
        <v>25</v>
      </c>
      <c r="D2975" s="2" t="s">
        <v>18</v>
      </c>
      <c r="E2975" s="3" t="s">
        <v>3521</v>
      </c>
      <c r="F2975" s="3" t="s">
        <v>3522</v>
      </c>
      <c r="G2975" s="3" t="s">
        <v>110</v>
      </c>
      <c r="H2975" s="2" t="s">
        <v>55</v>
      </c>
      <c r="I2975" s="2" t="s">
        <v>7776</v>
      </c>
      <c r="J2975" s="3" t="str">
        <f>HYPERLINK("https://www.boe.es/gazeta/dias/1809/02/24/pdfs/GGB-1809-9.pdf#page=6","Abrir facsímil")</f>
        <v>Abrir facsímil</v>
      </c>
      <c r="K2975" s="3" t="s">
        <v>57</v>
      </c>
    </row>
    <row r="2976" spans="1:11" ht="42" customHeight="1">
      <c r="A2976" s="2" t="s">
        <v>7777</v>
      </c>
      <c r="B2976" s="2" t="s">
        <v>7778</v>
      </c>
      <c r="C2976" s="2" t="s">
        <v>369</v>
      </c>
      <c r="D2976" s="2" t="s">
        <v>40</v>
      </c>
      <c r="E2976" s="3" t="s">
        <v>925</v>
      </c>
      <c r="F2976" s="3" t="s">
        <v>3924</v>
      </c>
      <c r="G2976" s="3" t="s">
        <v>75</v>
      </c>
      <c r="H2976" s="2" t="s">
        <v>55</v>
      </c>
      <c r="I2976" s="2" t="s">
        <v>7779</v>
      </c>
      <c r="J2976" s="3" t="str">
        <f>HYPERLINK("https://www.boe.es/gazeta/dias/1809/01/11/pdfs/GGB-1809-2E.pdf#page=3","Abrir facsímil")</f>
        <v>Abrir facsímil</v>
      </c>
      <c r="K2976" s="3" t="s">
        <v>57</v>
      </c>
    </row>
    <row r="2977" spans="1:11" ht="42" customHeight="1">
      <c r="A2977" s="2" t="s">
        <v>7780</v>
      </c>
      <c r="B2977" s="2" t="s">
        <v>7781</v>
      </c>
      <c r="C2977" s="2" t="s">
        <v>288</v>
      </c>
      <c r="D2977" s="2" t="s">
        <v>80</v>
      </c>
      <c r="E2977" s="3" t="s">
        <v>179</v>
      </c>
      <c r="F2977" s="3" t="s">
        <v>180</v>
      </c>
      <c r="G2977" s="3" t="s">
        <v>239</v>
      </c>
      <c r="H2977" s="2" t="s">
        <v>55</v>
      </c>
      <c r="I2977" s="2" t="s">
        <v>7782</v>
      </c>
      <c r="J2977" s="3" t="str">
        <f>HYPERLINK("https://www.boe.es/gazeta/dias/1809/12/08/pdfs/GGB-1809-552E.pdf#page=2","Abrir facsímil")</f>
        <v>Abrir facsímil</v>
      </c>
      <c r="K2977" s="3" t="s">
        <v>57</v>
      </c>
    </row>
    <row r="2978" spans="1:11" ht="42" customHeight="1">
      <c r="A2978" s="2" t="s">
        <v>7783</v>
      </c>
      <c r="B2978" s="2" t="s">
        <v>7784</v>
      </c>
      <c r="C2978" s="2" t="s">
        <v>131</v>
      </c>
      <c r="D2978" s="2" t="s">
        <v>18</v>
      </c>
      <c r="E2978" s="3" t="s">
        <v>755</v>
      </c>
      <c r="F2978" s="3" t="s">
        <v>756</v>
      </c>
      <c r="G2978" s="3" t="s">
        <v>525</v>
      </c>
      <c r="H2978" s="2" t="s">
        <v>55</v>
      </c>
      <c r="I2978" s="2" t="s">
        <v>7785</v>
      </c>
      <c r="J2978" s="3" t="str">
        <f>HYPERLINK("https://www.boe.es/gazeta/dias/1809/05/20/pdfs/GMD-1809-140.pdf#page=4","Abrir facsímil")</f>
        <v>Abrir facsímil</v>
      </c>
      <c r="K2978" s="3" t="s">
        <v>57</v>
      </c>
    </row>
    <row r="2979" spans="1:11" ht="42" customHeight="1">
      <c r="A2979" s="2" t="s">
        <v>7786</v>
      </c>
      <c r="B2979" s="2" t="s">
        <v>7787</v>
      </c>
      <c r="C2979" s="2" t="s">
        <v>25</v>
      </c>
      <c r="D2979" s="2" t="s">
        <v>40</v>
      </c>
      <c r="E2979" s="3" t="s">
        <v>925</v>
      </c>
      <c r="F2979" s="3" t="s">
        <v>926</v>
      </c>
      <c r="G2979" s="3" t="s">
        <v>62</v>
      </c>
      <c r="H2979" s="2" t="s">
        <v>55</v>
      </c>
      <c r="I2979" s="2" t="s">
        <v>7788</v>
      </c>
      <c r="J2979" s="3" t="str">
        <f>HYPERLINK("https://www.boe.es/gazeta/dias/1809/01/11/pdfs/GGB-1809-2.pdf#page=6","Abrir facsímil")</f>
        <v>Abrir facsímil</v>
      </c>
      <c r="K2979" s="3" t="s">
        <v>57</v>
      </c>
    </row>
    <row r="2980" spans="1:11" ht="42" customHeight="1">
      <c r="A2980" s="2" t="s">
        <v>7786</v>
      </c>
      <c r="B2980" s="2" t="s">
        <v>7787</v>
      </c>
      <c r="C2980" s="2" t="s">
        <v>17</v>
      </c>
      <c r="D2980" s="2" t="s">
        <v>18</v>
      </c>
      <c r="E2980" s="3" t="s">
        <v>925</v>
      </c>
      <c r="F2980" s="3" t="s">
        <v>926</v>
      </c>
      <c r="G2980" s="3" t="s">
        <v>595</v>
      </c>
      <c r="H2980" s="2" t="s">
        <v>55</v>
      </c>
      <c r="I2980" s="2" t="s">
        <v>7789</v>
      </c>
      <c r="J2980" s="3" t="str">
        <f>HYPERLINK("https://www.boe.es/gazeta/dias/1809/01/11/pdfs/GGB-1809-2.pdf#page=7","Abrir facsímil")</f>
        <v>Abrir facsímil</v>
      </c>
      <c r="K2980" s="3" t="s">
        <v>57</v>
      </c>
    </row>
    <row r="2981" spans="1:11" ht="42" customHeight="1">
      <c r="A2981" s="2" t="s">
        <v>7790</v>
      </c>
      <c r="B2981" s="2" t="s">
        <v>7791</v>
      </c>
      <c r="C2981" s="2" t="s">
        <v>17</v>
      </c>
      <c r="D2981" s="2" t="s">
        <v>18</v>
      </c>
      <c r="E2981" s="3" t="s">
        <v>2473</v>
      </c>
      <c r="F2981" s="3" t="s">
        <v>2474</v>
      </c>
      <c r="G2981" s="3" t="s">
        <v>29</v>
      </c>
      <c r="H2981" s="2" t="s">
        <v>55</v>
      </c>
      <c r="I2981" s="2" t="s">
        <v>7792</v>
      </c>
      <c r="J2981" s="3" t="str">
        <f>HYPERLINK("https://www.boe.es/gazeta/dias/1809/02/16/pdfs/GMD-1809-47.pdf#page=3","Abrir facsímil")</f>
        <v>Abrir facsímil</v>
      </c>
      <c r="K2981" s="3" t="s">
        <v>57</v>
      </c>
    </row>
    <row r="2982" spans="1:11" ht="42" customHeight="1">
      <c r="A2982" s="2" t="s">
        <v>7793</v>
      </c>
      <c r="B2982" s="2" t="s">
        <v>7794</v>
      </c>
      <c r="C2982" s="2" t="s">
        <v>25</v>
      </c>
      <c r="D2982" s="2" t="s">
        <v>80</v>
      </c>
      <c r="E2982" s="3" t="s">
        <v>179</v>
      </c>
      <c r="F2982" s="3" t="s">
        <v>180</v>
      </c>
      <c r="G2982" s="3" t="s">
        <v>966</v>
      </c>
      <c r="H2982" s="2" t="s">
        <v>55</v>
      </c>
      <c r="I2982" s="2" t="s">
        <v>7795</v>
      </c>
      <c r="J2982" s="3" t="str">
        <f>HYPERLINK("https://www.boe.es/gazeta/dias/1809/12/08/pdfs/GGB-1809-552E.pdf#page=3","Abrir facsímil")</f>
        <v>Abrir facsímil</v>
      </c>
      <c r="K2982" s="3" t="s">
        <v>57</v>
      </c>
    </row>
    <row r="2983" spans="1:11" ht="42" customHeight="1">
      <c r="A2983" s="2" t="s">
        <v>7796</v>
      </c>
      <c r="B2983" s="2" t="s">
        <v>7797</v>
      </c>
      <c r="C2983" s="2" t="s">
        <v>17</v>
      </c>
      <c r="D2983" s="2" t="s">
        <v>18</v>
      </c>
      <c r="E2983" s="3" t="s">
        <v>1586</v>
      </c>
      <c r="F2983" s="3" t="s">
        <v>1587</v>
      </c>
      <c r="G2983" s="3" t="s">
        <v>1909</v>
      </c>
      <c r="H2983" s="2" t="s">
        <v>55</v>
      </c>
      <c r="I2983" s="2" t="s">
        <v>7798</v>
      </c>
      <c r="J2983" s="3" t="str">
        <f>HYPERLINK("https://www.boe.es/gazeta/dias/1809/02/20/pdfs/GMD-1809-51.pdf#page=4","Abrir facsímil")</f>
        <v>Abrir facsímil</v>
      </c>
      <c r="K2983" s="3" t="s">
        <v>57</v>
      </c>
    </row>
    <row r="2984" spans="1:11" ht="42" customHeight="1">
      <c r="A2984" s="2" t="s">
        <v>7799</v>
      </c>
      <c r="B2984" s="2" t="s">
        <v>7800</v>
      </c>
      <c r="C2984" s="2" t="s">
        <v>25</v>
      </c>
      <c r="D2984" s="2" t="s">
        <v>18</v>
      </c>
      <c r="E2984" s="3" t="s">
        <v>108</v>
      </c>
      <c r="F2984" s="3" t="s">
        <v>109</v>
      </c>
      <c r="G2984" s="3" t="s">
        <v>110</v>
      </c>
      <c r="H2984" s="2" t="s">
        <v>55</v>
      </c>
      <c r="I2984" s="2" t="s">
        <v>7801</v>
      </c>
      <c r="J2984" s="3" t="str">
        <f>HYPERLINK("https://www.boe.es/gazeta/dias/1809/09/08/pdfs/GMD-1809-252.pdf#page=2","Abrir facsímil")</f>
        <v>Abrir facsímil</v>
      </c>
      <c r="K2984" s="3" t="s">
        <v>57</v>
      </c>
    </row>
    <row r="2985" spans="1:11" ht="42" customHeight="1">
      <c r="A2985" s="2" t="s">
        <v>7802</v>
      </c>
      <c r="B2985" s="2" t="s">
        <v>7803</v>
      </c>
      <c r="C2985" s="2" t="s">
        <v>17</v>
      </c>
      <c r="D2985" s="2" t="s">
        <v>18</v>
      </c>
      <c r="E2985" s="3" t="s">
        <v>33</v>
      </c>
      <c r="F2985" s="3" t="s">
        <v>34</v>
      </c>
      <c r="G2985" s="3" t="s">
        <v>493</v>
      </c>
      <c r="H2985" s="2" t="s">
        <v>55</v>
      </c>
      <c r="I2985" s="2" t="s">
        <v>7804</v>
      </c>
      <c r="J2985" s="3" t="str">
        <f>HYPERLINK("https://www.boe.es/gazeta/dias/1809/12/19/pdfs/GGB-1809-602.pdf#page=6","Abrir facsímil")</f>
        <v>Abrir facsímil</v>
      </c>
      <c r="K2985" s="3" t="s">
        <v>57</v>
      </c>
    </row>
    <row r="2986" spans="1:11" ht="42" customHeight="1">
      <c r="A2986" s="2" t="s">
        <v>7805</v>
      </c>
      <c r="B2986" s="2" t="s">
        <v>7805</v>
      </c>
      <c r="C2986" s="2" t="s">
        <v>25</v>
      </c>
      <c r="D2986" s="2" t="s">
        <v>18</v>
      </c>
      <c r="E2986" s="3" t="s">
        <v>1736</v>
      </c>
      <c r="F2986" s="3" t="s">
        <v>1737</v>
      </c>
      <c r="G2986" s="3" t="s">
        <v>1293</v>
      </c>
      <c r="H2986" s="2" t="s">
        <v>55</v>
      </c>
      <c r="I2986" s="2" t="s">
        <v>7806</v>
      </c>
      <c r="J2986" s="3" t="str">
        <f>HYPERLINK("https://www.boe.es/gazeta/dias/1809/02/28/pdfs/GMD-1809-59.pdf#page=2","Abrir facsímil")</f>
        <v>Abrir facsímil</v>
      </c>
      <c r="K2986" s="3" t="s">
        <v>57</v>
      </c>
    </row>
    <row r="2987" spans="1:11" ht="42" customHeight="1">
      <c r="A2987" s="2" t="s">
        <v>7805</v>
      </c>
      <c r="B2987" s="2" t="s">
        <v>7805</v>
      </c>
      <c r="C2987" s="2" t="s">
        <v>131</v>
      </c>
      <c r="D2987" s="2" t="s">
        <v>18</v>
      </c>
      <c r="E2987" s="3" t="s">
        <v>1872</v>
      </c>
      <c r="F2987" s="3" t="s">
        <v>1873</v>
      </c>
      <c r="G2987" s="3" t="s">
        <v>1880</v>
      </c>
      <c r="H2987" s="2" t="s">
        <v>55</v>
      </c>
      <c r="I2987" s="2" t="s">
        <v>7807</v>
      </c>
      <c r="J2987" s="3" t="str">
        <f>HYPERLINK("https://www.boe.es/gazeta/dias/1809/11/07/pdfs/GGB-1809-422.pdf#page=8","Abrir facsímil")</f>
        <v>Abrir facsímil</v>
      </c>
      <c r="K2987" s="3" t="s">
        <v>57</v>
      </c>
    </row>
    <row r="2988" spans="1:11" ht="42" customHeight="1">
      <c r="A2988" s="2" t="s">
        <v>7808</v>
      </c>
      <c r="B2988" s="2" t="s">
        <v>7809</v>
      </c>
      <c r="C2988" s="2" t="s">
        <v>79</v>
      </c>
      <c r="D2988" s="2" t="s">
        <v>18</v>
      </c>
      <c r="E2988" s="3" t="s">
        <v>327</v>
      </c>
      <c r="F2988" s="3" t="s">
        <v>328</v>
      </c>
      <c r="G2988" s="3" t="s">
        <v>329</v>
      </c>
      <c r="H2988" s="2" t="s">
        <v>55</v>
      </c>
      <c r="I2988" s="2" t="s">
        <v>7810</v>
      </c>
      <c r="J2988" s="3" t="str">
        <f>HYPERLINK("https://www.boe.es/gazeta/dias/1809/09/14/pdfs/GGB-1809-192.pdf#page=8","Abrir facsímil")</f>
        <v>Abrir facsímil</v>
      </c>
      <c r="K2988" s="3" t="s">
        <v>57</v>
      </c>
    </row>
    <row r="2989" spans="1:11" ht="42" customHeight="1">
      <c r="A2989" s="2" t="s">
        <v>7811</v>
      </c>
      <c r="B2989" s="2" t="s">
        <v>7812</v>
      </c>
      <c r="C2989" s="2" t="s">
        <v>17</v>
      </c>
      <c r="D2989" s="2" t="s">
        <v>72</v>
      </c>
      <c r="E2989" s="3" t="s">
        <v>243</v>
      </c>
      <c r="F2989" s="3" t="s">
        <v>244</v>
      </c>
      <c r="G2989" s="3" t="s">
        <v>110</v>
      </c>
      <c r="H2989" s="2" t="s">
        <v>55</v>
      </c>
      <c r="I2989" s="2" t="s">
        <v>7813</v>
      </c>
      <c r="J2989" s="3" t="str">
        <f>HYPERLINK("https://www.boe.es/gazeta/dias/1809/02/17/pdfs/GGB-G-1809-8.pdf#page=5","Abrir facsímil")</f>
        <v>Abrir facsímil</v>
      </c>
      <c r="K2989" s="3" t="s">
        <v>57</v>
      </c>
    </row>
    <row r="2990" spans="1:11" ht="42" customHeight="1">
      <c r="A2990" s="2" t="s">
        <v>7814</v>
      </c>
      <c r="B2990" s="2" t="s">
        <v>7815</v>
      </c>
      <c r="C2990" s="2" t="s">
        <v>17</v>
      </c>
      <c r="D2990" s="2" t="s">
        <v>18</v>
      </c>
      <c r="E2990" s="3" t="s">
        <v>33</v>
      </c>
      <c r="F2990" s="3" t="s">
        <v>34</v>
      </c>
      <c r="G2990" s="3" t="s">
        <v>493</v>
      </c>
      <c r="H2990" s="2" t="s">
        <v>55</v>
      </c>
      <c r="I2990" s="2" t="s">
        <v>7816</v>
      </c>
      <c r="J2990" s="3" t="str">
        <f>HYPERLINK("https://www.boe.es/gazeta/dias/1809/12/19/pdfs/GGB-1809-602.pdf#page=6","Abrir facsímil")</f>
        <v>Abrir facsímil</v>
      </c>
      <c r="K2990" s="3" t="s">
        <v>57</v>
      </c>
    </row>
    <row r="2991" spans="1:11" ht="42" customHeight="1">
      <c r="A2991" s="2" t="s">
        <v>7817</v>
      </c>
      <c r="B2991" s="2" t="s">
        <v>7817</v>
      </c>
      <c r="C2991" s="2" t="s">
        <v>25</v>
      </c>
      <c r="D2991" s="2" t="s">
        <v>18</v>
      </c>
      <c r="E2991" s="3" t="s">
        <v>163</v>
      </c>
      <c r="F2991" s="3" t="s">
        <v>7818</v>
      </c>
      <c r="G2991" s="3" t="s">
        <v>7819</v>
      </c>
      <c r="H2991" s="2" t="s">
        <v>55</v>
      </c>
      <c r="I2991" s="2" t="s">
        <v>7820</v>
      </c>
      <c r="J2991" s="3" t="str">
        <f>HYPERLINK("https://www.boe.es/gazeta/dias/1809/03/10/pdfs/GMD-1809-69.pdf#page=1","Abrir facsímil")</f>
        <v>Abrir facsímil</v>
      </c>
      <c r="K2991" s="3" t="s">
        <v>57</v>
      </c>
    </row>
    <row r="2992" spans="1:11" ht="42" customHeight="1">
      <c r="A2992" s="2" t="s">
        <v>7817</v>
      </c>
      <c r="B2992" s="2" t="s">
        <v>7817</v>
      </c>
      <c r="C2992" s="2" t="s">
        <v>25</v>
      </c>
      <c r="D2992" s="2" t="s">
        <v>18</v>
      </c>
      <c r="E2992" s="3" t="s">
        <v>163</v>
      </c>
      <c r="F2992" s="3" t="s">
        <v>7818</v>
      </c>
      <c r="G2992" s="3" t="s">
        <v>129</v>
      </c>
      <c r="H2992" s="2" t="s">
        <v>55</v>
      </c>
      <c r="I2992" s="2" t="s">
        <v>7821</v>
      </c>
      <c r="J2992" s="3" t="str">
        <f>HYPERLINK("https://www.boe.es/gazeta/dias/1809/03/10/pdfs/GMD-1809-69.pdf#page=2","Abrir facsímil")</f>
        <v>Abrir facsímil</v>
      </c>
      <c r="K2992" s="3" t="s">
        <v>57</v>
      </c>
    </row>
    <row r="2993" spans="1:11" ht="42" customHeight="1">
      <c r="A2993" s="2" t="s">
        <v>7817</v>
      </c>
      <c r="B2993" s="2" t="s">
        <v>7817</v>
      </c>
      <c r="C2993" s="2" t="s">
        <v>25</v>
      </c>
      <c r="D2993" s="2" t="s">
        <v>18</v>
      </c>
      <c r="E2993" s="3" t="s">
        <v>2244</v>
      </c>
      <c r="F2993" s="3" t="s">
        <v>7822</v>
      </c>
      <c r="G2993" s="3" t="s">
        <v>3808</v>
      </c>
      <c r="H2993" s="2" t="s">
        <v>55</v>
      </c>
      <c r="I2993" s="2" t="s">
        <v>7823</v>
      </c>
      <c r="J2993" s="3" t="str">
        <f>HYPERLINK("https://www.boe.es/gazeta/dias/1809/03/27/pdfs/GMD-1809-86.pdf#page=3","Abrir facsímil")</f>
        <v>Abrir facsímil</v>
      </c>
      <c r="K2993" s="3" t="s">
        <v>57</v>
      </c>
    </row>
    <row r="2994" spans="1:11" ht="42" customHeight="1">
      <c r="A2994" s="2" t="s">
        <v>7817</v>
      </c>
      <c r="B2994" s="2" t="s">
        <v>7817</v>
      </c>
      <c r="C2994" s="2" t="s">
        <v>79</v>
      </c>
      <c r="D2994" s="2" t="s">
        <v>18</v>
      </c>
      <c r="E2994" s="3" t="s">
        <v>3764</v>
      </c>
      <c r="F2994" s="3" t="s">
        <v>3765</v>
      </c>
      <c r="G2994" s="3" t="s">
        <v>7824</v>
      </c>
      <c r="H2994" s="2" t="s">
        <v>55</v>
      </c>
      <c r="I2994" s="2" t="s">
        <v>7825</v>
      </c>
      <c r="J2994" s="3" t="str">
        <f>HYPERLINK("https://www.boe.es/gazeta/dias/1809/03/28/pdfs/GMD-1809-87.pdf#page=4","Abrir facsímil")</f>
        <v>Abrir facsímil</v>
      </c>
      <c r="K2994" s="3" t="s">
        <v>57</v>
      </c>
    </row>
    <row r="2995" spans="1:11" ht="42" customHeight="1">
      <c r="A2995" s="2" t="s">
        <v>7826</v>
      </c>
      <c r="B2995" s="2" t="s">
        <v>7826</v>
      </c>
      <c r="C2995" s="2" t="s">
        <v>25</v>
      </c>
      <c r="D2995" s="2" t="s">
        <v>40</v>
      </c>
      <c r="E2995" s="3" t="s">
        <v>3265</v>
      </c>
      <c r="F2995" s="3" t="s">
        <v>3268</v>
      </c>
      <c r="G2995" s="3" t="s">
        <v>1702</v>
      </c>
      <c r="H2995" s="2" t="s">
        <v>55</v>
      </c>
      <c r="I2995" s="2" t="s">
        <v>7827</v>
      </c>
      <c r="J2995" s="3" t="str">
        <f>HYPERLINK("https://www.boe.es/gazeta/dias/1809/07/31/pdfs/GGB-1809-49E.pdf#page=1","Abrir facsímil")</f>
        <v>Abrir facsímil</v>
      </c>
      <c r="K2995" s="3" t="s">
        <v>57</v>
      </c>
    </row>
    <row r="2996" spans="1:11" ht="42" customHeight="1">
      <c r="A2996" s="2" t="s">
        <v>7826</v>
      </c>
      <c r="B2996" s="2" t="s">
        <v>7826</v>
      </c>
      <c r="C2996" s="2" t="s">
        <v>47</v>
      </c>
      <c r="D2996" s="2" t="s">
        <v>18</v>
      </c>
      <c r="E2996" s="3" t="s">
        <v>838</v>
      </c>
      <c r="F2996" s="3" t="s">
        <v>839</v>
      </c>
      <c r="G2996" s="3" t="s">
        <v>595</v>
      </c>
      <c r="H2996" s="2" t="s">
        <v>55</v>
      </c>
      <c r="I2996" s="2" t="s">
        <v>7828</v>
      </c>
      <c r="J2996" s="3" t="str">
        <f>HYPERLINK("https://www.boe.es/gazeta/dias/1809/08/03/pdfs/GGB-1809-12.pdf#page=7","Abrir facsímil")</f>
        <v>Abrir facsímil</v>
      </c>
      <c r="K2996" s="3" t="s">
        <v>57</v>
      </c>
    </row>
    <row r="2997" spans="1:11" ht="42" customHeight="1">
      <c r="A2997" s="2" t="s">
        <v>7826</v>
      </c>
      <c r="B2997" s="2" t="s">
        <v>7826</v>
      </c>
      <c r="C2997" s="2" t="s">
        <v>47</v>
      </c>
      <c r="D2997" s="2" t="s">
        <v>18</v>
      </c>
      <c r="E2997" s="3" t="s">
        <v>201</v>
      </c>
      <c r="F2997" s="3" t="s">
        <v>202</v>
      </c>
      <c r="G2997" s="3" t="s">
        <v>255</v>
      </c>
      <c r="H2997" s="2" t="s">
        <v>55</v>
      </c>
      <c r="I2997" s="2" t="s">
        <v>7829</v>
      </c>
      <c r="J2997" s="3" t="str">
        <f>HYPERLINK("https://www.boe.es/gazeta/dias/1809/08/15/pdfs/GGB-1809-62.pdf#page=1","Abrir facsímil")</f>
        <v>Abrir facsímil</v>
      </c>
      <c r="K2997" s="3" t="s">
        <v>57</v>
      </c>
    </row>
    <row r="2998" spans="1:11" ht="42" customHeight="1">
      <c r="A2998" s="2" t="s">
        <v>7826</v>
      </c>
      <c r="B2998" s="2" t="s">
        <v>7826</v>
      </c>
      <c r="C2998" s="2" t="s">
        <v>25</v>
      </c>
      <c r="D2998" s="2" t="s">
        <v>26</v>
      </c>
      <c r="E2998" s="3" t="s">
        <v>73</v>
      </c>
      <c r="F2998" s="3" t="s">
        <v>822</v>
      </c>
      <c r="G2998" s="3" t="s">
        <v>3275</v>
      </c>
      <c r="H2998" s="2" t="s">
        <v>55</v>
      </c>
      <c r="I2998" s="2" t="s">
        <v>7830</v>
      </c>
      <c r="J2998" s="3" t="str">
        <f>HYPERLINK("https://www.boe.es/gazeta/dias/1809/09/21/pdfs/GGB-1809-222.pdf#page=3","Abrir facsímil")</f>
        <v>Abrir facsímil</v>
      </c>
      <c r="K2998" s="3" t="s">
        <v>57</v>
      </c>
    </row>
    <row r="2999" spans="1:11" ht="42" customHeight="1">
      <c r="A2999" s="2" t="s">
        <v>7826</v>
      </c>
      <c r="B2999" s="2" t="s">
        <v>7826</v>
      </c>
      <c r="C2999" s="2" t="s">
        <v>17</v>
      </c>
      <c r="D2999" s="2" t="s">
        <v>80</v>
      </c>
      <c r="E2999" s="3" t="s">
        <v>2845</v>
      </c>
      <c r="F2999" s="3" t="s">
        <v>3107</v>
      </c>
      <c r="G2999" s="3" t="s">
        <v>3108</v>
      </c>
      <c r="H2999" s="2" t="s">
        <v>55</v>
      </c>
      <c r="I2999" s="2" t="s">
        <v>7831</v>
      </c>
      <c r="J2999" s="3" t="str">
        <f>HYPERLINK("https://www.boe.es/gazeta/dias/1809/11/23/pdfs/GGB-1809-492E.pdf#page=1","Abrir facsímil")</f>
        <v>Abrir facsímil</v>
      </c>
      <c r="K2999" s="3" t="s">
        <v>57</v>
      </c>
    </row>
    <row r="3000" spans="1:11" ht="42" customHeight="1">
      <c r="A3000" s="2" t="s">
        <v>7832</v>
      </c>
      <c r="B3000" s="2" t="s">
        <v>7833</v>
      </c>
      <c r="C3000" s="2" t="s">
        <v>25</v>
      </c>
      <c r="D3000" s="2" t="s">
        <v>26</v>
      </c>
      <c r="E3000" s="3" t="s">
        <v>904</v>
      </c>
      <c r="F3000" s="3" t="s">
        <v>905</v>
      </c>
      <c r="G3000" s="3" t="s">
        <v>3094</v>
      </c>
      <c r="H3000" s="2" t="s">
        <v>55</v>
      </c>
      <c r="I3000" s="2" t="s">
        <v>7834</v>
      </c>
      <c r="J3000" s="3" t="str">
        <f>HYPERLINK("https://www.boe.es/gazeta/dias/1809/07/07/pdfs/GGB-1809-43.pdf#page=7","Abrir facsímil")</f>
        <v>Abrir facsímil</v>
      </c>
      <c r="K3000" s="3" t="s">
        <v>57</v>
      </c>
    </row>
    <row r="3001" spans="1:11" ht="42" customHeight="1">
      <c r="A3001" s="2" t="s">
        <v>7835</v>
      </c>
      <c r="B3001" s="2" t="s">
        <v>7836</v>
      </c>
      <c r="C3001" s="2" t="s">
        <v>17</v>
      </c>
      <c r="D3001" s="2" t="s">
        <v>18</v>
      </c>
      <c r="E3001" s="3" t="s">
        <v>904</v>
      </c>
      <c r="F3001" s="3" t="s">
        <v>905</v>
      </c>
      <c r="G3001" s="3" t="s">
        <v>62</v>
      </c>
      <c r="H3001" s="2" t="s">
        <v>55</v>
      </c>
      <c r="I3001" s="2" t="s">
        <v>7837</v>
      </c>
      <c r="J3001" s="3" t="str">
        <f>HYPERLINK("https://www.boe.es/gazeta/dias/1809/07/07/pdfs/GGB-1809-43.pdf#page=9","Abrir facsímil")</f>
        <v>Abrir facsímil</v>
      </c>
      <c r="K3001" s="3" t="s">
        <v>57</v>
      </c>
    </row>
    <row r="3002" spans="1:11" ht="42" customHeight="1">
      <c r="A3002" s="2" t="s">
        <v>7838</v>
      </c>
      <c r="B3002" s="2" t="s">
        <v>7838</v>
      </c>
      <c r="C3002" s="2" t="s">
        <v>17</v>
      </c>
      <c r="D3002" s="2" t="s">
        <v>40</v>
      </c>
      <c r="E3002" s="3" t="s">
        <v>864</v>
      </c>
      <c r="F3002" s="3" t="s">
        <v>865</v>
      </c>
      <c r="G3002" s="3" t="s">
        <v>7839</v>
      </c>
      <c r="H3002" s="2" t="s">
        <v>55</v>
      </c>
      <c r="I3002" s="2" t="s">
        <v>7840</v>
      </c>
      <c r="J3002" s="3" t="str">
        <f>HYPERLINK("https://www.boe.es/gazeta/dias/1809/08/31/pdfs/GMD-1809-244.pdf#page=3","Abrir facsímil")</f>
        <v>Abrir facsímil</v>
      </c>
      <c r="K3002" s="3" t="s">
        <v>57</v>
      </c>
    </row>
    <row r="3003" spans="1:11" ht="42" customHeight="1">
      <c r="A3003" s="2" t="s">
        <v>7841</v>
      </c>
      <c r="B3003" s="2" t="s">
        <v>7842</v>
      </c>
      <c r="C3003" s="2" t="s">
        <v>25</v>
      </c>
      <c r="D3003" s="2" t="s">
        <v>26</v>
      </c>
      <c r="E3003" s="3" t="s">
        <v>589</v>
      </c>
      <c r="F3003" s="3" t="s">
        <v>590</v>
      </c>
      <c r="G3003" s="3" t="s">
        <v>1433</v>
      </c>
      <c r="H3003" s="2" t="s">
        <v>55</v>
      </c>
      <c r="I3003" s="2" t="s">
        <v>7843</v>
      </c>
      <c r="J3003" s="3" t="str">
        <f>HYPERLINK("https://www.boe.es/gazeta/dias/1809/10/05/pdfs/GGB-1809-282.pdf#page=8","Abrir facsímil")</f>
        <v>Abrir facsímil</v>
      </c>
      <c r="K3003" s="3" t="s">
        <v>57</v>
      </c>
    </row>
    <row r="3004" spans="1:11" ht="42" customHeight="1">
      <c r="A3004" s="2" t="s">
        <v>7844</v>
      </c>
      <c r="B3004" s="2" t="s">
        <v>7844</v>
      </c>
      <c r="C3004" s="2" t="s">
        <v>25</v>
      </c>
      <c r="D3004" s="2" t="s">
        <v>26</v>
      </c>
      <c r="E3004" s="3" t="s">
        <v>857</v>
      </c>
      <c r="F3004" s="3" t="s">
        <v>4692</v>
      </c>
      <c r="G3004" s="3" t="s">
        <v>1452</v>
      </c>
      <c r="H3004" s="2" t="s">
        <v>55</v>
      </c>
      <c r="I3004" s="2" t="s">
        <v>7845</v>
      </c>
      <c r="J3004" s="3" t="str">
        <f>HYPERLINK("https://www.boe.es/gazeta/dias/1809/05/01/pdfs/GMD-1809-121.pdf#page=1","Abrir facsímil")</f>
        <v>Abrir facsímil</v>
      </c>
      <c r="K3004" s="3" t="s">
        <v>57</v>
      </c>
    </row>
    <row r="3005" spans="1:11" ht="42" customHeight="1">
      <c r="A3005" s="2" t="s">
        <v>7846</v>
      </c>
      <c r="B3005" s="2" t="s">
        <v>7846</v>
      </c>
      <c r="C3005" s="2" t="s">
        <v>25</v>
      </c>
      <c r="D3005" s="2" t="s">
        <v>18</v>
      </c>
      <c r="E3005" s="3" t="s">
        <v>857</v>
      </c>
      <c r="F3005" s="3" t="s">
        <v>4692</v>
      </c>
      <c r="G3005" s="3" t="s">
        <v>587</v>
      </c>
      <c r="H3005" s="2" t="s">
        <v>55</v>
      </c>
      <c r="I3005" s="2" t="s">
        <v>7847</v>
      </c>
      <c r="J3005" s="3" t="str">
        <f>HYPERLINK("https://www.boe.es/gazeta/dias/1809/05/01/pdfs/GMD-1809-121.pdf#page=2","Abrir facsímil")</f>
        <v>Abrir facsímil</v>
      </c>
      <c r="K3005" s="3" t="s">
        <v>57</v>
      </c>
    </row>
    <row r="3006" spans="1:11" ht="42" customHeight="1">
      <c r="A3006" s="2" t="s">
        <v>7848</v>
      </c>
      <c r="B3006" s="2" t="s">
        <v>7848</v>
      </c>
      <c r="C3006" s="2" t="s">
        <v>25</v>
      </c>
      <c r="D3006" s="2" t="s">
        <v>107</v>
      </c>
      <c r="E3006" s="3" t="s">
        <v>3096</v>
      </c>
      <c r="F3006" s="3" t="s">
        <v>4183</v>
      </c>
      <c r="G3006" s="3" t="s">
        <v>29</v>
      </c>
      <c r="H3006" s="2" t="s">
        <v>55</v>
      </c>
      <c r="I3006" s="2" t="s">
        <v>7849</v>
      </c>
      <c r="J3006" s="3" t="str">
        <f>HYPERLINK("https://www.boe.es/gazeta/dias/1809/08/14/pdfs/GMD-1809-227.pdf#page=3","Abrir facsímil")</f>
        <v>Abrir facsímil</v>
      </c>
      <c r="K3006" s="3" t="s">
        <v>57</v>
      </c>
    </row>
    <row r="3007" spans="1:11" ht="42" customHeight="1">
      <c r="A3007" s="2" t="s">
        <v>7850</v>
      </c>
      <c r="B3007" s="2" t="s">
        <v>7850</v>
      </c>
      <c r="C3007" s="2" t="s">
        <v>25</v>
      </c>
      <c r="D3007" s="2" t="s">
        <v>18</v>
      </c>
      <c r="E3007" s="3" t="s">
        <v>1608</v>
      </c>
      <c r="F3007" s="3" t="s">
        <v>2350</v>
      </c>
      <c r="G3007" s="3" t="s">
        <v>270</v>
      </c>
      <c r="H3007" s="2" t="s">
        <v>55</v>
      </c>
      <c r="I3007" s="2" t="s">
        <v>7851</v>
      </c>
      <c r="J3007" s="3" t="str">
        <f>HYPERLINK("https://www.boe.es/gazeta/dias/1809/04/15/pdfs/GMD-1809-105.pdf#page=3","Abrir facsímil")</f>
        <v>Abrir facsímil</v>
      </c>
      <c r="K3007" s="3" t="s">
        <v>57</v>
      </c>
    </row>
    <row r="3008" spans="1:11" ht="42" customHeight="1">
      <c r="A3008" s="2" t="s">
        <v>7850</v>
      </c>
      <c r="B3008" s="2" t="s">
        <v>7850</v>
      </c>
      <c r="C3008" s="2" t="s">
        <v>25</v>
      </c>
      <c r="D3008" s="2" t="s">
        <v>26</v>
      </c>
      <c r="E3008" s="3" t="s">
        <v>1692</v>
      </c>
      <c r="F3008" s="3" t="s">
        <v>1693</v>
      </c>
      <c r="G3008" s="3" t="s">
        <v>129</v>
      </c>
      <c r="H3008" s="2" t="s">
        <v>55</v>
      </c>
      <c r="I3008" s="2" t="s">
        <v>7852</v>
      </c>
      <c r="J3008" s="3" t="str">
        <f>HYPERLINK("https://www.boe.es/gazeta/dias/1809/08/06/pdfs/GMD-1809-219.pdf#page=2","Abrir facsímil")</f>
        <v>Abrir facsímil</v>
      </c>
      <c r="K3008" s="3" t="s">
        <v>57</v>
      </c>
    </row>
    <row r="3009" spans="1:11" ht="42" customHeight="1">
      <c r="A3009" s="2" t="s">
        <v>7850</v>
      </c>
      <c r="B3009" s="2" t="s">
        <v>7850</v>
      </c>
      <c r="C3009" s="2" t="s">
        <v>25</v>
      </c>
      <c r="D3009" s="2" t="s">
        <v>18</v>
      </c>
      <c r="E3009" s="3" t="s">
        <v>6618</v>
      </c>
      <c r="F3009" s="3" t="s">
        <v>6619</v>
      </c>
      <c r="G3009" s="3" t="s">
        <v>687</v>
      </c>
      <c r="H3009" s="2" t="s">
        <v>55</v>
      </c>
      <c r="I3009" s="2" t="s">
        <v>7853</v>
      </c>
      <c r="J3009" s="3" t="str">
        <f>HYPERLINK("https://www.boe.es/gazeta/dias/1809/09/18/pdfs/GMD-1809-262.pdf#page=3","Abrir facsímil")</f>
        <v>Abrir facsímil</v>
      </c>
      <c r="K3009" s="3" t="s">
        <v>57</v>
      </c>
    </row>
    <row r="3010" spans="1:11" ht="42" customHeight="1">
      <c r="A3010" s="2" t="s">
        <v>7854</v>
      </c>
      <c r="B3010" s="2" t="s">
        <v>7855</v>
      </c>
      <c r="C3010" s="2" t="s">
        <v>17</v>
      </c>
      <c r="D3010" s="2" t="s">
        <v>18</v>
      </c>
      <c r="E3010" s="3" t="s">
        <v>60</v>
      </c>
      <c r="F3010" s="3" t="s">
        <v>61</v>
      </c>
      <c r="G3010" s="3" t="s">
        <v>29</v>
      </c>
      <c r="H3010" s="2" t="s">
        <v>55</v>
      </c>
      <c r="I3010" s="2" t="s">
        <v>7856</v>
      </c>
      <c r="J3010" s="3" t="str">
        <f>HYPERLINK("https://www.boe.es/gazeta/dias/1809/02/07/pdfs/GMD-1809-38.pdf#page=3","Abrir facsímil")</f>
        <v>Abrir facsímil</v>
      </c>
      <c r="K3010" s="3" t="s">
        <v>57</v>
      </c>
    </row>
    <row r="3011" spans="1:11" ht="42" customHeight="1">
      <c r="A3011" s="2" t="s">
        <v>7857</v>
      </c>
      <c r="B3011" s="2" t="s">
        <v>7858</v>
      </c>
      <c r="C3011" s="2" t="s">
        <v>17</v>
      </c>
      <c r="D3011" s="2" t="s">
        <v>18</v>
      </c>
      <c r="E3011" s="3" t="s">
        <v>33</v>
      </c>
      <c r="F3011" s="3" t="s">
        <v>34</v>
      </c>
      <c r="G3011" s="3" t="s">
        <v>493</v>
      </c>
      <c r="H3011" s="2" t="s">
        <v>55</v>
      </c>
      <c r="I3011" s="2" t="s">
        <v>7859</v>
      </c>
      <c r="J3011" s="3" t="str">
        <f>HYPERLINK("https://www.boe.es/gazeta/dias/1809/12/19/pdfs/GGB-1809-602.pdf#page=6","Abrir facsímil")</f>
        <v>Abrir facsímil</v>
      </c>
      <c r="K3011" s="3" t="s">
        <v>57</v>
      </c>
    </row>
    <row r="3012" spans="1:11" ht="42" customHeight="1">
      <c r="A3012" s="2" t="s">
        <v>7860</v>
      </c>
      <c r="B3012" s="2" t="s">
        <v>7861</v>
      </c>
      <c r="C3012" s="2" t="s">
        <v>17</v>
      </c>
      <c r="D3012" s="2" t="s">
        <v>18</v>
      </c>
      <c r="E3012" s="3" t="s">
        <v>1594</v>
      </c>
      <c r="F3012" s="3" t="s">
        <v>1595</v>
      </c>
      <c r="G3012" s="3" t="s">
        <v>225</v>
      </c>
      <c r="H3012" s="2" t="s">
        <v>55</v>
      </c>
      <c r="I3012" s="2" t="s">
        <v>7862</v>
      </c>
      <c r="J3012" s="3" t="str">
        <f>HYPERLINK("https://www.boe.es/gazeta/dias/1809/05/31/pdfs/GMD-1809-151.pdf#page=4","Abrir facsímil")</f>
        <v>Abrir facsímil</v>
      </c>
      <c r="K3012" s="3" t="s">
        <v>57</v>
      </c>
    </row>
    <row r="3013" spans="1:11" ht="42" customHeight="1">
      <c r="A3013" s="2" t="s">
        <v>7863</v>
      </c>
      <c r="B3013" s="2" t="s">
        <v>7864</v>
      </c>
      <c r="C3013" s="2" t="s">
        <v>17</v>
      </c>
      <c r="D3013" s="2" t="s">
        <v>40</v>
      </c>
      <c r="E3013" s="3" t="s">
        <v>1594</v>
      </c>
      <c r="F3013" s="3" t="s">
        <v>1595</v>
      </c>
      <c r="G3013" s="3" t="s">
        <v>225</v>
      </c>
      <c r="H3013" s="2" t="s">
        <v>55</v>
      </c>
      <c r="I3013" s="2" t="s">
        <v>7865</v>
      </c>
      <c r="J3013" s="3" t="str">
        <f>HYPERLINK("https://www.boe.es/gazeta/dias/1809/05/31/pdfs/GMD-1809-151.pdf#page=4","Abrir facsímil")</f>
        <v>Abrir facsímil</v>
      </c>
      <c r="K3013" s="3" t="s">
        <v>57</v>
      </c>
    </row>
    <row r="3014" spans="1:11" ht="42" customHeight="1">
      <c r="A3014" s="2" t="s">
        <v>7866</v>
      </c>
      <c r="B3014" s="2" t="s">
        <v>7866</v>
      </c>
      <c r="C3014" s="2" t="s">
        <v>25</v>
      </c>
      <c r="D3014" s="2" t="s">
        <v>18</v>
      </c>
      <c r="E3014" s="3" t="s">
        <v>616</v>
      </c>
      <c r="F3014" s="3" t="s">
        <v>617</v>
      </c>
      <c r="G3014" s="3" t="s">
        <v>918</v>
      </c>
      <c r="H3014" s="2" t="s">
        <v>55</v>
      </c>
      <c r="I3014" s="2" t="s">
        <v>7867</v>
      </c>
      <c r="J3014" s="3" t="str">
        <f>HYPERLINK("https://www.boe.es/gazeta/dias/1809/10/15/pdfs/GMD-1809-289.pdf#page=4","Abrir facsímil")</f>
        <v>Abrir facsímil</v>
      </c>
      <c r="K3014" s="3" t="s">
        <v>57</v>
      </c>
    </row>
    <row r="3015" spans="1:11" ht="42" customHeight="1">
      <c r="A3015" s="2" t="s">
        <v>7868</v>
      </c>
      <c r="B3015" s="2" t="s">
        <v>7868</v>
      </c>
      <c r="C3015" s="2" t="s">
        <v>25</v>
      </c>
      <c r="D3015" s="2" t="s">
        <v>107</v>
      </c>
      <c r="E3015" s="3" t="s">
        <v>2599</v>
      </c>
      <c r="F3015" s="3" t="s">
        <v>2600</v>
      </c>
      <c r="G3015" s="3" t="s">
        <v>396</v>
      </c>
      <c r="H3015" s="2" t="s">
        <v>55</v>
      </c>
      <c r="I3015" s="2" t="s">
        <v>7869</v>
      </c>
      <c r="J3015" s="3" t="str">
        <f>HYPERLINK("https://www.boe.es/gazeta/dias/1809/05/11/pdfs/GMD-1809-131.pdf#page=2","Abrir facsímil")</f>
        <v>Abrir facsímil</v>
      </c>
      <c r="K3015" s="3" t="s">
        <v>57</v>
      </c>
    </row>
    <row r="3016" spans="1:11" ht="42" customHeight="1">
      <c r="A3016" s="2" t="s">
        <v>7870</v>
      </c>
      <c r="B3016" s="2" t="s">
        <v>7870</v>
      </c>
      <c r="C3016" s="2" t="s">
        <v>25</v>
      </c>
      <c r="D3016" s="2" t="s">
        <v>18</v>
      </c>
      <c r="E3016" s="3" t="s">
        <v>809</v>
      </c>
      <c r="F3016" s="3" t="s">
        <v>1402</v>
      </c>
      <c r="G3016" s="3" t="s">
        <v>154</v>
      </c>
      <c r="H3016" s="2" t="s">
        <v>55</v>
      </c>
      <c r="I3016" s="2" t="s">
        <v>7871</v>
      </c>
      <c r="J3016" s="3" t="str">
        <f>HYPERLINK("https://www.boe.es/gazeta/dias/1809/08/19/pdfs/GGB-1809-82.pdf#page=2","Abrir facsímil")</f>
        <v>Abrir facsímil</v>
      </c>
      <c r="K3016" s="3" t="s">
        <v>57</v>
      </c>
    </row>
    <row r="3017" spans="1:11" ht="42" customHeight="1">
      <c r="A3017" s="2" t="s">
        <v>7872</v>
      </c>
      <c r="B3017" s="2" t="s">
        <v>7872</v>
      </c>
      <c r="C3017" s="2" t="s">
        <v>25</v>
      </c>
      <c r="D3017" s="2" t="s">
        <v>26</v>
      </c>
      <c r="E3017" s="3" t="s">
        <v>1396</v>
      </c>
      <c r="F3017" s="3" t="s">
        <v>2912</v>
      </c>
      <c r="G3017" s="3" t="s">
        <v>270</v>
      </c>
      <c r="H3017" s="2" t="s">
        <v>55</v>
      </c>
      <c r="I3017" s="2" t="s">
        <v>7873</v>
      </c>
      <c r="J3017" s="3" t="str">
        <f>HYPERLINK("https://www.boe.es/gazeta/dias/1809/11/28/pdfs/GMD-1809-333.pdf#page=1","Abrir facsímil")</f>
        <v>Abrir facsímil</v>
      </c>
      <c r="K3017" s="3" t="s">
        <v>57</v>
      </c>
    </row>
    <row r="3018" spans="1:11" ht="42" customHeight="1">
      <c r="A3018" s="2" t="s">
        <v>7874</v>
      </c>
      <c r="B3018" s="2" t="s">
        <v>7875</v>
      </c>
      <c r="C3018" s="2" t="s">
        <v>25</v>
      </c>
      <c r="D3018" s="2" t="s">
        <v>18</v>
      </c>
      <c r="E3018" s="3" t="s">
        <v>904</v>
      </c>
      <c r="F3018" s="3" t="s">
        <v>905</v>
      </c>
      <c r="G3018" s="3" t="s">
        <v>906</v>
      </c>
      <c r="H3018" s="2" t="s">
        <v>55</v>
      </c>
      <c r="I3018" s="2" t="s">
        <v>7876</v>
      </c>
      <c r="J3018" s="3" t="str">
        <f>HYPERLINK("https://www.boe.es/gazeta/dias/1809/07/07/pdfs/GGB-1809-43.pdf#page=8","Abrir facsímil")</f>
        <v>Abrir facsímil</v>
      </c>
      <c r="K3018" s="3" t="s">
        <v>57</v>
      </c>
    </row>
    <row r="3019" spans="1:11" ht="42" customHeight="1">
      <c r="A3019" s="2" t="s">
        <v>7877</v>
      </c>
      <c r="B3019" s="2" t="s">
        <v>7877</v>
      </c>
      <c r="C3019" s="2" t="s">
        <v>25</v>
      </c>
      <c r="D3019" s="2" t="s">
        <v>26</v>
      </c>
      <c r="E3019" s="3" t="s">
        <v>163</v>
      </c>
      <c r="F3019" s="3" t="s">
        <v>7818</v>
      </c>
      <c r="G3019" s="3" t="s">
        <v>129</v>
      </c>
      <c r="H3019" s="2" t="s">
        <v>55</v>
      </c>
      <c r="I3019" s="2" t="s">
        <v>7878</v>
      </c>
      <c r="J3019" s="3" t="str">
        <f>HYPERLINK("https://www.boe.es/gazeta/dias/1809/03/10/pdfs/GMD-1809-69.pdf#page=2","Abrir facsímil")</f>
        <v>Abrir facsímil</v>
      </c>
      <c r="K3019" s="3" t="s">
        <v>57</v>
      </c>
    </row>
    <row r="3020" spans="1:11" ht="42" customHeight="1">
      <c r="A3020" s="2" t="s">
        <v>7879</v>
      </c>
      <c r="B3020" s="2" t="s">
        <v>7880</v>
      </c>
      <c r="C3020" s="2" t="s">
        <v>17</v>
      </c>
      <c r="D3020" s="2" t="s">
        <v>80</v>
      </c>
      <c r="E3020" s="3" t="s">
        <v>179</v>
      </c>
      <c r="F3020" s="3" t="s">
        <v>180</v>
      </c>
      <c r="G3020" s="3" t="s">
        <v>966</v>
      </c>
      <c r="H3020" s="2" t="s">
        <v>55</v>
      </c>
      <c r="I3020" s="2" t="s">
        <v>7881</v>
      </c>
      <c r="J3020" s="3" t="str">
        <f>HYPERLINK("https://www.boe.es/gazeta/dias/1809/12/08/pdfs/GGB-1809-552E.pdf#page=3","Abrir facsímil")</f>
        <v>Abrir facsímil</v>
      </c>
      <c r="K3020" s="3" t="s">
        <v>57</v>
      </c>
    </row>
    <row r="3021" spans="1:11" ht="42" customHeight="1">
      <c r="A3021" s="2" t="s">
        <v>7882</v>
      </c>
      <c r="B3021" s="2" t="s">
        <v>7882</v>
      </c>
      <c r="C3021" s="2" t="s">
        <v>25</v>
      </c>
      <c r="D3021" s="2" t="s">
        <v>26</v>
      </c>
      <c r="E3021" s="3" t="s">
        <v>3051</v>
      </c>
      <c r="F3021" s="3" t="s">
        <v>3052</v>
      </c>
      <c r="G3021" s="3" t="s">
        <v>239</v>
      </c>
      <c r="H3021" s="2" t="s">
        <v>55</v>
      </c>
      <c r="I3021" s="2" t="s">
        <v>7883</v>
      </c>
      <c r="J3021" s="3" t="str">
        <f>HYPERLINK("https://www.boe.es/gazeta/dias/1809/06/06/pdfs/GMD-1809-157.pdf#page=2","Abrir facsímil")</f>
        <v>Abrir facsímil</v>
      </c>
      <c r="K3021" s="3" t="s">
        <v>57</v>
      </c>
    </row>
    <row r="3022" spans="1:11" ht="42" customHeight="1">
      <c r="A3022" s="2" t="s">
        <v>7882</v>
      </c>
      <c r="B3022" s="2" t="s">
        <v>7882</v>
      </c>
      <c r="C3022" s="2" t="s">
        <v>25</v>
      </c>
      <c r="D3022" s="2" t="s">
        <v>26</v>
      </c>
      <c r="E3022" s="3" t="s">
        <v>5140</v>
      </c>
      <c r="F3022" s="3" t="s">
        <v>5141</v>
      </c>
      <c r="G3022" s="3" t="s">
        <v>5142</v>
      </c>
      <c r="H3022" s="2" t="s">
        <v>55</v>
      </c>
      <c r="I3022" s="2" t="s">
        <v>7884</v>
      </c>
      <c r="J3022" s="3" t="str">
        <f>HYPERLINK("https://www.boe.es/gazeta/dias/1809/07/16/pdfs/GMD-1809-197.pdf#page=2","Abrir facsímil")</f>
        <v>Abrir facsímil</v>
      </c>
      <c r="K3022" s="3" t="s">
        <v>57</v>
      </c>
    </row>
    <row r="3023" spans="1:11" ht="42" customHeight="1">
      <c r="A3023" s="2" t="s">
        <v>7882</v>
      </c>
      <c r="B3023" s="2" t="s">
        <v>7882</v>
      </c>
      <c r="C3023" s="2" t="s">
        <v>25</v>
      </c>
      <c r="D3023" s="2" t="s">
        <v>26</v>
      </c>
      <c r="E3023" s="3" t="s">
        <v>656</v>
      </c>
      <c r="F3023" s="3" t="s">
        <v>657</v>
      </c>
      <c r="G3023" s="3" t="s">
        <v>3808</v>
      </c>
      <c r="H3023" s="2" t="s">
        <v>55</v>
      </c>
      <c r="I3023" s="2" t="s">
        <v>7885</v>
      </c>
      <c r="J3023" s="3" t="str">
        <f>HYPERLINK("https://www.boe.es/gazeta/dias/1809/07/22/pdfs/GMD-1809-203.pdf#page=2","Abrir facsímil")</f>
        <v>Abrir facsímil</v>
      </c>
      <c r="K3023" s="3" t="s">
        <v>57</v>
      </c>
    </row>
    <row r="3024" spans="1:11" ht="42" customHeight="1">
      <c r="A3024" s="2" t="s">
        <v>7882</v>
      </c>
      <c r="B3024" s="2" t="s">
        <v>7882</v>
      </c>
      <c r="C3024" s="2" t="s">
        <v>25</v>
      </c>
      <c r="D3024" s="2" t="s">
        <v>26</v>
      </c>
      <c r="E3024" s="3" t="s">
        <v>616</v>
      </c>
      <c r="F3024" s="3" t="s">
        <v>617</v>
      </c>
      <c r="G3024" s="3" t="s">
        <v>75</v>
      </c>
      <c r="H3024" s="2" t="s">
        <v>55</v>
      </c>
      <c r="I3024" s="2" t="s">
        <v>7886</v>
      </c>
      <c r="J3024" s="3" t="str">
        <f>HYPERLINK("https://www.boe.es/gazeta/dias/1809/10/15/pdfs/GMD-1809-289.pdf#page=2","Abrir facsímil")</f>
        <v>Abrir facsímil</v>
      </c>
      <c r="K3024" s="3" t="s">
        <v>57</v>
      </c>
    </row>
    <row r="3025" spans="1:11" ht="42" customHeight="1">
      <c r="A3025" s="2" t="s">
        <v>7882</v>
      </c>
      <c r="B3025" s="2" t="s">
        <v>7882</v>
      </c>
      <c r="C3025" s="2" t="s">
        <v>17</v>
      </c>
      <c r="D3025" s="2" t="s">
        <v>107</v>
      </c>
      <c r="E3025" s="3" t="s">
        <v>179</v>
      </c>
      <c r="F3025" s="3" t="s">
        <v>2418</v>
      </c>
      <c r="G3025" s="3" t="s">
        <v>1646</v>
      </c>
      <c r="H3025" s="2" t="s">
        <v>55</v>
      </c>
      <c r="I3025" s="2" t="s">
        <v>7887</v>
      </c>
      <c r="J3025" s="3" t="str">
        <f>HYPERLINK("https://www.boe.es/gazeta/dias/1809/12/08/pdfs/GMD-1809-343.pdf#page=1","Abrir facsímil")</f>
        <v>Abrir facsímil</v>
      </c>
      <c r="K3025" s="3" t="s">
        <v>57</v>
      </c>
    </row>
    <row r="3026" spans="1:11" ht="42" customHeight="1">
      <c r="A3026" s="2" t="s">
        <v>7888</v>
      </c>
      <c r="B3026" s="2" t="s">
        <v>7888</v>
      </c>
      <c r="C3026" s="2" t="s">
        <v>25</v>
      </c>
      <c r="D3026" s="2" t="s">
        <v>18</v>
      </c>
      <c r="E3026" s="3" t="s">
        <v>1123</v>
      </c>
      <c r="F3026" s="3" t="s">
        <v>1124</v>
      </c>
      <c r="G3026" s="3" t="s">
        <v>154</v>
      </c>
      <c r="H3026" s="2" t="s">
        <v>55</v>
      </c>
      <c r="I3026" s="2" t="s">
        <v>7889</v>
      </c>
      <c r="J3026" s="3" t="str">
        <f>HYPERLINK("https://www.boe.es/gazeta/dias/1809/01/08/pdfs/GMD-1809-8.pdf#page=2","Abrir facsímil")</f>
        <v>Abrir facsímil</v>
      </c>
      <c r="K3026" s="3" t="s">
        <v>57</v>
      </c>
    </row>
    <row r="3027" spans="1:11" ht="42" customHeight="1">
      <c r="A3027" s="2" t="s">
        <v>7888</v>
      </c>
      <c r="B3027" s="2" t="s">
        <v>7888</v>
      </c>
      <c r="C3027" s="2" t="s">
        <v>17</v>
      </c>
      <c r="D3027" s="2" t="s">
        <v>18</v>
      </c>
      <c r="E3027" s="3" t="s">
        <v>548</v>
      </c>
      <c r="F3027" s="3" t="s">
        <v>549</v>
      </c>
      <c r="G3027" s="3" t="s">
        <v>120</v>
      </c>
      <c r="H3027" s="2" t="s">
        <v>55</v>
      </c>
      <c r="I3027" s="2" t="s">
        <v>7890</v>
      </c>
      <c r="J3027" s="3" t="str">
        <f>HYPERLINK("https://www.boe.es/gazeta/dias/1809/03/12/pdfs/GMD-1809-71.pdf#page=3","Abrir facsímil")</f>
        <v>Abrir facsímil</v>
      </c>
      <c r="K3027" s="3" t="s">
        <v>57</v>
      </c>
    </row>
    <row r="3028" spans="1:11" ht="42" customHeight="1">
      <c r="A3028" s="2" t="s">
        <v>7888</v>
      </c>
      <c r="B3028" s="2" t="s">
        <v>7888</v>
      </c>
      <c r="C3028" s="2" t="s">
        <v>25</v>
      </c>
      <c r="D3028" s="2" t="s">
        <v>26</v>
      </c>
      <c r="E3028" s="3" t="s">
        <v>5307</v>
      </c>
      <c r="F3028" s="3" t="s">
        <v>5308</v>
      </c>
      <c r="G3028" s="3" t="s">
        <v>914</v>
      </c>
      <c r="H3028" s="2" t="s">
        <v>55</v>
      </c>
      <c r="I3028" s="2" t="s">
        <v>7891</v>
      </c>
      <c r="J3028" s="3" t="str">
        <f>HYPERLINK("https://www.boe.es/gazeta/dias/1809/03/30/pdfs/GMD-1809-89.pdf#page=1","Abrir facsímil")</f>
        <v>Abrir facsímil</v>
      </c>
      <c r="K3028" s="3" t="s">
        <v>57</v>
      </c>
    </row>
    <row r="3029" spans="1:11" ht="42" customHeight="1">
      <c r="A3029" s="2" t="s">
        <v>7888</v>
      </c>
      <c r="B3029" s="2" t="s">
        <v>7888</v>
      </c>
      <c r="C3029" s="2" t="s">
        <v>25</v>
      </c>
      <c r="D3029" s="2" t="s">
        <v>26</v>
      </c>
      <c r="E3029" s="3" t="s">
        <v>5307</v>
      </c>
      <c r="F3029" s="3" t="s">
        <v>5308</v>
      </c>
      <c r="G3029" s="3" t="s">
        <v>914</v>
      </c>
      <c r="H3029" s="2" t="s">
        <v>55</v>
      </c>
      <c r="I3029" s="2" t="s">
        <v>7892</v>
      </c>
      <c r="J3029" s="3" t="str">
        <f>HYPERLINK("https://www.boe.es/gazeta/dias/1809/03/30/pdfs/GMD-1809-89.pdf#page=2","Abrir facsímil")</f>
        <v>Abrir facsímil</v>
      </c>
      <c r="K3029" s="3" t="s">
        <v>57</v>
      </c>
    </row>
    <row r="3030" spans="1:11" ht="42" customHeight="1">
      <c r="A3030" s="2" t="s">
        <v>7888</v>
      </c>
      <c r="B3030" s="2" t="s">
        <v>7888</v>
      </c>
      <c r="C3030" s="2" t="s">
        <v>25</v>
      </c>
      <c r="D3030" s="2" t="s">
        <v>18</v>
      </c>
      <c r="E3030" s="3" t="s">
        <v>2607</v>
      </c>
      <c r="F3030" s="3" t="s">
        <v>2608</v>
      </c>
      <c r="G3030" s="3" t="s">
        <v>426</v>
      </c>
      <c r="H3030" s="2" t="s">
        <v>55</v>
      </c>
      <c r="I3030" s="2" t="s">
        <v>7893</v>
      </c>
      <c r="J3030" s="3" t="str">
        <f>HYPERLINK("https://www.boe.es/gazeta/dias/1809/04/30/pdfs/GMD-1809-120.pdf#page=4","Abrir facsímil")</f>
        <v>Abrir facsímil</v>
      </c>
      <c r="K3030" s="3" t="s">
        <v>57</v>
      </c>
    </row>
    <row r="3031" spans="1:11" ht="42" customHeight="1">
      <c r="A3031" s="2" t="s">
        <v>7888</v>
      </c>
      <c r="B3031" s="2" t="s">
        <v>7888</v>
      </c>
      <c r="C3031" s="2" t="s">
        <v>25</v>
      </c>
      <c r="D3031" s="2" t="s">
        <v>18</v>
      </c>
      <c r="E3031" s="3" t="s">
        <v>1053</v>
      </c>
      <c r="F3031" s="3" t="s">
        <v>1054</v>
      </c>
      <c r="G3031" s="3" t="s">
        <v>120</v>
      </c>
      <c r="H3031" s="2" t="s">
        <v>55</v>
      </c>
      <c r="I3031" s="2" t="s">
        <v>7894</v>
      </c>
      <c r="J3031" s="3" t="str">
        <f>HYPERLINK("https://www.boe.es/gazeta/dias/1809/05/13/pdfs/GMD-1809-133.pdf#page=1","Abrir facsímil")</f>
        <v>Abrir facsímil</v>
      </c>
      <c r="K3031" s="3" t="s">
        <v>57</v>
      </c>
    </row>
    <row r="3032" spans="1:11" ht="42" customHeight="1">
      <c r="A3032" s="2" t="s">
        <v>7895</v>
      </c>
      <c r="B3032" s="2" t="s">
        <v>7895</v>
      </c>
      <c r="C3032" s="2" t="s">
        <v>17</v>
      </c>
      <c r="D3032" s="2" t="s">
        <v>18</v>
      </c>
      <c r="E3032" s="3" t="s">
        <v>1586</v>
      </c>
      <c r="F3032" s="3" t="s">
        <v>1587</v>
      </c>
      <c r="G3032" s="3" t="s">
        <v>75</v>
      </c>
      <c r="H3032" s="2" t="s">
        <v>55</v>
      </c>
      <c r="I3032" s="2" t="s">
        <v>7896</v>
      </c>
      <c r="J3032" s="3" t="str">
        <f>HYPERLINK("https://www.boe.es/gazeta/dias/1809/02/20/pdfs/GMD-1809-51.pdf#page=2","Abrir facsímil")</f>
        <v>Abrir facsímil</v>
      </c>
      <c r="K3032" s="3" t="s">
        <v>57</v>
      </c>
    </row>
    <row r="3033" spans="1:11" ht="42" customHeight="1">
      <c r="A3033" s="2" t="s">
        <v>7897</v>
      </c>
      <c r="B3033" s="2" t="s">
        <v>7897</v>
      </c>
      <c r="C3033" s="2" t="s">
        <v>25</v>
      </c>
      <c r="D3033" s="2" t="s">
        <v>18</v>
      </c>
      <c r="E3033" s="3" t="s">
        <v>1856</v>
      </c>
      <c r="F3033" s="3" t="s">
        <v>1857</v>
      </c>
      <c r="G3033" s="3" t="s">
        <v>1858</v>
      </c>
      <c r="H3033" s="2" t="s">
        <v>55</v>
      </c>
      <c r="I3033" s="2" t="s">
        <v>7898</v>
      </c>
      <c r="J3033" s="3" t="str">
        <f>HYPERLINK("https://www.boe.es/gazeta/dias/1809/07/12/pdfs/GMD-1809-193.pdf#page=3","Abrir facsímil")</f>
        <v>Abrir facsímil</v>
      </c>
      <c r="K3033" s="3" t="s">
        <v>57</v>
      </c>
    </row>
    <row r="3034" spans="1:11" ht="42" customHeight="1">
      <c r="A3034" s="2" t="s">
        <v>7899</v>
      </c>
      <c r="B3034" s="2" t="s">
        <v>7900</v>
      </c>
      <c r="C3034" s="2" t="s">
        <v>131</v>
      </c>
      <c r="D3034" s="2" t="s">
        <v>40</v>
      </c>
      <c r="E3034" s="3" t="s">
        <v>712</v>
      </c>
      <c r="F3034" s="3" t="s">
        <v>713</v>
      </c>
      <c r="G3034" s="3" t="s">
        <v>120</v>
      </c>
      <c r="H3034" s="2" t="s">
        <v>55</v>
      </c>
      <c r="I3034" s="2" t="s">
        <v>7901</v>
      </c>
      <c r="J3034" s="3" t="str">
        <f>HYPERLINK("https://www.boe.es/gazeta/dias/1809/09/10/pdfs/GMD-1809-254.pdf#page=2","Abrir facsímil")</f>
        <v>Abrir facsímil</v>
      </c>
      <c r="K3034" s="3" t="s">
        <v>57</v>
      </c>
    </row>
    <row r="3035" spans="1:11" ht="42" customHeight="1">
      <c r="A3035" s="2" t="s">
        <v>7899</v>
      </c>
      <c r="B3035" s="2" t="s">
        <v>7900</v>
      </c>
      <c r="C3035" s="2" t="s">
        <v>17</v>
      </c>
      <c r="D3035" s="2" t="s">
        <v>18</v>
      </c>
      <c r="E3035" s="3" t="s">
        <v>1635</v>
      </c>
      <c r="F3035" s="3" t="s">
        <v>1636</v>
      </c>
      <c r="G3035" s="3" t="s">
        <v>914</v>
      </c>
      <c r="H3035" s="2" t="s">
        <v>55</v>
      </c>
      <c r="I3035" s="2" t="s">
        <v>7902</v>
      </c>
      <c r="J3035" s="3" t="str">
        <f>HYPERLINK("https://www.boe.es/gazeta/dias/1809/09/15/pdfs/GMD-1809-259.pdf#page=4","Abrir facsímil")</f>
        <v>Abrir facsímil</v>
      </c>
      <c r="K3035" s="3" t="s">
        <v>57</v>
      </c>
    </row>
    <row r="3036" spans="1:11" ht="42" customHeight="1">
      <c r="A3036" s="2" t="s">
        <v>7903</v>
      </c>
      <c r="B3036" s="2" t="s">
        <v>7904</v>
      </c>
      <c r="C3036" s="2" t="s">
        <v>25</v>
      </c>
      <c r="D3036" s="2" t="s">
        <v>18</v>
      </c>
      <c r="E3036" s="3" t="s">
        <v>163</v>
      </c>
      <c r="F3036" s="3" t="s">
        <v>478</v>
      </c>
      <c r="G3036" s="3" t="s">
        <v>75</v>
      </c>
      <c r="H3036" s="2" t="s">
        <v>55</v>
      </c>
      <c r="I3036" s="2" t="s">
        <v>7905</v>
      </c>
      <c r="J3036" s="3" t="str">
        <f>HYPERLINK("https://www.boe.es/gazeta/dias/1809/03/10/pdfs/GGB-1809-11.pdf#page=14","Abrir facsímil")</f>
        <v>Abrir facsímil</v>
      </c>
      <c r="K3036" s="3" t="s">
        <v>57</v>
      </c>
    </row>
    <row r="3037" spans="1:11" ht="42" customHeight="1">
      <c r="A3037" s="2" t="s">
        <v>7906</v>
      </c>
      <c r="B3037" s="2" t="s">
        <v>7907</v>
      </c>
      <c r="C3037" s="2" t="s">
        <v>25</v>
      </c>
      <c r="D3037" s="2" t="s">
        <v>80</v>
      </c>
      <c r="E3037" s="3" t="s">
        <v>81</v>
      </c>
      <c r="F3037" s="3" t="s">
        <v>82</v>
      </c>
      <c r="G3037" s="3" t="s">
        <v>120</v>
      </c>
      <c r="H3037" s="2" t="s">
        <v>55</v>
      </c>
      <c r="I3037" s="2" t="s">
        <v>7908</v>
      </c>
      <c r="J3037" s="3" t="str">
        <f>HYPERLINK("https://www.boe.es/gazeta/dias/1809/04/11/pdfs/GGB-1809-16E.pdf#page=5","Abrir facsímil")</f>
        <v>Abrir facsímil</v>
      </c>
      <c r="K3037" s="3" t="s">
        <v>57</v>
      </c>
    </row>
    <row r="3038" spans="1:11" ht="42" customHeight="1">
      <c r="A3038" s="2" t="s">
        <v>7909</v>
      </c>
      <c r="B3038" s="2" t="s">
        <v>7909</v>
      </c>
      <c r="C3038" s="2" t="s">
        <v>25</v>
      </c>
      <c r="D3038" s="2" t="s">
        <v>18</v>
      </c>
      <c r="E3038" s="3" t="s">
        <v>2840</v>
      </c>
      <c r="F3038" s="3" t="s">
        <v>2841</v>
      </c>
      <c r="G3038" s="3" t="s">
        <v>62</v>
      </c>
      <c r="H3038" s="2" t="s">
        <v>55</v>
      </c>
      <c r="I3038" s="2" t="s">
        <v>7910</v>
      </c>
      <c r="J3038" s="3" t="str">
        <f>HYPERLINK("https://www.boe.es/gazeta/dias/1809/11/30/pdfs/GMD-1809-335.pdf#page=4","Abrir facsímil")</f>
        <v>Abrir facsímil</v>
      </c>
      <c r="K3038" s="3" t="s">
        <v>57</v>
      </c>
    </row>
    <row r="3039" spans="1:11" ht="42" customHeight="1">
      <c r="A3039" s="2" t="s">
        <v>7911</v>
      </c>
      <c r="B3039" s="2" t="s">
        <v>7912</v>
      </c>
      <c r="C3039" s="2" t="s">
        <v>131</v>
      </c>
      <c r="D3039" s="2" t="s">
        <v>18</v>
      </c>
      <c r="E3039" s="3" t="s">
        <v>515</v>
      </c>
      <c r="F3039" s="3" t="s">
        <v>516</v>
      </c>
      <c r="G3039" s="3" t="s">
        <v>1380</v>
      </c>
      <c r="H3039" s="2" t="s">
        <v>55</v>
      </c>
      <c r="I3039" s="2" t="s">
        <v>7913</v>
      </c>
      <c r="J3039" s="3" t="str">
        <f>HYPERLINK("https://www.boe.es/gazeta/dias/1809/09/02/pdfs/GMD-1809-246.pdf#page=3","Abrir facsímil")</f>
        <v>Abrir facsímil</v>
      </c>
      <c r="K3039" s="3" t="s">
        <v>57</v>
      </c>
    </row>
    <row r="3040" spans="1:11" ht="42" customHeight="1">
      <c r="A3040" s="2" t="s">
        <v>7914</v>
      </c>
      <c r="B3040" s="2" t="s">
        <v>7915</v>
      </c>
      <c r="C3040" s="2" t="s">
        <v>39</v>
      </c>
      <c r="D3040" s="2" t="s">
        <v>18</v>
      </c>
      <c r="E3040" s="3" t="s">
        <v>925</v>
      </c>
      <c r="F3040" s="3" t="s">
        <v>926</v>
      </c>
      <c r="G3040" s="3" t="s">
        <v>239</v>
      </c>
      <c r="H3040" s="2" t="s">
        <v>55</v>
      </c>
      <c r="I3040" s="2" t="s">
        <v>7916</v>
      </c>
      <c r="J3040" s="3" t="str">
        <f>HYPERLINK("https://www.boe.es/gazeta/dias/1809/01/11/pdfs/GGB-1809-2.pdf#page=8","Abrir facsímil")</f>
        <v>Abrir facsímil</v>
      </c>
      <c r="K3040" s="3" t="s">
        <v>57</v>
      </c>
    </row>
    <row r="3041" spans="1:11" ht="42" customHeight="1">
      <c r="A3041" s="2" t="s">
        <v>7917</v>
      </c>
      <c r="B3041" s="2" t="s">
        <v>7918</v>
      </c>
      <c r="C3041" s="2" t="s">
        <v>17</v>
      </c>
      <c r="D3041" s="2" t="s">
        <v>72</v>
      </c>
      <c r="E3041" s="3" t="s">
        <v>635</v>
      </c>
      <c r="F3041" s="3" t="s">
        <v>2073</v>
      </c>
      <c r="G3041" s="3" t="s">
        <v>2074</v>
      </c>
      <c r="H3041" s="2" t="s">
        <v>55</v>
      </c>
      <c r="I3041" s="2" t="s">
        <v>7919</v>
      </c>
      <c r="J3041" s="3" t="str">
        <f>HYPERLINK("https://www.boe.es/gazeta/dias/1809/12/16/pdfs/GGB-H-1809-592.pdf#page=7","Abrir facsímil")</f>
        <v>Abrir facsímil</v>
      </c>
      <c r="K3041" s="3" t="s">
        <v>57</v>
      </c>
    </row>
    <row r="3042" spans="1:11" ht="42" customHeight="1">
      <c r="A3042" s="2" t="s">
        <v>7920</v>
      </c>
      <c r="B3042" s="2" t="s">
        <v>7920</v>
      </c>
      <c r="C3042" s="2" t="s">
        <v>25</v>
      </c>
      <c r="D3042" s="2" t="s">
        <v>40</v>
      </c>
      <c r="E3042" s="3" t="s">
        <v>7921</v>
      </c>
      <c r="F3042" s="3" t="s">
        <v>7922</v>
      </c>
      <c r="G3042" s="3" t="s">
        <v>654</v>
      </c>
      <c r="H3042" s="2" t="s">
        <v>55</v>
      </c>
      <c r="I3042" s="2" t="s">
        <v>7923</v>
      </c>
      <c r="J3042" s="3" t="str">
        <f>HYPERLINK("https://www.boe.es/gazeta/dias/1809/04/27/pdfs/GMD-1809-117.pdf#page=4","Abrir facsímil")</f>
        <v>Abrir facsímil</v>
      </c>
      <c r="K3042" s="3" t="s">
        <v>57</v>
      </c>
    </row>
    <row r="3043" spans="1:11" ht="42" customHeight="1">
      <c r="A3043" s="2" t="s">
        <v>7920</v>
      </c>
      <c r="B3043" s="2" t="s">
        <v>7920</v>
      </c>
      <c r="C3043" s="2" t="s">
        <v>25</v>
      </c>
      <c r="D3043" s="2" t="s">
        <v>18</v>
      </c>
      <c r="E3043" s="3" t="s">
        <v>3265</v>
      </c>
      <c r="F3043" s="3" t="s">
        <v>3266</v>
      </c>
      <c r="G3043" s="3" t="s">
        <v>29</v>
      </c>
      <c r="H3043" s="2" t="s">
        <v>55</v>
      </c>
      <c r="I3043" s="2" t="s">
        <v>7924</v>
      </c>
      <c r="J3043" s="3" t="str">
        <f>HYPERLINK("https://www.boe.es/gazeta/dias/1809/07/31/pdfs/GMD-1809-213.pdf#page=3","Abrir facsímil")</f>
        <v>Abrir facsímil</v>
      </c>
      <c r="K3043" s="3" t="s">
        <v>57</v>
      </c>
    </row>
    <row r="3044" spans="1:11" ht="42" customHeight="1">
      <c r="A3044" s="2" t="s">
        <v>7925</v>
      </c>
      <c r="B3044" s="2" t="s">
        <v>7925</v>
      </c>
      <c r="C3044" s="2" t="s">
        <v>25</v>
      </c>
      <c r="D3044" s="2" t="s">
        <v>18</v>
      </c>
      <c r="E3044" s="3" t="s">
        <v>1269</v>
      </c>
      <c r="F3044" s="3" t="s">
        <v>3272</v>
      </c>
      <c r="G3044" s="3" t="s">
        <v>3273</v>
      </c>
      <c r="H3044" s="2" t="s">
        <v>55</v>
      </c>
      <c r="I3044" s="2" t="s">
        <v>7926</v>
      </c>
      <c r="J3044" s="3" t="str">
        <f>HYPERLINK("https://www.boe.es/gazeta/dias/1809/08/12/pdfs/GMD-1809-225.pdf#page=3","Abrir facsímil")</f>
        <v>Abrir facsímil</v>
      </c>
      <c r="K3044" s="3" t="s">
        <v>57</v>
      </c>
    </row>
    <row r="3045" spans="1:11" ht="42" customHeight="1">
      <c r="A3045" s="2" t="s">
        <v>7927</v>
      </c>
      <c r="B3045" s="2" t="s">
        <v>7927</v>
      </c>
      <c r="C3045" s="2" t="s">
        <v>369</v>
      </c>
      <c r="D3045" s="2" t="s">
        <v>18</v>
      </c>
      <c r="E3045" s="3" t="s">
        <v>258</v>
      </c>
      <c r="F3045" s="3" t="s">
        <v>259</v>
      </c>
      <c r="G3045" s="3" t="s">
        <v>260</v>
      </c>
      <c r="H3045" s="2" t="s">
        <v>55</v>
      </c>
      <c r="I3045" s="2" t="s">
        <v>7928</v>
      </c>
      <c r="J3045" s="3" t="str">
        <f>HYPERLINK("https://www.boe.es/gazeta/dias/1809/03/17/pdfs/GMD-1809-76.pdf#page=3","Abrir facsímil")</f>
        <v>Abrir facsímil</v>
      </c>
      <c r="K3045" s="3" t="s">
        <v>57</v>
      </c>
    </row>
    <row r="3046" spans="1:11" ht="42" customHeight="1">
      <c r="A3046" s="2" t="s">
        <v>7927</v>
      </c>
      <c r="B3046" s="2" t="s">
        <v>7927</v>
      </c>
      <c r="C3046" s="2" t="s">
        <v>17</v>
      </c>
      <c r="D3046" s="2" t="s">
        <v>18</v>
      </c>
      <c r="E3046" s="3" t="s">
        <v>814</v>
      </c>
      <c r="F3046" s="3" t="s">
        <v>2095</v>
      </c>
      <c r="G3046" s="3" t="s">
        <v>270</v>
      </c>
      <c r="H3046" s="2" t="s">
        <v>55</v>
      </c>
      <c r="I3046" s="2" t="s">
        <v>7929</v>
      </c>
      <c r="J3046" s="3" t="str">
        <f>HYPERLINK("https://www.boe.es/gazeta/dias/1809/12/09/pdfs/GMD-1809-344.pdf#page=3","Abrir facsímil")</f>
        <v>Abrir facsímil</v>
      </c>
      <c r="K3046" s="3" t="s">
        <v>57</v>
      </c>
    </row>
    <row r="3047" spans="1:11" ht="42" customHeight="1">
      <c r="A3047" s="2" t="s">
        <v>7930</v>
      </c>
      <c r="B3047" s="2" t="s">
        <v>7931</v>
      </c>
      <c r="C3047" s="2" t="s">
        <v>17</v>
      </c>
      <c r="D3047" s="2" t="s">
        <v>18</v>
      </c>
      <c r="E3047" s="3" t="s">
        <v>627</v>
      </c>
      <c r="F3047" s="3" t="s">
        <v>628</v>
      </c>
      <c r="G3047" s="3" t="s">
        <v>270</v>
      </c>
      <c r="H3047" s="2" t="s">
        <v>55</v>
      </c>
      <c r="I3047" s="2" t="s">
        <v>7932</v>
      </c>
      <c r="J3047" s="3" t="str">
        <f>HYPERLINK("https://www.boe.es/gazeta/dias/1809/08/28/pdfs/GMD-1809-241.pdf#page=3","Abrir facsímil")</f>
        <v>Abrir facsímil</v>
      </c>
      <c r="K3047" s="3" t="s">
        <v>57</v>
      </c>
    </row>
    <row r="3048" spans="1:11" ht="42" customHeight="1">
      <c r="A3048" s="2" t="s">
        <v>7933</v>
      </c>
      <c r="B3048" s="2" t="s">
        <v>7933</v>
      </c>
      <c r="C3048" s="2" t="s">
        <v>25</v>
      </c>
      <c r="D3048" s="2" t="s">
        <v>26</v>
      </c>
      <c r="E3048" s="3" t="s">
        <v>2244</v>
      </c>
      <c r="F3048" s="3" t="s">
        <v>2871</v>
      </c>
      <c r="G3048" s="3" t="s">
        <v>120</v>
      </c>
      <c r="H3048" s="2" t="s">
        <v>55</v>
      </c>
      <c r="I3048" s="2" t="s">
        <v>7934</v>
      </c>
      <c r="J3048" s="3" t="str">
        <f>HYPERLINK("https://www.boe.es/gazeta/dias/1809/03/27/pdfs/GGB-G-1809-13B.pdf#page=7","Abrir facsímil")</f>
        <v>Abrir facsímil</v>
      </c>
      <c r="K3048" s="3" t="s">
        <v>57</v>
      </c>
    </row>
    <row r="3049" spans="1:11" ht="42" customHeight="1">
      <c r="A3049" s="2" t="s">
        <v>7935</v>
      </c>
      <c r="B3049" s="2" t="s">
        <v>7936</v>
      </c>
      <c r="C3049" s="2" t="s">
        <v>39</v>
      </c>
      <c r="D3049" s="2" t="s">
        <v>18</v>
      </c>
      <c r="E3049" s="3" t="s">
        <v>2249</v>
      </c>
      <c r="F3049" s="3" t="s">
        <v>2250</v>
      </c>
      <c r="G3049" s="3" t="s">
        <v>2251</v>
      </c>
      <c r="H3049" s="2" t="s">
        <v>55</v>
      </c>
      <c r="I3049" s="2" t="s">
        <v>7937</v>
      </c>
      <c r="J3049" s="3" t="str">
        <f>HYPERLINK("https://www.boe.es/gazeta/dias/1809/06/08/pdfs/GMD-1809-159.pdf#page=4","Abrir facsímil")</f>
        <v>Abrir facsímil</v>
      </c>
      <c r="K3049" s="3" t="s">
        <v>57</v>
      </c>
    </row>
    <row r="3050" spans="1:11" ht="42" customHeight="1">
      <c r="A3050" s="2" t="s">
        <v>7938</v>
      </c>
      <c r="B3050" s="2" t="s">
        <v>7939</v>
      </c>
      <c r="C3050" s="2" t="s">
        <v>25</v>
      </c>
      <c r="D3050" s="2" t="s">
        <v>26</v>
      </c>
      <c r="E3050" s="3" t="s">
        <v>1396</v>
      </c>
      <c r="F3050" s="3" t="s">
        <v>2370</v>
      </c>
      <c r="G3050" s="3" t="s">
        <v>270</v>
      </c>
      <c r="H3050" s="2" t="s">
        <v>55</v>
      </c>
      <c r="I3050" s="2" t="s">
        <v>7940</v>
      </c>
      <c r="J3050" s="3" t="str">
        <f>HYPERLINK("https://www.boe.es/gazeta/dias/1809/11/28/pdfs/GGB-H-1809-512.pdf#page=3","Abrir facsímil")</f>
        <v>Abrir facsímil</v>
      </c>
      <c r="K3050" s="3" t="s">
        <v>57</v>
      </c>
    </row>
    <row r="3051" spans="1:11" ht="42" customHeight="1">
      <c r="A3051" s="2" t="s">
        <v>7941</v>
      </c>
      <c r="B3051" s="2" t="s">
        <v>7942</v>
      </c>
      <c r="C3051" s="2" t="s">
        <v>17</v>
      </c>
      <c r="D3051" s="2" t="s">
        <v>80</v>
      </c>
      <c r="E3051" s="3" t="s">
        <v>179</v>
      </c>
      <c r="F3051" s="3" t="s">
        <v>180</v>
      </c>
      <c r="G3051" s="3" t="s">
        <v>239</v>
      </c>
      <c r="H3051" s="2" t="s">
        <v>55</v>
      </c>
      <c r="I3051" s="2" t="s">
        <v>7943</v>
      </c>
      <c r="J3051" s="3" t="str">
        <f>HYPERLINK("https://www.boe.es/gazeta/dias/1809/12/08/pdfs/GGB-1809-552E.pdf#page=2","Abrir facsímil")</f>
        <v>Abrir facsímil</v>
      </c>
      <c r="K3051" s="3" t="s">
        <v>57</v>
      </c>
    </row>
    <row r="3052" spans="1:11" ht="42" customHeight="1">
      <c r="A3052" s="2" t="s">
        <v>7944</v>
      </c>
      <c r="B3052" s="2" t="s">
        <v>7945</v>
      </c>
      <c r="C3052" s="2" t="s">
        <v>39</v>
      </c>
      <c r="D3052" s="2" t="s">
        <v>18</v>
      </c>
      <c r="E3052" s="3" t="s">
        <v>712</v>
      </c>
      <c r="F3052" s="3" t="s">
        <v>713</v>
      </c>
      <c r="G3052" s="3" t="s">
        <v>154</v>
      </c>
      <c r="H3052" s="2" t="s">
        <v>55</v>
      </c>
      <c r="I3052" s="2" t="s">
        <v>7946</v>
      </c>
      <c r="J3052" s="3" t="str">
        <f>HYPERLINK("https://www.boe.es/gazeta/dias/1809/09/10/pdfs/GMD-1809-254.pdf#page=3","Abrir facsímil")</f>
        <v>Abrir facsímil</v>
      </c>
      <c r="K3052" s="3" t="s">
        <v>57</v>
      </c>
    </row>
    <row r="3053" spans="1:11" ht="42" customHeight="1">
      <c r="A3053" s="2" t="s">
        <v>7944</v>
      </c>
      <c r="B3053" s="2" t="s">
        <v>7945</v>
      </c>
      <c r="C3053" s="2" t="s">
        <v>17</v>
      </c>
      <c r="D3053" s="2" t="s">
        <v>18</v>
      </c>
      <c r="E3053" s="3" t="s">
        <v>102</v>
      </c>
      <c r="F3053" s="3" t="s">
        <v>103</v>
      </c>
      <c r="G3053" s="3" t="s">
        <v>1091</v>
      </c>
      <c r="H3053" s="2" t="s">
        <v>55</v>
      </c>
      <c r="I3053" s="2" t="s">
        <v>7947</v>
      </c>
      <c r="J3053" s="3" t="str">
        <f>HYPERLINK("https://www.boe.es/gazeta/dias/1809/09/28/pdfs/GGB-1809-252.pdf#page=6","Abrir facsímil")</f>
        <v>Abrir facsímil</v>
      </c>
      <c r="K3053" s="3" t="s">
        <v>57</v>
      </c>
    </row>
    <row r="3054" spans="1:11" ht="42" customHeight="1">
      <c r="A3054" s="2" t="s">
        <v>7948</v>
      </c>
      <c r="B3054" s="2" t="s">
        <v>7949</v>
      </c>
      <c r="C3054" s="2" t="s">
        <v>17</v>
      </c>
      <c r="D3054" s="2" t="s">
        <v>18</v>
      </c>
      <c r="E3054" s="3" t="s">
        <v>33</v>
      </c>
      <c r="F3054" s="3" t="s">
        <v>34</v>
      </c>
      <c r="G3054" s="3" t="s">
        <v>595</v>
      </c>
      <c r="H3054" s="2" t="s">
        <v>55</v>
      </c>
      <c r="I3054" s="2" t="s">
        <v>7950</v>
      </c>
      <c r="J3054" s="3" t="str">
        <f>HYPERLINK("https://www.boe.es/gazeta/dias/1809/12/19/pdfs/GGB-1809-602.pdf#page=7","Abrir facsímil")</f>
        <v>Abrir facsímil</v>
      </c>
      <c r="K3054" s="3" t="s">
        <v>57</v>
      </c>
    </row>
    <row r="3055" spans="1:11" ht="42" customHeight="1">
      <c r="A3055" s="2" t="s">
        <v>7951</v>
      </c>
      <c r="B3055" s="2" t="s">
        <v>7952</v>
      </c>
      <c r="C3055" s="2" t="s">
        <v>17</v>
      </c>
      <c r="D3055" s="2" t="s">
        <v>18</v>
      </c>
      <c r="E3055" s="3" t="s">
        <v>33</v>
      </c>
      <c r="F3055" s="3" t="s">
        <v>34</v>
      </c>
      <c r="G3055" s="3" t="s">
        <v>493</v>
      </c>
      <c r="H3055" s="2" t="s">
        <v>55</v>
      </c>
      <c r="I3055" s="2" t="s">
        <v>7953</v>
      </c>
      <c r="J3055" s="3" t="str">
        <f>HYPERLINK("https://www.boe.es/gazeta/dias/1809/12/19/pdfs/GGB-1809-602.pdf#page=6","Abrir facsímil")</f>
        <v>Abrir facsímil</v>
      </c>
      <c r="K3055" s="3" t="s">
        <v>57</v>
      </c>
    </row>
    <row r="3056" spans="1:11" ht="42" customHeight="1">
      <c r="A3056" s="2" t="s">
        <v>7954</v>
      </c>
      <c r="B3056" s="2" t="s">
        <v>7955</v>
      </c>
      <c r="C3056" s="2" t="s">
        <v>79</v>
      </c>
      <c r="D3056" s="2" t="s">
        <v>18</v>
      </c>
      <c r="E3056" s="3" t="s">
        <v>102</v>
      </c>
      <c r="F3056" s="3" t="s">
        <v>103</v>
      </c>
      <c r="G3056" s="3" t="s">
        <v>830</v>
      </c>
      <c r="H3056" s="2" t="s">
        <v>55</v>
      </c>
      <c r="I3056" s="2" t="s">
        <v>7956</v>
      </c>
      <c r="J3056" s="3" t="str">
        <f>HYPERLINK("https://www.boe.es/gazeta/dias/1809/09/28/pdfs/GGB-1809-252.pdf#page=7","Abrir facsímil")</f>
        <v>Abrir facsímil</v>
      </c>
      <c r="K3056" s="3" t="s">
        <v>57</v>
      </c>
    </row>
    <row r="3057" spans="1:11" ht="42" customHeight="1">
      <c r="A3057" s="2" t="s">
        <v>7957</v>
      </c>
      <c r="B3057" s="2" t="s">
        <v>7958</v>
      </c>
      <c r="C3057" s="2" t="s">
        <v>47</v>
      </c>
      <c r="D3057" s="2" t="s">
        <v>18</v>
      </c>
      <c r="E3057" s="3" t="s">
        <v>548</v>
      </c>
      <c r="F3057" s="3" t="s">
        <v>549</v>
      </c>
      <c r="G3057" s="3" t="s">
        <v>120</v>
      </c>
      <c r="H3057" s="2" t="s">
        <v>55</v>
      </c>
      <c r="I3057" s="2" t="s">
        <v>7959</v>
      </c>
      <c r="J3057" s="3" t="str">
        <f>HYPERLINK("https://www.boe.es/gazeta/dias/1809/03/12/pdfs/GMD-1809-71.pdf#page=3","Abrir facsímil")</f>
        <v>Abrir facsímil</v>
      </c>
      <c r="K3057" s="3" t="s">
        <v>57</v>
      </c>
    </row>
    <row r="3058" spans="1:11" ht="42" customHeight="1">
      <c r="A3058" s="2" t="s">
        <v>7960</v>
      </c>
      <c r="B3058" s="2" t="s">
        <v>7960</v>
      </c>
      <c r="C3058" s="2" t="s">
        <v>25</v>
      </c>
      <c r="D3058" s="2" t="s">
        <v>18</v>
      </c>
      <c r="E3058" s="3" t="s">
        <v>1560</v>
      </c>
      <c r="F3058" s="3" t="s">
        <v>1561</v>
      </c>
      <c r="G3058" s="3" t="s">
        <v>154</v>
      </c>
      <c r="H3058" s="2" t="s">
        <v>55</v>
      </c>
      <c r="I3058" s="2" t="s">
        <v>7961</v>
      </c>
      <c r="J3058" s="3" t="str">
        <f>HYPERLINK("https://www.boe.es/gazeta/dias/1809/07/03/pdfs/GMD-1809-184.pdf#page=3","Abrir facsímil")</f>
        <v>Abrir facsímil</v>
      </c>
      <c r="K3058" s="3" t="s">
        <v>57</v>
      </c>
    </row>
    <row r="3059" spans="1:11" ht="42" customHeight="1">
      <c r="A3059" s="2" t="s">
        <v>7962</v>
      </c>
      <c r="B3059" s="2" t="s">
        <v>7962</v>
      </c>
      <c r="C3059" s="2" t="s">
        <v>25</v>
      </c>
      <c r="D3059" s="2" t="s">
        <v>107</v>
      </c>
      <c r="E3059" s="3" t="s">
        <v>1807</v>
      </c>
      <c r="F3059" s="3" t="s">
        <v>1808</v>
      </c>
      <c r="G3059" s="3" t="s">
        <v>141</v>
      </c>
      <c r="H3059" s="2" t="s">
        <v>55</v>
      </c>
      <c r="I3059" s="2" t="s">
        <v>7963</v>
      </c>
      <c r="J3059" s="3" t="str">
        <f>HYPERLINK("https://www.boe.es/gazeta/dias/1809/01/22/pdfs/GMD-1809-22.pdf#page=3","Abrir facsímil")</f>
        <v>Abrir facsímil</v>
      </c>
      <c r="K3059" s="3" t="s">
        <v>57</v>
      </c>
    </row>
    <row r="3060" spans="1:11" ht="42" customHeight="1">
      <c r="A3060" s="2" t="s">
        <v>7962</v>
      </c>
      <c r="B3060" s="2" t="s">
        <v>7962</v>
      </c>
      <c r="C3060" s="2" t="s">
        <v>25</v>
      </c>
      <c r="D3060" s="2" t="s">
        <v>18</v>
      </c>
      <c r="E3060" s="3" t="s">
        <v>429</v>
      </c>
      <c r="F3060" s="3" t="s">
        <v>1544</v>
      </c>
      <c r="G3060" s="3" t="s">
        <v>1545</v>
      </c>
      <c r="H3060" s="2" t="s">
        <v>55</v>
      </c>
      <c r="I3060" s="2" t="s">
        <v>7964</v>
      </c>
      <c r="J3060" s="3" t="str">
        <f>HYPERLINK("https://www.boe.es/gazeta/dias/1809/06/09/pdfs/GMD-1809-160.pdf#page=2","Abrir facsímil")</f>
        <v>Abrir facsímil</v>
      </c>
      <c r="K3060" s="3" t="s">
        <v>57</v>
      </c>
    </row>
    <row r="3061" spans="1:11" ht="42" customHeight="1">
      <c r="A3061" s="2" t="s">
        <v>7962</v>
      </c>
      <c r="B3061" s="2" t="s">
        <v>7962</v>
      </c>
      <c r="C3061" s="2" t="s">
        <v>25</v>
      </c>
      <c r="D3061" s="2" t="s">
        <v>80</v>
      </c>
      <c r="E3061" s="3" t="s">
        <v>1110</v>
      </c>
      <c r="F3061" s="3" t="s">
        <v>1532</v>
      </c>
      <c r="G3061" s="3" t="s">
        <v>62</v>
      </c>
      <c r="H3061" s="2" t="s">
        <v>55</v>
      </c>
      <c r="I3061" s="2" t="s">
        <v>7965</v>
      </c>
      <c r="J3061" s="3" t="str">
        <f>HYPERLINK("https://www.boe.es/gazeta/dias/1809/06/20/pdfs/GGB-1809-38E2.pdf#page=1","Abrir facsímil")</f>
        <v>Abrir facsímil</v>
      </c>
      <c r="K3061" s="3" t="s">
        <v>57</v>
      </c>
    </row>
    <row r="3062" spans="1:11" ht="42" customHeight="1">
      <c r="A3062" s="2" t="s">
        <v>7962</v>
      </c>
      <c r="B3062" s="2" t="s">
        <v>7962</v>
      </c>
      <c r="C3062" s="2" t="s">
        <v>25</v>
      </c>
      <c r="D3062" s="2" t="s">
        <v>18</v>
      </c>
      <c r="E3062" s="3" t="s">
        <v>1779</v>
      </c>
      <c r="F3062" s="3" t="s">
        <v>1780</v>
      </c>
      <c r="G3062" s="3" t="s">
        <v>29</v>
      </c>
      <c r="H3062" s="2" t="s">
        <v>55</v>
      </c>
      <c r="I3062" s="2" t="s">
        <v>7966</v>
      </c>
      <c r="J3062" s="3" t="str">
        <f>HYPERLINK("https://www.boe.es/gazeta/dias/1809/08/22/pdfs/GGB-1809-92.pdf#page=3","Abrir facsímil")</f>
        <v>Abrir facsímil</v>
      </c>
      <c r="K3062" s="3" t="s">
        <v>57</v>
      </c>
    </row>
    <row r="3063" spans="1:11" ht="42" customHeight="1">
      <c r="A3063" s="2" t="s">
        <v>7967</v>
      </c>
      <c r="B3063" s="2" t="s">
        <v>7967</v>
      </c>
      <c r="C3063" s="2" t="s">
        <v>25</v>
      </c>
      <c r="D3063" s="2" t="s">
        <v>18</v>
      </c>
      <c r="E3063" s="3" t="s">
        <v>974</v>
      </c>
      <c r="F3063" s="3" t="s">
        <v>7968</v>
      </c>
      <c r="G3063" s="3" t="s">
        <v>21</v>
      </c>
      <c r="H3063" s="2" t="s">
        <v>55</v>
      </c>
      <c r="I3063" s="2" t="s">
        <v>7969</v>
      </c>
      <c r="J3063" s="3" t="str">
        <f>HYPERLINK("https://www.boe.es/gazeta/dias/1809/11/14/pdfs/GMD-1809-319.pdf#page=2","Abrir facsímil")</f>
        <v>Abrir facsímil</v>
      </c>
      <c r="K3063" s="3" t="s">
        <v>57</v>
      </c>
    </row>
    <row r="3064" spans="1:11" ht="42" customHeight="1">
      <c r="A3064" s="2" t="s">
        <v>7970</v>
      </c>
      <c r="B3064" s="2" t="s">
        <v>7971</v>
      </c>
      <c r="C3064" s="2" t="s">
        <v>17</v>
      </c>
      <c r="D3064" s="2" t="s">
        <v>18</v>
      </c>
      <c r="E3064" s="3" t="s">
        <v>33</v>
      </c>
      <c r="F3064" s="3" t="s">
        <v>34</v>
      </c>
      <c r="G3064" s="3" t="s">
        <v>493</v>
      </c>
      <c r="H3064" s="2" t="s">
        <v>55</v>
      </c>
      <c r="I3064" s="2" t="s">
        <v>7972</v>
      </c>
      <c r="J3064" s="3" t="str">
        <f>HYPERLINK("https://www.boe.es/gazeta/dias/1809/12/19/pdfs/GGB-1809-602.pdf#page=6","Abrir facsímil")</f>
        <v>Abrir facsímil</v>
      </c>
      <c r="K3064" s="3" t="s">
        <v>57</v>
      </c>
    </row>
    <row r="3065" spans="1:11" ht="42" customHeight="1">
      <c r="A3065" s="2" t="s">
        <v>7973</v>
      </c>
      <c r="B3065" s="2" t="s">
        <v>7973</v>
      </c>
      <c r="C3065" s="2" t="s">
        <v>25</v>
      </c>
      <c r="D3065" s="2" t="s">
        <v>18</v>
      </c>
      <c r="E3065" s="3" t="s">
        <v>1829</v>
      </c>
      <c r="F3065" s="3" t="s">
        <v>1830</v>
      </c>
      <c r="G3065" s="3" t="s">
        <v>1831</v>
      </c>
      <c r="H3065" s="2" t="s">
        <v>55</v>
      </c>
      <c r="I3065" s="2" t="s">
        <v>7974</v>
      </c>
      <c r="J3065" s="3" t="str">
        <f>HYPERLINK("https://www.boe.es/gazeta/dias/1809/09/17/pdfs/GMD-1809-261.pdf#page=1","Abrir facsímil")</f>
        <v>Abrir facsímil</v>
      </c>
      <c r="K3065" s="3" t="s">
        <v>57</v>
      </c>
    </row>
    <row r="3066" spans="1:11" ht="42" customHeight="1">
      <c r="A3066" s="2" t="s">
        <v>7975</v>
      </c>
      <c r="B3066" s="2" t="s">
        <v>7976</v>
      </c>
      <c r="C3066" s="2" t="s">
        <v>39</v>
      </c>
      <c r="D3066" s="2" t="s">
        <v>40</v>
      </c>
      <c r="E3066" s="3" t="s">
        <v>2845</v>
      </c>
      <c r="F3066" s="3" t="s">
        <v>2846</v>
      </c>
      <c r="G3066" s="3" t="s">
        <v>691</v>
      </c>
      <c r="H3066" s="2" t="s">
        <v>55</v>
      </c>
      <c r="I3066" s="2" t="s">
        <v>7977</v>
      </c>
      <c r="J3066" s="3" t="str">
        <f>HYPERLINK("https://www.boe.es/gazeta/dias/1809/11/23/pdfs/GGB-1809-492.pdf#page=8","Abrir facsímil")</f>
        <v>Abrir facsímil</v>
      </c>
      <c r="K3066" s="3" t="s">
        <v>57</v>
      </c>
    </row>
    <row r="3067" spans="1:11" ht="42" customHeight="1">
      <c r="A3067" s="2" t="s">
        <v>7978</v>
      </c>
      <c r="B3067" s="2" t="s">
        <v>7979</v>
      </c>
      <c r="C3067" s="2" t="s">
        <v>17</v>
      </c>
      <c r="D3067" s="2" t="s">
        <v>18</v>
      </c>
      <c r="E3067" s="3" t="s">
        <v>33</v>
      </c>
      <c r="F3067" s="3" t="s">
        <v>34</v>
      </c>
      <c r="G3067" s="3" t="s">
        <v>595</v>
      </c>
      <c r="H3067" s="2" t="s">
        <v>55</v>
      </c>
      <c r="I3067" s="2" t="s">
        <v>7980</v>
      </c>
      <c r="J3067" s="3" t="str">
        <f>HYPERLINK("https://www.boe.es/gazeta/dias/1809/12/19/pdfs/GGB-1809-602.pdf#page=7","Abrir facsímil")</f>
        <v>Abrir facsímil</v>
      </c>
      <c r="K3067" s="3" t="s">
        <v>57</v>
      </c>
    </row>
    <row r="3068" spans="1:11" ht="42" customHeight="1">
      <c r="A3068" s="2" t="s">
        <v>7981</v>
      </c>
      <c r="B3068" s="2" t="s">
        <v>7981</v>
      </c>
      <c r="C3068" s="2" t="s">
        <v>25</v>
      </c>
      <c r="D3068" s="2" t="s">
        <v>26</v>
      </c>
      <c r="E3068" s="3" t="s">
        <v>749</v>
      </c>
      <c r="F3068" s="3" t="s">
        <v>750</v>
      </c>
      <c r="G3068" s="3" t="s">
        <v>1056</v>
      </c>
      <c r="H3068" s="2" t="s">
        <v>55</v>
      </c>
      <c r="I3068" s="2" t="s">
        <v>7982</v>
      </c>
      <c r="J3068" s="3" t="str">
        <f>HYPERLINK("https://www.boe.es/gazeta/dias/1809/05/19/pdfs/GGB-1809-29.pdf#page=7","Abrir facsímil")</f>
        <v>Abrir facsímil</v>
      </c>
      <c r="K3068" s="3" t="s">
        <v>57</v>
      </c>
    </row>
    <row r="3069" spans="1:11" ht="42" customHeight="1">
      <c r="A3069" s="2" t="s">
        <v>7983</v>
      </c>
      <c r="B3069" s="2" t="s">
        <v>7983</v>
      </c>
      <c r="C3069" s="2" t="s">
        <v>25</v>
      </c>
      <c r="D3069" s="2" t="s">
        <v>18</v>
      </c>
      <c r="E3069" s="3" t="s">
        <v>3265</v>
      </c>
      <c r="F3069" s="3" t="s">
        <v>3266</v>
      </c>
      <c r="G3069" s="3" t="s">
        <v>29</v>
      </c>
      <c r="H3069" s="2" t="s">
        <v>55</v>
      </c>
      <c r="I3069" s="2" t="s">
        <v>7984</v>
      </c>
      <c r="J3069" s="3" t="str">
        <f>HYPERLINK("https://www.boe.es/gazeta/dias/1809/07/31/pdfs/GMD-1809-213.pdf#page=3","Abrir facsímil")</f>
        <v>Abrir facsímil</v>
      </c>
      <c r="K3069" s="3" t="s">
        <v>57</v>
      </c>
    </row>
    <row r="3070" spans="1:11" ht="42" customHeight="1">
      <c r="A3070" s="2" t="s">
        <v>7985</v>
      </c>
      <c r="B3070" s="2" t="s">
        <v>7985</v>
      </c>
      <c r="C3070" s="2" t="s">
        <v>25</v>
      </c>
      <c r="D3070" s="2" t="s">
        <v>18</v>
      </c>
      <c r="E3070" s="3" t="s">
        <v>1300</v>
      </c>
      <c r="F3070" s="3" t="s">
        <v>1301</v>
      </c>
      <c r="G3070" s="3" t="s">
        <v>1302</v>
      </c>
      <c r="H3070" s="2" t="s">
        <v>55</v>
      </c>
      <c r="I3070" s="2" t="s">
        <v>7986</v>
      </c>
      <c r="J3070" s="3" t="str">
        <f>HYPERLINK("https://www.boe.es/gazeta/dias/1809/12/27/pdfs/GMD-1809-362.pdf#page=4","Abrir facsímil")</f>
        <v>Abrir facsímil</v>
      </c>
      <c r="K3070" s="3" t="s">
        <v>57</v>
      </c>
    </row>
    <row r="3071" spans="1:11" ht="42" customHeight="1">
      <c r="A3071" s="2" t="s">
        <v>7987</v>
      </c>
      <c r="B3071" s="2" t="s">
        <v>7987</v>
      </c>
      <c r="C3071" s="2" t="s">
        <v>17</v>
      </c>
      <c r="D3071" s="2" t="s">
        <v>18</v>
      </c>
      <c r="E3071" s="3" t="s">
        <v>5974</v>
      </c>
      <c r="F3071" s="3" t="s">
        <v>5975</v>
      </c>
      <c r="G3071" s="3" t="s">
        <v>3092</v>
      </c>
      <c r="H3071" s="2" t="s">
        <v>55</v>
      </c>
      <c r="I3071" s="2" t="s">
        <v>7988</v>
      </c>
      <c r="J3071" s="3" t="str">
        <f>HYPERLINK("https://www.boe.es/gazeta/dias/1809/05/21/pdfs/GMD-1809-141.pdf#page=1","Abrir facsímil")</f>
        <v>Abrir facsímil</v>
      </c>
      <c r="K3071" s="3" t="s">
        <v>57</v>
      </c>
    </row>
    <row r="3072" spans="1:11" ht="42" customHeight="1">
      <c r="A3072" s="2" t="s">
        <v>7987</v>
      </c>
      <c r="B3072" s="2" t="s">
        <v>7987</v>
      </c>
      <c r="C3072" s="2" t="s">
        <v>25</v>
      </c>
      <c r="D3072" s="2" t="s">
        <v>26</v>
      </c>
      <c r="E3072" s="3" t="s">
        <v>1282</v>
      </c>
      <c r="F3072" s="3" t="s">
        <v>1743</v>
      </c>
      <c r="G3072" s="3" t="s">
        <v>1516</v>
      </c>
      <c r="H3072" s="2" t="s">
        <v>55</v>
      </c>
      <c r="I3072" s="2" t="s">
        <v>7989</v>
      </c>
      <c r="J3072" s="3" t="str">
        <f>HYPERLINK("https://www.boe.es/gazeta/dias/1809/06/26/pdfs/GMD-1809-177.pdf#page=3","Abrir facsímil")</f>
        <v>Abrir facsímil</v>
      </c>
      <c r="K3072" s="3" t="s">
        <v>57</v>
      </c>
    </row>
    <row r="3073" spans="1:11" ht="42" customHeight="1">
      <c r="A3073" s="2" t="s">
        <v>7990</v>
      </c>
      <c r="B3073" s="2" t="s">
        <v>7990</v>
      </c>
      <c r="C3073" s="2" t="s">
        <v>17</v>
      </c>
      <c r="D3073" s="2" t="s">
        <v>18</v>
      </c>
      <c r="E3073" s="3" t="s">
        <v>660</v>
      </c>
      <c r="F3073" s="3" t="s">
        <v>661</v>
      </c>
      <c r="G3073" s="3" t="s">
        <v>3028</v>
      </c>
      <c r="H3073" s="2" t="s">
        <v>55</v>
      </c>
      <c r="I3073" s="2" t="s">
        <v>7991</v>
      </c>
      <c r="J3073" s="3" t="str">
        <f>HYPERLINK("https://www.boe.es/gazeta/dias/1809/08/11/pdfs/GMD-1809-224.pdf#page=1","Abrir facsímil")</f>
        <v>Abrir facsímil</v>
      </c>
      <c r="K3073" s="3" t="s">
        <v>57</v>
      </c>
    </row>
    <row r="3074" spans="1:11" ht="42" customHeight="1">
      <c r="A3074" s="2" t="s">
        <v>7992</v>
      </c>
      <c r="B3074" s="2" t="s">
        <v>7992</v>
      </c>
      <c r="C3074" s="2" t="s">
        <v>25</v>
      </c>
      <c r="D3074" s="2" t="s">
        <v>26</v>
      </c>
      <c r="E3074" s="3" t="s">
        <v>1282</v>
      </c>
      <c r="F3074" s="3" t="s">
        <v>1743</v>
      </c>
      <c r="G3074" s="3" t="s">
        <v>234</v>
      </c>
      <c r="H3074" s="2" t="s">
        <v>55</v>
      </c>
      <c r="I3074" s="2" t="s">
        <v>7993</v>
      </c>
      <c r="J3074" s="3" t="str">
        <f>HYPERLINK("https://www.boe.es/gazeta/dias/1809/06/26/pdfs/GMD-1809-177.pdf#page=2","Abrir facsímil")</f>
        <v>Abrir facsímil</v>
      </c>
      <c r="K3074" s="3" t="s">
        <v>57</v>
      </c>
    </row>
    <row r="3075" spans="1:11" ht="42" customHeight="1">
      <c r="A3075" s="2" t="s">
        <v>7994</v>
      </c>
      <c r="B3075" s="2" t="s">
        <v>7994</v>
      </c>
      <c r="C3075" s="2" t="s">
        <v>25</v>
      </c>
      <c r="D3075" s="2" t="s">
        <v>18</v>
      </c>
      <c r="E3075" s="3" t="s">
        <v>4946</v>
      </c>
      <c r="F3075" s="3" t="s">
        <v>4947</v>
      </c>
      <c r="G3075" s="3" t="s">
        <v>141</v>
      </c>
      <c r="H3075" s="2" t="s">
        <v>55</v>
      </c>
      <c r="I3075" s="2" t="s">
        <v>7995</v>
      </c>
      <c r="J3075" s="3" t="str">
        <f>HYPERLINK("https://www.boe.es/gazeta/dias/1809/06/13/pdfs/GMD-1809-164.pdf#page=2","Abrir facsímil")</f>
        <v>Abrir facsímil</v>
      </c>
      <c r="K3075" s="3" t="s">
        <v>57</v>
      </c>
    </row>
    <row r="3076" spans="1:11" ht="42" customHeight="1">
      <c r="A3076" s="2" t="s">
        <v>7994</v>
      </c>
      <c r="B3076" s="2" t="s">
        <v>7994</v>
      </c>
      <c r="C3076" s="2" t="s">
        <v>25</v>
      </c>
      <c r="D3076" s="2" t="s">
        <v>26</v>
      </c>
      <c r="E3076" s="3" t="s">
        <v>482</v>
      </c>
      <c r="F3076" s="3" t="s">
        <v>483</v>
      </c>
      <c r="G3076" s="3" t="s">
        <v>918</v>
      </c>
      <c r="H3076" s="2" t="s">
        <v>55</v>
      </c>
      <c r="I3076" s="2" t="s">
        <v>7996</v>
      </c>
      <c r="J3076" s="3" t="str">
        <f>HYPERLINK("https://www.boe.es/gazeta/dias/1809/06/15/pdfs/GMD-1809-166.pdf#page=2","Abrir facsímil")</f>
        <v>Abrir facsímil</v>
      </c>
      <c r="K3076" s="3" t="s">
        <v>57</v>
      </c>
    </row>
    <row r="3077" spans="1:11" ht="42" customHeight="1">
      <c r="A3077" s="2" t="s">
        <v>7994</v>
      </c>
      <c r="B3077" s="2" t="s">
        <v>7994</v>
      </c>
      <c r="C3077" s="2" t="s">
        <v>25</v>
      </c>
      <c r="D3077" s="2" t="s">
        <v>18</v>
      </c>
      <c r="E3077" s="3" t="s">
        <v>621</v>
      </c>
      <c r="F3077" s="3" t="s">
        <v>913</v>
      </c>
      <c r="G3077" s="3" t="s">
        <v>914</v>
      </c>
      <c r="H3077" s="2" t="s">
        <v>55</v>
      </c>
      <c r="I3077" s="2" t="s">
        <v>7997</v>
      </c>
      <c r="J3077" s="3" t="str">
        <f>HYPERLINK("https://www.boe.es/gazeta/dias/1809/07/04/pdfs/GMD-1809-185.pdf#page=2","Abrir facsímil")</f>
        <v>Abrir facsímil</v>
      </c>
      <c r="K3077" s="3" t="s">
        <v>57</v>
      </c>
    </row>
    <row r="3078" spans="1:11" ht="42" customHeight="1">
      <c r="A3078" s="2" t="s">
        <v>7994</v>
      </c>
      <c r="B3078" s="2" t="s">
        <v>7994</v>
      </c>
      <c r="C3078" s="2" t="s">
        <v>25</v>
      </c>
      <c r="D3078" s="2" t="s">
        <v>26</v>
      </c>
      <c r="E3078" s="3" t="s">
        <v>5732</v>
      </c>
      <c r="F3078" s="3" t="s">
        <v>5733</v>
      </c>
      <c r="G3078" s="3" t="s">
        <v>110</v>
      </c>
      <c r="H3078" s="2" t="s">
        <v>55</v>
      </c>
      <c r="I3078" s="2" t="s">
        <v>7998</v>
      </c>
      <c r="J3078" s="3" t="str">
        <f>HYPERLINK("https://www.boe.es/gazeta/dias/1809/07/09/pdfs/GMD-1809-190.pdf#page=2","Abrir facsímil")</f>
        <v>Abrir facsímil</v>
      </c>
      <c r="K3078" s="3" t="s">
        <v>57</v>
      </c>
    </row>
    <row r="3079" spans="1:11" ht="42" customHeight="1">
      <c r="A3079" s="2" t="s">
        <v>7994</v>
      </c>
      <c r="B3079" s="2" t="s">
        <v>7994</v>
      </c>
      <c r="C3079" s="2" t="s">
        <v>25</v>
      </c>
      <c r="D3079" s="2" t="s">
        <v>107</v>
      </c>
      <c r="E3079" s="3" t="s">
        <v>809</v>
      </c>
      <c r="F3079" s="3" t="s">
        <v>810</v>
      </c>
      <c r="G3079" s="3" t="s">
        <v>110</v>
      </c>
      <c r="H3079" s="2" t="s">
        <v>55</v>
      </c>
      <c r="I3079" s="2" t="s">
        <v>7999</v>
      </c>
      <c r="J3079" s="3" t="str">
        <f>HYPERLINK("https://www.boe.es/gazeta/dias/1809/08/19/pdfs/GMD-1809-232.pdf#page=2","Abrir facsímil")</f>
        <v>Abrir facsímil</v>
      </c>
      <c r="K3079" s="3" t="s">
        <v>57</v>
      </c>
    </row>
    <row r="3080" spans="1:11" ht="42" customHeight="1">
      <c r="A3080" s="2" t="s">
        <v>8000</v>
      </c>
      <c r="B3080" s="2" t="s">
        <v>8001</v>
      </c>
      <c r="C3080" s="2" t="s">
        <v>131</v>
      </c>
      <c r="D3080" s="2" t="s">
        <v>18</v>
      </c>
      <c r="E3080" s="3" t="s">
        <v>102</v>
      </c>
      <c r="F3080" s="3" t="s">
        <v>103</v>
      </c>
      <c r="G3080" s="3" t="s">
        <v>1706</v>
      </c>
      <c r="H3080" s="2" t="s">
        <v>55</v>
      </c>
      <c r="I3080" s="2" t="s">
        <v>8002</v>
      </c>
      <c r="J3080" s="3" t="str">
        <f>HYPERLINK("https://www.boe.es/gazeta/dias/1809/09/28/pdfs/GGB-1809-252.pdf#page=5","Abrir facsímil")</f>
        <v>Abrir facsímil</v>
      </c>
      <c r="K3080" s="3" t="s">
        <v>57</v>
      </c>
    </row>
    <row r="3081" spans="1:11" ht="42" customHeight="1">
      <c r="A3081" s="2" t="s">
        <v>8003</v>
      </c>
      <c r="B3081" s="2" t="s">
        <v>8003</v>
      </c>
      <c r="C3081" s="2" t="s">
        <v>25</v>
      </c>
      <c r="D3081" s="2" t="s">
        <v>18</v>
      </c>
      <c r="E3081" s="3" t="s">
        <v>761</v>
      </c>
      <c r="F3081" s="3" t="s">
        <v>1218</v>
      </c>
      <c r="G3081" s="3" t="s">
        <v>595</v>
      </c>
      <c r="H3081" s="2" t="s">
        <v>55</v>
      </c>
      <c r="I3081" s="2" t="s">
        <v>8004</v>
      </c>
      <c r="J3081" s="3" t="str">
        <f>HYPERLINK("https://www.boe.es/gazeta/dias/1809/06/02/pdfs/GGB-1809-33.pdf#page=7","Abrir facsímil")</f>
        <v>Abrir facsímil</v>
      </c>
      <c r="K3081" s="3" t="s">
        <v>57</v>
      </c>
    </row>
    <row r="3082" spans="1:11" ht="42" customHeight="1">
      <c r="A3082" s="2" t="s">
        <v>8005</v>
      </c>
      <c r="B3082" s="2" t="s">
        <v>8005</v>
      </c>
      <c r="C3082" s="2" t="s">
        <v>25</v>
      </c>
      <c r="D3082" s="2" t="s">
        <v>26</v>
      </c>
      <c r="E3082" s="3" t="s">
        <v>925</v>
      </c>
      <c r="F3082" s="3" t="s">
        <v>1451</v>
      </c>
      <c r="G3082" s="3" t="s">
        <v>270</v>
      </c>
      <c r="H3082" s="2" t="s">
        <v>55</v>
      </c>
      <c r="I3082" s="2" t="s">
        <v>8006</v>
      </c>
      <c r="J3082" s="3" t="str">
        <f>HYPERLINK("https://www.boe.es/gazeta/dias/1809/01/11/pdfs/GMD-1809-11.pdf#page=2","Abrir facsímil")</f>
        <v>Abrir facsímil</v>
      </c>
      <c r="K3082" s="3" t="s">
        <v>57</v>
      </c>
    </row>
    <row r="3083" spans="1:11" ht="42" customHeight="1">
      <c r="A3083" s="2" t="s">
        <v>8005</v>
      </c>
      <c r="B3083" s="2" t="s">
        <v>8005</v>
      </c>
      <c r="C3083" s="2" t="s">
        <v>25</v>
      </c>
      <c r="D3083" s="2" t="s">
        <v>26</v>
      </c>
      <c r="E3083" s="3" t="s">
        <v>1117</v>
      </c>
      <c r="F3083" s="3" t="s">
        <v>1118</v>
      </c>
      <c r="G3083" s="3" t="s">
        <v>1516</v>
      </c>
      <c r="H3083" s="2" t="s">
        <v>55</v>
      </c>
      <c r="I3083" s="2" t="s">
        <v>8007</v>
      </c>
      <c r="J3083" s="3" t="str">
        <f>HYPERLINK("https://www.boe.es/gazeta/dias/1809/11/04/pdfs/GGB-1809-412.pdf#page=8","Abrir facsímil")</f>
        <v>Abrir facsímil</v>
      </c>
      <c r="K3083" s="3" t="s">
        <v>57</v>
      </c>
    </row>
    <row r="3084" spans="1:11" ht="42" customHeight="1">
      <c r="A3084" s="2" t="s">
        <v>8008</v>
      </c>
      <c r="B3084" s="2" t="s">
        <v>8009</v>
      </c>
      <c r="C3084" s="2" t="s">
        <v>17</v>
      </c>
      <c r="D3084" s="2" t="s">
        <v>18</v>
      </c>
      <c r="E3084" s="3" t="s">
        <v>635</v>
      </c>
      <c r="F3084" s="3" t="s">
        <v>636</v>
      </c>
      <c r="G3084" s="3" t="s">
        <v>637</v>
      </c>
      <c r="H3084" s="2" t="s">
        <v>55</v>
      </c>
      <c r="I3084" s="2" t="s">
        <v>8010</v>
      </c>
      <c r="J3084" s="3" t="str">
        <f>HYPERLINK("https://www.boe.es/gazeta/dias/1809/12/16/pdfs/GGB-1809-592.pdf#page=6","Abrir facsímil")</f>
        <v>Abrir facsímil</v>
      </c>
      <c r="K3084" s="3" t="s">
        <v>57</v>
      </c>
    </row>
    <row r="3085" spans="1:11" ht="42" customHeight="1">
      <c r="A3085" s="2" t="s">
        <v>8011</v>
      </c>
      <c r="B3085" s="2" t="s">
        <v>8012</v>
      </c>
      <c r="C3085" s="2" t="s">
        <v>17</v>
      </c>
      <c r="D3085" s="2" t="s">
        <v>18</v>
      </c>
      <c r="E3085" s="3" t="s">
        <v>4389</v>
      </c>
      <c r="F3085" s="3" t="s">
        <v>4390</v>
      </c>
      <c r="G3085" s="3" t="s">
        <v>4391</v>
      </c>
      <c r="H3085" s="2" t="s">
        <v>55</v>
      </c>
      <c r="I3085" s="2" t="s">
        <v>8013</v>
      </c>
      <c r="J3085" s="3" t="str">
        <f>HYPERLINK("https://www.boe.es/gazeta/dias/1809/02/06/pdfs/GMD-1809-37.pdf#page=4","Abrir facsímil")</f>
        <v>Abrir facsímil</v>
      </c>
      <c r="K3085" s="3" t="s">
        <v>57</v>
      </c>
    </row>
    <row r="3086" spans="1:11" ht="42" customHeight="1">
      <c r="A3086" s="2" t="s">
        <v>8014</v>
      </c>
      <c r="B3086" s="2" t="s">
        <v>8015</v>
      </c>
      <c r="C3086" s="2" t="s">
        <v>25</v>
      </c>
      <c r="D3086" s="2" t="s">
        <v>26</v>
      </c>
      <c r="E3086" s="3" t="s">
        <v>147</v>
      </c>
      <c r="F3086" s="3" t="s">
        <v>562</v>
      </c>
      <c r="G3086" s="3" t="s">
        <v>2778</v>
      </c>
      <c r="H3086" s="2" t="s">
        <v>55</v>
      </c>
      <c r="I3086" s="2" t="s">
        <v>8016</v>
      </c>
      <c r="J3086" s="3" t="str">
        <f>HYPERLINK("https://www.boe.es/gazeta/dias/1809/10/07/pdfs/GGB-H-1809-292.pdf#page=4","Abrir facsímil")</f>
        <v>Abrir facsímil</v>
      </c>
      <c r="K3086" s="3" t="s">
        <v>57</v>
      </c>
    </row>
    <row r="3087" spans="1:11" ht="42" customHeight="1">
      <c r="A3087" s="2" t="s">
        <v>8017</v>
      </c>
      <c r="B3087" s="2" t="s">
        <v>8017</v>
      </c>
      <c r="C3087" s="2" t="s">
        <v>25</v>
      </c>
      <c r="D3087" s="2" t="s">
        <v>18</v>
      </c>
      <c r="E3087" s="3" t="s">
        <v>442</v>
      </c>
      <c r="F3087" s="3" t="s">
        <v>443</v>
      </c>
      <c r="G3087" s="3" t="s">
        <v>2484</v>
      </c>
      <c r="H3087" s="2" t="s">
        <v>55</v>
      </c>
      <c r="I3087" s="2" t="s">
        <v>8018</v>
      </c>
      <c r="J3087" s="3" t="str">
        <f>HYPERLINK("https://www.boe.es/gazeta/dias/1809/09/05/pdfs/GGB-1809-152.pdf#page=8","Abrir facsímil")</f>
        <v>Abrir facsímil</v>
      </c>
      <c r="K3087" s="3" t="s">
        <v>57</v>
      </c>
    </row>
    <row r="3088" spans="1:11" ht="42" customHeight="1">
      <c r="A3088" s="2" t="s">
        <v>8019</v>
      </c>
      <c r="B3088" s="2" t="s">
        <v>8019</v>
      </c>
      <c r="C3088" s="2" t="s">
        <v>25</v>
      </c>
      <c r="D3088" s="2" t="s">
        <v>18</v>
      </c>
      <c r="E3088" s="3" t="s">
        <v>211</v>
      </c>
      <c r="F3088" s="3" t="s">
        <v>212</v>
      </c>
      <c r="G3088" s="3" t="s">
        <v>467</v>
      </c>
      <c r="H3088" s="2" t="s">
        <v>55</v>
      </c>
      <c r="I3088" s="2" t="s">
        <v>8020</v>
      </c>
      <c r="J3088" s="3" t="str">
        <f>HYPERLINK("https://www.boe.es/gazeta/dias/1809/10/27/pdfs/GMD-1809-301.pdf#page=2","Abrir facsímil")</f>
        <v>Abrir facsímil</v>
      </c>
      <c r="K3088" s="3" t="s">
        <v>57</v>
      </c>
    </row>
    <row r="3089" spans="1:11" ht="42" customHeight="1">
      <c r="A3089" s="2" t="s">
        <v>8019</v>
      </c>
      <c r="B3089" s="2" t="s">
        <v>8019</v>
      </c>
      <c r="C3089" s="2" t="s">
        <v>25</v>
      </c>
      <c r="D3089" s="2" t="s">
        <v>26</v>
      </c>
      <c r="E3089" s="3" t="s">
        <v>216</v>
      </c>
      <c r="F3089" s="3" t="s">
        <v>217</v>
      </c>
      <c r="G3089" s="3" t="s">
        <v>270</v>
      </c>
      <c r="H3089" s="2" t="s">
        <v>55</v>
      </c>
      <c r="I3089" s="2" t="s">
        <v>8021</v>
      </c>
      <c r="J3089" s="3" t="str">
        <f>HYPERLINK("https://www.boe.es/gazeta/dias/1809/12/05/pdfs/GGB-H-1809-542.pdf#page=3","Abrir facsímil")</f>
        <v>Abrir facsímil</v>
      </c>
      <c r="K3089" s="3" t="s">
        <v>57</v>
      </c>
    </row>
    <row r="3090" spans="1:11" ht="42" customHeight="1">
      <c r="A3090" s="2" t="s">
        <v>8022</v>
      </c>
      <c r="B3090" s="2" t="s">
        <v>8023</v>
      </c>
      <c r="C3090" s="2" t="s">
        <v>17</v>
      </c>
      <c r="D3090" s="2" t="s">
        <v>72</v>
      </c>
      <c r="E3090" s="3" t="s">
        <v>243</v>
      </c>
      <c r="F3090" s="3" t="s">
        <v>244</v>
      </c>
      <c r="G3090" s="3" t="s">
        <v>110</v>
      </c>
      <c r="H3090" s="2" t="s">
        <v>55</v>
      </c>
      <c r="I3090" s="2" t="s">
        <v>8024</v>
      </c>
      <c r="J3090" s="3" t="str">
        <f>HYPERLINK("https://www.boe.es/gazeta/dias/1809/02/17/pdfs/GGB-G-1809-8.pdf#page=5","Abrir facsímil")</f>
        <v>Abrir facsímil</v>
      </c>
      <c r="K3090" s="3" t="s">
        <v>57</v>
      </c>
    </row>
    <row r="3091" spans="1:11" ht="42" customHeight="1">
      <c r="A3091" s="2" t="s">
        <v>8025</v>
      </c>
      <c r="B3091" s="2" t="s">
        <v>8025</v>
      </c>
      <c r="C3091" s="2" t="s">
        <v>25</v>
      </c>
      <c r="D3091" s="2" t="s">
        <v>26</v>
      </c>
      <c r="E3091" s="3" t="s">
        <v>585</v>
      </c>
      <c r="F3091" s="3" t="s">
        <v>586</v>
      </c>
      <c r="G3091" s="3" t="s">
        <v>75</v>
      </c>
      <c r="H3091" s="2" t="s">
        <v>55</v>
      </c>
      <c r="I3091" s="2" t="s">
        <v>8026</v>
      </c>
      <c r="J3091" s="3" t="str">
        <f>HYPERLINK("https://www.boe.es/gazeta/dias/1809/01/09/pdfs/GMD-1809-9.pdf#page=4","Abrir facsímil")</f>
        <v>Abrir facsímil</v>
      </c>
      <c r="K3091" s="3" t="s">
        <v>57</v>
      </c>
    </row>
    <row r="3092" spans="1:11" ht="42" customHeight="1">
      <c r="A3092" s="2" t="s">
        <v>8027</v>
      </c>
      <c r="B3092" s="2" t="s">
        <v>8027</v>
      </c>
      <c r="C3092" s="2" t="s">
        <v>25</v>
      </c>
      <c r="D3092" s="2" t="s">
        <v>18</v>
      </c>
      <c r="E3092" s="3" t="s">
        <v>4389</v>
      </c>
      <c r="F3092" s="3" t="s">
        <v>4390</v>
      </c>
      <c r="G3092" s="3" t="s">
        <v>239</v>
      </c>
      <c r="H3092" s="2" t="s">
        <v>55</v>
      </c>
      <c r="I3092" s="2" t="s">
        <v>8028</v>
      </c>
      <c r="J3092" s="3" t="str">
        <f>HYPERLINK("https://www.boe.es/gazeta/dias/1809/02/06/pdfs/GMD-1809-37.pdf#page=3","Abrir facsímil")</f>
        <v>Abrir facsímil</v>
      </c>
      <c r="K3092" s="3" t="s">
        <v>57</v>
      </c>
    </row>
    <row r="3093" spans="1:11" ht="42" customHeight="1">
      <c r="A3093" s="2" t="s">
        <v>8027</v>
      </c>
      <c r="B3093" s="2" t="s">
        <v>8027</v>
      </c>
      <c r="C3093" s="2" t="s">
        <v>25</v>
      </c>
      <c r="D3093" s="2" t="s">
        <v>18</v>
      </c>
      <c r="E3093" s="3" t="s">
        <v>60</v>
      </c>
      <c r="F3093" s="3" t="s">
        <v>61</v>
      </c>
      <c r="G3093" s="3" t="s">
        <v>396</v>
      </c>
      <c r="H3093" s="2" t="s">
        <v>55</v>
      </c>
      <c r="I3093" s="2" t="s">
        <v>8029</v>
      </c>
      <c r="J3093" s="3" t="str">
        <f>HYPERLINK("https://www.boe.es/gazeta/dias/1809/02/07/pdfs/GMD-1809-38.pdf#page=1","Abrir facsímil")</f>
        <v>Abrir facsímil</v>
      </c>
      <c r="K3093" s="3" t="s">
        <v>57</v>
      </c>
    </row>
    <row r="3094" spans="1:11" ht="42" customHeight="1">
      <c r="A3094" s="2" t="s">
        <v>8027</v>
      </c>
      <c r="B3094" s="2" t="s">
        <v>8027</v>
      </c>
      <c r="C3094" s="2" t="s">
        <v>25</v>
      </c>
      <c r="D3094" s="2" t="s">
        <v>26</v>
      </c>
      <c r="E3094" s="3" t="s">
        <v>60</v>
      </c>
      <c r="F3094" s="3" t="s">
        <v>61</v>
      </c>
      <c r="G3094" s="3" t="s">
        <v>8030</v>
      </c>
      <c r="H3094" s="2" t="s">
        <v>55</v>
      </c>
      <c r="I3094" s="2" t="s">
        <v>8031</v>
      </c>
      <c r="J3094" s="3" t="str">
        <f>HYPERLINK("https://www.boe.es/gazeta/dias/1809/02/07/pdfs/GMD-1809-38.pdf#page=2","Abrir facsímil")</f>
        <v>Abrir facsímil</v>
      </c>
      <c r="K3094" s="3" t="s">
        <v>57</v>
      </c>
    </row>
    <row r="3095" spans="1:11" ht="42" customHeight="1">
      <c r="A3095" s="2" t="s">
        <v>8027</v>
      </c>
      <c r="B3095" s="2" t="s">
        <v>8027</v>
      </c>
      <c r="C3095" s="2" t="s">
        <v>25</v>
      </c>
      <c r="D3095" s="2" t="s">
        <v>26</v>
      </c>
      <c r="E3095" s="3" t="s">
        <v>113</v>
      </c>
      <c r="F3095" s="3" t="s">
        <v>3549</v>
      </c>
      <c r="G3095" s="3" t="s">
        <v>129</v>
      </c>
      <c r="H3095" s="2" t="s">
        <v>55</v>
      </c>
      <c r="I3095" s="2" t="s">
        <v>8032</v>
      </c>
      <c r="J3095" s="3" t="str">
        <f>HYPERLINK("https://www.boe.es/gazeta/dias/1809/04/24/pdfs/GGB-G-1809-21.pdf#page=2","Abrir facsímil")</f>
        <v>Abrir facsímil</v>
      </c>
      <c r="K3095" s="3" t="s">
        <v>57</v>
      </c>
    </row>
    <row r="3096" spans="1:11" ht="42" customHeight="1">
      <c r="A3096" s="2" t="s">
        <v>8033</v>
      </c>
      <c r="B3096" s="2" t="s">
        <v>8033</v>
      </c>
      <c r="C3096" s="2" t="s">
        <v>25</v>
      </c>
      <c r="D3096" s="2" t="s">
        <v>107</v>
      </c>
      <c r="E3096" s="3" t="s">
        <v>258</v>
      </c>
      <c r="F3096" s="3" t="s">
        <v>2612</v>
      </c>
      <c r="G3096" s="3" t="s">
        <v>2325</v>
      </c>
      <c r="H3096" s="2" t="s">
        <v>55</v>
      </c>
      <c r="I3096" s="2" t="s">
        <v>8034</v>
      </c>
      <c r="J3096" s="3" t="str">
        <f>HYPERLINK("https://www.boe.es/gazeta/dias/1809/03/17/pdfs/GGB-H-1809-12.pdf#page=1","Abrir facsímil")</f>
        <v>Abrir facsímil</v>
      </c>
      <c r="K3096" s="3" t="s">
        <v>57</v>
      </c>
    </row>
    <row r="3097" spans="1:11" ht="42" customHeight="1">
      <c r="A3097" s="2" t="s">
        <v>8033</v>
      </c>
      <c r="B3097" s="2" t="s">
        <v>8033</v>
      </c>
      <c r="C3097" s="2" t="s">
        <v>25</v>
      </c>
      <c r="D3097" s="2" t="s">
        <v>107</v>
      </c>
      <c r="E3097" s="3" t="s">
        <v>1603</v>
      </c>
      <c r="F3097" s="3" t="s">
        <v>1604</v>
      </c>
      <c r="G3097" s="3" t="s">
        <v>62</v>
      </c>
      <c r="H3097" s="2" t="s">
        <v>55</v>
      </c>
      <c r="I3097" s="2" t="s">
        <v>8035</v>
      </c>
      <c r="J3097" s="3" t="str">
        <f>HYPERLINK("https://www.boe.es/gazeta/dias/1809/03/31/pdfs/GGB-1809-14.pdf#page=1","Abrir facsímil")</f>
        <v>Abrir facsímil</v>
      </c>
      <c r="K3097" s="3" t="s">
        <v>57</v>
      </c>
    </row>
    <row r="3098" spans="1:11" ht="42" customHeight="1">
      <c r="A3098" s="2" t="s">
        <v>8036</v>
      </c>
      <c r="B3098" s="2" t="s">
        <v>8037</v>
      </c>
      <c r="C3098" s="2" t="s">
        <v>288</v>
      </c>
      <c r="D3098" s="2" t="s">
        <v>18</v>
      </c>
      <c r="E3098" s="3" t="s">
        <v>4361</v>
      </c>
      <c r="F3098" s="3" t="s">
        <v>4362</v>
      </c>
      <c r="G3098" s="3" t="s">
        <v>918</v>
      </c>
      <c r="H3098" s="2" t="s">
        <v>55</v>
      </c>
      <c r="I3098" s="2" t="s">
        <v>8038</v>
      </c>
      <c r="J3098" s="3" t="str">
        <f>HYPERLINK("https://www.boe.es/gazeta/dias/1809/01/28/pdfs/GMD-1809-28.pdf#page=4","Abrir facsímil")</f>
        <v>Abrir facsímil</v>
      </c>
      <c r="K3098" s="3" t="s">
        <v>57</v>
      </c>
    </row>
    <row r="3099" spans="1:11" ht="42" customHeight="1">
      <c r="A3099" s="2" t="s">
        <v>8039</v>
      </c>
      <c r="B3099" s="2" t="s">
        <v>8039</v>
      </c>
      <c r="C3099" s="2" t="s">
        <v>131</v>
      </c>
      <c r="D3099" s="2" t="s">
        <v>72</v>
      </c>
      <c r="E3099" s="3" t="s">
        <v>3521</v>
      </c>
      <c r="F3099" s="3" t="s">
        <v>5399</v>
      </c>
      <c r="G3099" s="3" t="s">
        <v>75</v>
      </c>
      <c r="H3099" s="2" t="s">
        <v>55</v>
      </c>
      <c r="I3099" s="2" t="s">
        <v>8040</v>
      </c>
      <c r="J3099" s="3" t="str">
        <f>HYPERLINK("https://www.boe.es/gazeta/dias/1809/02/24/pdfs/GGB-G-1809-9.pdf#page=6","Abrir facsímil")</f>
        <v>Abrir facsímil</v>
      </c>
      <c r="K3099" s="3" t="s">
        <v>57</v>
      </c>
    </row>
    <row r="3100" spans="1:11" ht="42" customHeight="1">
      <c r="A3100" s="2" t="s">
        <v>8039</v>
      </c>
      <c r="B3100" s="2" t="s">
        <v>8039</v>
      </c>
      <c r="C3100" s="2" t="s">
        <v>25</v>
      </c>
      <c r="D3100" s="2" t="s">
        <v>18</v>
      </c>
      <c r="E3100" s="3" t="s">
        <v>3949</v>
      </c>
      <c r="F3100" s="3" t="s">
        <v>3950</v>
      </c>
      <c r="G3100" s="3" t="s">
        <v>935</v>
      </c>
      <c r="H3100" s="2" t="s">
        <v>55</v>
      </c>
      <c r="I3100" s="2" t="s">
        <v>8041</v>
      </c>
      <c r="J3100" s="3" t="str">
        <f>HYPERLINK("https://www.boe.es/gazeta/dias/1809/09/09/pdfs/GGB-1809-172.pdf#page=6","Abrir facsímil")</f>
        <v>Abrir facsímil</v>
      </c>
      <c r="K3100" s="3" t="s">
        <v>57</v>
      </c>
    </row>
    <row r="3101" spans="1:11" ht="42" customHeight="1">
      <c r="A3101" s="2" t="s">
        <v>8039</v>
      </c>
      <c r="B3101" s="2" t="s">
        <v>8039</v>
      </c>
      <c r="C3101" s="2" t="s">
        <v>131</v>
      </c>
      <c r="D3101" s="2" t="s">
        <v>26</v>
      </c>
      <c r="E3101" s="3" t="s">
        <v>1803</v>
      </c>
      <c r="F3101" s="3" t="s">
        <v>6955</v>
      </c>
      <c r="G3101" s="3" t="s">
        <v>8042</v>
      </c>
      <c r="H3101" s="2" t="s">
        <v>55</v>
      </c>
      <c r="I3101" s="2" t="s">
        <v>8043</v>
      </c>
      <c r="J3101" s="3" t="str">
        <f>HYPERLINK("https://www.boe.es/gazeta/dias/1809/10/12/pdfs/GGB-1809-312.pdf#page=1","Abrir facsímil")</f>
        <v>Abrir facsímil</v>
      </c>
      <c r="K3101" s="3" t="s">
        <v>57</v>
      </c>
    </row>
    <row r="3102" spans="1:11" ht="42" customHeight="1">
      <c r="A3102" s="2" t="s">
        <v>8039</v>
      </c>
      <c r="B3102" s="2" t="s">
        <v>8039</v>
      </c>
      <c r="C3102" s="2" t="s">
        <v>17</v>
      </c>
      <c r="D3102" s="2" t="s">
        <v>18</v>
      </c>
      <c r="E3102" s="3" t="s">
        <v>1803</v>
      </c>
      <c r="F3102" s="3" t="s">
        <v>6955</v>
      </c>
      <c r="G3102" s="3" t="s">
        <v>6956</v>
      </c>
      <c r="H3102" s="2" t="s">
        <v>55</v>
      </c>
      <c r="I3102" s="2" t="s">
        <v>8044</v>
      </c>
      <c r="J3102" s="3" t="str">
        <f>HYPERLINK("https://www.boe.es/gazeta/dias/1809/10/12/pdfs/GGB-1809-312.pdf#page=5","Abrir facsímil")</f>
        <v>Abrir facsímil</v>
      </c>
      <c r="K3102" s="3" t="s">
        <v>57</v>
      </c>
    </row>
    <row r="3103" spans="1:11" ht="42" customHeight="1">
      <c r="A3103" s="2" t="s">
        <v>8039</v>
      </c>
      <c r="B3103" s="2" t="s">
        <v>8039</v>
      </c>
      <c r="C3103" s="2" t="s">
        <v>17</v>
      </c>
      <c r="D3103" s="2" t="s">
        <v>18</v>
      </c>
      <c r="E3103" s="3" t="s">
        <v>695</v>
      </c>
      <c r="F3103" s="3" t="s">
        <v>696</v>
      </c>
      <c r="G3103" s="3" t="s">
        <v>1175</v>
      </c>
      <c r="H3103" s="2" t="s">
        <v>55</v>
      </c>
      <c r="I3103" s="2" t="s">
        <v>8045</v>
      </c>
      <c r="J3103" s="3" t="str">
        <f>HYPERLINK("https://www.boe.es/gazeta/dias/1809/10/24/pdfs/GGB-1809-362.pdf#page=2","Abrir facsímil")</f>
        <v>Abrir facsímil</v>
      </c>
      <c r="K3103" s="3" t="s">
        <v>57</v>
      </c>
    </row>
    <row r="3104" spans="1:11" ht="42" customHeight="1">
      <c r="A3104" s="2" t="s">
        <v>8039</v>
      </c>
      <c r="B3104" s="2" t="s">
        <v>8039</v>
      </c>
      <c r="C3104" s="2" t="s">
        <v>25</v>
      </c>
      <c r="D3104" s="2" t="s">
        <v>18</v>
      </c>
      <c r="E3104" s="3" t="s">
        <v>1226</v>
      </c>
      <c r="F3104" s="3" t="s">
        <v>1566</v>
      </c>
      <c r="G3104" s="3" t="s">
        <v>110</v>
      </c>
      <c r="H3104" s="2" t="s">
        <v>55</v>
      </c>
      <c r="I3104" s="2" t="s">
        <v>8046</v>
      </c>
      <c r="J3104" s="3" t="str">
        <f>HYPERLINK("https://www.boe.es/gazeta/dias/1809/11/09/pdfs/GGB-1809-432.pdf#page=3","Abrir facsímil")</f>
        <v>Abrir facsímil</v>
      </c>
      <c r="K3104" s="3" t="s">
        <v>57</v>
      </c>
    </row>
    <row r="3105" spans="1:11" ht="42" customHeight="1">
      <c r="A3105" s="2" t="s">
        <v>8039</v>
      </c>
      <c r="B3105" s="2" t="s">
        <v>8039</v>
      </c>
      <c r="C3105" s="2" t="s">
        <v>25</v>
      </c>
      <c r="D3105" s="2" t="s">
        <v>18</v>
      </c>
      <c r="E3105" s="3" t="s">
        <v>883</v>
      </c>
      <c r="F3105" s="3" t="s">
        <v>5874</v>
      </c>
      <c r="G3105" s="3" t="s">
        <v>5875</v>
      </c>
      <c r="H3105" s="2" t="s">
        <v>55</v>
      </c>
      <c r="I3105" s="2" t="s">
        <v>8047</v>
      </c>
      <c r="J3105" s="3" t="str">
        <f>HYPERLINK("https://www.boe.es/gazeta/dias/1809/12/21/pdfs/GGB-1809-612.pdf#page=4","Abrir facsímil")</f>
        <v>Abrir facsímil</v>
      </c>
      <c r="K3105" s="3" t="s">
        <v>57</v>
      </c>
    </row>
    <row r="3106" spans="1:11" ht="42" customHeight="1">
      <c r="A3106" s="2" t="s">
        <v>8048</v>
      </c>
      <c r="B3106" s="2" t="s">
        <v>8048</v>
      </c>
      <c r="C3106" s="2" t="s">
        <v>25</v>
      </c>
      <c r="D3106" s="2" t="s">
        <v>18</v>
      </c>
      <c r="E3106" s="3" t="s">
        <v>1123</v>
      </c>
      <c r="F3106" s="3" t="s">
        <v>1124</v>
      </c>
      <c r="G3106" s="3" t="s">
        <v>21</v>
      </c>
      <c r="H3106" s="2" t="s">
        <v>55</v>
      </c>
      <c r="I3106" s="2" t="s">
        <v>8049</v>
      </c>
      <c r="J3106" s="3" t="str">
        <f>HYPERLINK("https://www.boe.es/gazeta/dias/1809/01/08/pdfs/GMD-1809-8.pdf#page=5","Abrir facsímil")</f>
        <v>Abrir facsímil</v>
      </c>
      <c r="K3106" s="3" t="s">
        <v>57</v>
      </c>
    </row>
    <row r="3107" spans="1:11" ht="42" customHeight="1">
      <c r="A3107" s="2" t="s">
        <v>8048</v>
      </c>
      <c r="B3107" s="2" t="s">
        <v>8048</v>
      </c>
      <c r="C3107" s="2" t="s">
        <v>17</v>
      </c>
      <c r="D3107" s="2" t="s">
        <v>18</v>
      </c>
      <c r="E3107" s="3" t="s">
        <v>81</v>
      </c>
      <c r="F3107" s="3" t="s">
        <v>1251</v>
      </c>
      <c r="G3107" s="3" t="s">
        <v>21</v>
      </c>
      <c r="H3107" s="2" t="s">
        <v>55</v>
      </c>
      <c r="I3107" s="2" t="s">
        <v>8050</v>
      </c>
      <c r="J3107" s="3" t="str">
        <f>HYPERLINK("https://www.boe.es/gazeta/dias/1809/04/11/pdfs/GMD-1809-101.pdf#page=3","Abrir facsímil")</f>
        <v>Abrir facsímil</v>
      </c>
      <c r="K3107" s="3" t="s">
        <v>57</v>
      </c>
    </row>
    <row r="3108" spans="1:11" ht="42" customHeight="1">
      <c r="A3108" s="2" t="s">
        <v>8048</v>
      </c>
      <c r="B3108" s="2" t="s">
        <v>8048</v>
      </c>
      <c r="C3108" s="2" t="s">
        <v>17</v>
      </c>
      <c r="D3108" s="2" t="s">
        <v>107</v>
      </c>
      <c r="E3108" s="3" t="s">
        <v>2607</v>
      </c>
      <c r="F3108" s="3" t="s">
        <v>2608</v>
      </c>
      <c r="G3108" s="3" t="s">
        <v>21</v>
      </c>
      <c r="H3108" s="2" t="s">
        <v>55</v>
      </c>
      <c r="I3108" s="2" t="s">
        <v>8051</v>
      </c>
      <c r="J3108" s="3" t="str">
        <f>HYPERLINK("https://www.boe.es/gazeta/dias/1809/04/30/pdfs/GMD-1809-120.pdf#page=3","Abrir facsímil")</f>
        <v>Abrir facsímil</v>
      </c>
      <c r="K3108" s="3" t="s">
        <v>57</v>
      </c>
    </row>
    <row r="3109" spans="1:11" ht="42" customHeight="1">
      <c r="A3109" s="2" t="s">
        <v>8052</v>
      </c>
      <c r="B3109" s="2" t="s">
        <v>8052</v>
      </c>
      <c r="C3109" s="2" t="s">
        <v>25</v>
      </c>
      <c r="D3109" s="2" t="s">
        <v>18</v>
      </c>
      <c r="E3109" s="3" t="s">
        <v>3195</v>
      </c>
      <c r="F3109" s="3" t="s">
        <v>3196</v>
      </c>
      <c r="G3109" s="3" t="s">
        <v>75</v>
      </c>
      <c r="H3109" s="2" t="s">
        <v>55</v>
      </c>
      <c r="I3109" s="2" t="s">
        <v>8053</v>
      </c>
      <c r="J3109" s="3" t="str">
        <f>HYPERLINK("https://www.boe.es/gazeta/dias/1809/01/26/pdfs/GMD-1809-26.pdf#page=4","Abrir facsímil")</f>
        <v>Abrir facsímil</v>
      </c>
      <c r="K3109" s="3" t="s">
        <v>57</v>
      </c>
    </row>
    <row r="3110" spans="1:11" ht="42" customHeight="1">
      <c r="A3110" s="2" t="s">
        <v>8054</v>
      </c>
      <c r="B3110" s="2" t="s">
        <v>8054</v>
      </c>
      <c r="C3110" s="2" t="s">
        <v>25</v>
      </c>
      <c r="D3110" s="2" t="s">
        <v>26</v>
      </c>
      <c r="E3110" s="3" t="s">
        <v>2051</v>
      </c>
      <c r="F3110" s="3" t="s">
        <v>2052</v>
      </c>
      <c r="G3110" s="3" t="s">
        <v>75</v>
      </c>
      <c r="H3110" s="2" t="s">
        <v>55</v>
      </c>
      <c r="I3110" s="2" t="s">
        <v>8055</v>
      </c>
      <c r="J3110" s="3" t="str">
        <f>HYPERLINK("https://www.boe.es/gazeta/dias/1809/07/19/pdfs/GMD-1809-200.pdf#page=3","Abrir facsímil")</f>
        <v>Abrir facsímil</v>
      </c>
      <c r="K3110" s="3" t="s">
        <v>57</v>
      </c>
    </row>
    <row r="3111" spans="1:11" ht="42" customHeight="1">
      <c r="A3111" s="2" t="s">
        <v>8056</v>
      </c>
      <c r="B3111" s="2" t="s">
        <v>8056</v>
      </c>
      <c r="C3111" s="2" t="s">
        <v>25</v>
      </c>
      <c r="D3111" s="2" t="s">
        <v>18</v>
      </c>
      <c r="E3111" s="3" t="s">
        <v>5350</v>
      </c>
      <c r="F3111" s="3" t="s">
        <v>5351</v>
      </c>
      <c r="G3111" s="3" t="s">
        <v>29</v>
      </c>
      <c r="H3111" s="2" t="s">
        <v>55</v>
      </c>
      <c r="I3111" s="2" t="s">
        <v>8057</v>
      </c>
      <c r="J3111" s="3" t="str">
        <f>HYPERLINK("https://www.boe.es/gazeta/dias/1809/05/25/pdfs/GMD-1809-145.pdf#page=3","Abrir facsímil")</f>
        <v>Abrir facsímil</v>
      </c>
      <c r="K3111" s="3" t="s">
        <v>57</v>
      </c>
    </row>
    <row r="3112" spans="1:11" ht="42" customHeight="1">
      <c r="A3112" s="2" t="s">
        <v>8058</v>
      </c>
      <c r="B3112" s="2" t="s">
        <v>8058</v>
      </c>
      <c r="C3112" s="2" t="s">
        <v>25</v>
      </c>
      <c r="D3112" s="2" t="s">
        <v>26</v>
      </c>
      <c r="E3112" s="3" t="s">
        <v>809</v>
      </c>
      <c r="F3112" s="3" t="s">
        <v>810</v>
      </c>
      <c r="G3112" s="3" t="s">
        <v>110</v>
      </c>
      <c r="H3112" s="2" t="s">
        <v>55</v>
      </c>
      <c r="I3112" s="2" t="s">
        <v>8059</v>
      </c>
      <c r="J3112" s="3" t="str">
        <f>HYPERLINK("https://www.boe.es/gazeta/dias/1809/08/19/pdfs/GMD-1809-232.pdf#page=2","Abrir facsímil")</f>
        <v>Abrir facsímil</v>
      </c>
      <c r="K3112" s="3" t="s">
        <v>57</v>
      </c>
    </row>
    <row r="3113" spans="1:11" ht="42" customHeight="1">
      <c r="A3113" s="2" t="s">
        <v>8060</v>
      </c>
      <c r="B3113" s="2" t="s">
        <v>8061</v>
      </c>
      <c r="C3113" s="2" t="s">
        <v>17</v>
      </c>
      <c r="D3113" s="2" t="s">
        <v>72</v>
      </c>
      <c r="E3113" s="3" t="s">
        <v>776</v>
      </c>
      <c r="F3113" s="3" t="s">
        <v>777</v>
      </c>
      <c r="G3113" s="3" t="s">
        <v>21</v>
      </c>
      <c r="H3113" s="2" t="s">
        <v>55</v>
      </c>
      <c r="I3113" s="2" t="s">
        <v>8062</v>
      </c>
      <c r="J3113" s="3" t="str">
        <f>HYPERLINK("https://www.boe.es/gazeta/dias/1809/05/28/pdfs/GMD-E-1809-148.pdf#page=2","Abrir facsímil")</f>
        <v>Abrir facsímil</v>
      </c>
      <c r="K3113" s="3" t="s">
        <v>57</v>
      </c>
    </row>
    <row r="3114" spans="1:11" ht="42" customHeight="1">
      <c r="A3114" s="2" t="s">
        <v>8063</v>
      </c>
      <c r="B3114" s="2" t="s">
        <v>8064</v>
      </c>
      <c r="C3114" s="2" t="s">
        <v>17</v>
      </c>
      <c r="D3114" s="2" t="s">
        <v>18</v>
      </c>
      <c r="E3114" s="3" t="s">
        <v>102</v>
      </c>
      <c r="F3114" s="3" t="s">
        <v>103</v>
      </c>
      <c r="G3114" s="3" t="s">
        <v>1091</v>
      </c>
      <c r="H3114" s="2" t="s">
        <v>55</v>
      </c>
      <c r="I3114" s="2" t="s">
        <v>8065</v>
      </c>
      <c r="J3114" s="3" t="str">
        <f>HYPERLINK("https://www.boe.es/gazeta/dias/1809/09/28/pdfs/GGB-1809-252.pdf#page=6","Abrir facsímil")</f>
        <v>Abrir facsímil</v>
      </c>
      <c r="K3114" s="3" t="s">
        <v>57</v>
      </c>
    </row>
    <row r="3115" spans="1:11" ht="42" customHeight="1">
      <c r="A3115" s="2" t="s">
        <v>8066</v>
      </c>
      <c r="B3115" s="2" t="s">
        <v>8066</v>
      </c>
      <c r="C3115" s="2" t="s">
        <v>25</v>
      </c>
      <c r="D3115" s="2" t="s">
        <v>18</v>
      </c>
      <c r="E3115" s="3" t="s">
        <v>1667</v>
      </c>
      <c r="F3115" s="3" t="s">
        <v>1668</v>
      </c>
      <c r="G3115" s="3" t="s">
        <v>129</v>
      </c>
      <c r="H3115" s="2" t="s">
        <v>55</v>
      </c>
      <c r="I3115" s="2" t="s">
        <v>8067</v>
      </c>
      <c r="J3115" s="3" t="str">
        <f>HYPERLINK("https://www.boe.es/gazeta/dias/1809/02/21/pdfs/GMD-1809-52.pdf#page=2","Abrir facsímil")</f>
        <v>Abrir facsímil</v>
      </c>
      <c r="K3115" s="3" t="s">
        <v>57</v>
      </c>
    </row>
    <row r="3116" spans="1:11" ht="42" customHeight="1">
      <c r="A3116" s="2" t="s">
        <v>8066</v>
      </c>
      <c r="B3116" s="2" t="s">
        <v>8066</v>
      </c>
      <c r="C3116" s="2" t="s">
        <v>25</v>
      </c>
      <c r="D3116" s="2" t="s">
        <v>72</v>
      </c>
      <c r="E3116" s="3" t="s">
        <v>258</v>
      </c>
      <c r="F3116" s="3" t="s">
        <v>1673</v>
      </c>
      <c r="G3116" s="3" t="s">
        <v>129</v>
      </c>
      <c r="H3116" s="2" t="s">
        <v>55</v>
      </c>
      <c r="I3116" s="2" t="s">
        <v>8068</v>
      </c>
      <c r="J3116" s="3" t="str">
        <f>HYPERLINK("https://www.boe.es/gazeta/dias/1809/03/17/pdfs/GGB-G-1809-12.pdf#page=2","Abrir facsímil")</f>
        <v>Abrir facsímil</v>
      </c>
      <c r="K3116" s="3" t="s">
        <v>57</v>
      </c>
    </row>
    <row r="3117" spans="1:11" ht="42" customHeight="1">
      <c r="A3117" s="2" t="s">
        <v>8069</v>
      </c>
      <c r="B3117" s="2" t="s">
        <v>8069</v>
      </c>
      <c r="C3117" s="2" t="s">
        <v>25</v>
      </c>
      <c r="D3117" s="2" t="s">
        <v>18</v>
      </c>
      <c r="E3117" s="3" t="s">
        <v>2595</v>
      </c>
      <c r="F3117" s="3" t="s">
        <v>2596</v>
      </c>
      <c r="G3117" s="3" t="s">
        <v>426</v>
      </c>
      <c r="H3117" s="2" t="s">
        <v>55</v>
      </c>
      <c r="I3117" s="2" t="s">
        <v>8070</v>
      </c>
      <c r="J3117" s="3" t="str">
        <f>HYPERLINK("https://www.boe.es/gazeta/dias/1809/06/16/pdfs/GMD-1809-167.pdf#page=2","Abrir facsímil")</f>
        <v>Abrir facsímil</v>
      </c>
      <c r="K3117" s="3" t="s">
        <v>57</v>
      </c>
    </row>
    <row r="3118" spans="1:11" ht="42" customHeight="1">
      <c r="A3118" s="2" t="s">
        <v>8071</v>
      </c>
      <c r="B3118" s="2" t="s">
        <v>8071</v>
      </c>
      <c r="C3118" s="2" t="s">
        <v>25</v>
      </c>
      <c r="D3118" s="2" t="s">
        <v>107</v>
      </c>
      <c r="E3118" s="3" t="s">
        <v>2595</v>
      </c>
      <c r="F3118" s="3" t="s">
        <v>2596</v>
      </c>
      <c r="G3118" s="3" t="s">
        <v>426</v>
      </c>
      <c r="H3118" s="2" t="s">
        <v>55</v>
      </c>
      <c r="I3118" s="2" t="s">
        <v>8072</v>
      </c>
      <c r="J3118" s="3" t="str">
        <f>HYPERLINK("https://www.boe.es/gazeta/dias/1809/06/16/pdfs/GMD-1809-167.pdf#page=2","Abrir facsímil")</f>
        <v>Abrir facsímil</v>
      </c>
      <c r="K3118" s="3" t="s">
        <v>57</v>
      </c>
    </row>
    <row r="3119" spans="1:11" ht="42" customHeight="1">
      <c r="A3119" s="2" t="s">
        <v>8071</v>
      </c>
      <c r="B3119" s="2" t="s">
        <v>8071</v>
      </c>
      <c r="C3119" s="2" t="s">
        <v>25</v>
      </c>
      <c r="D3119" s="2" t="s">
        <v>26</v>
      </c>
      <c r="E3119" s="3" t="s">
        <v>1761</v>
      </c>
      <c r="F3119" s="3" t="s">
        <v>1762</v>
      </c>
      <c r="G3119" s="3" t="s">
        <v>234</v>
      </c>
      <c r="H3119" s="2" t="s">
        <v>55</v>
      </c>
      <c r="I3119" s="2" t="s">
        <v>8073</v>
      </c>
      <c r="J3119" s="3" t="str">
        <f>HYPERLINK("https://www.boe.es/gazeta/dias/1809/10/18/pdfs/GMD-1809-292.pdf#page=3","Abrir facsímil")</f>
        <v>Abrir facsímil</v>
      </c>
      <c r="K3119" s="3" t="s">
        <v>57</v>
      </c>
    </row>
    <row r="3120" spans="1:11" ht="42" customHeight="1">
      <c r="A3120" s="2" t="s">
        <v>8074</v>
      </c>
      <c r="B3120" s="2" t="s">
        <v>8074</v>
      </c>
      <c r="C3120" s="2" t="s">
        <v>131</v>
      </c>
      <c r="D3120" s="2" t="s">
        <v>18</v>
      </c>
      <c r="E3120" s="3" t="s">
        <v>179</v>
      </c>
      <c r="F3120" s="3" t="s">
        <v>2418</v>
      </c>
      <c r="G3120" s="3" t="s">
        <v>525</v>
      </c>
      <c r="H3120" s="2" t="s">
        <v>55</v>
      </c>
      <c r="I3120" s="2" t="s">
        <v>8075</v>
      </c>
      <c r="J3120" s="3" t="str">
        <f>HYPERLINK("https://www.boe.es/gazeta/dias/1809/12/08/pdfs/GMD-1809-343.pdf#page=4","Abrir facsímil")</f>
        <v>Abrir facsímil</v>
      </c>
      <c r="K3120" s="3" t="s">
        <v>57</v>
      </c>
    </row>
    <row r="3121" spans="1:11" ht="42" customHeight="1">
      <c r="A3121" s="2" t="s">
        <v>8076</v>
      </c>
      <c r="B3121" s="2" t="s">
        <v>8076</v>
      </c>
      <c r="C3121" s="2" t="s">
        <v>17</v>
      </c>
      <c r="D3121" s="2" t="s">
        <v>72</v>
      </c>
      <c r="E3121" s="3" t="s">
        <v>557</v>
      </c>
      <c r="F3121" s="3" t="s">
        <v>558</v>
      </c>
      <c r="G3121" s="3" t="s">
        <v>21</v>
      </c>
      <c r="H3121" s="2" t="s">
        <v>55</v>
      </c>
      <c r="I3121" s="2" t="s">
        <v>8077</v>
      </c>
      <c r="J3121" s="3" t="str">
        <f>HYPERLINK("https://www.boe.es/gazeta/dias/1809/04/19/pdfs/GMD-E-1809-109.pdf#page=1","Abrir facsímil")</f>
        <v>Abrir facsímil</v>
      </c>
      <c r="K3121" s="3" t="s">
        <v>57</v>
      </c>
    </row>
    <row r="3122" spans="1:11" ht="42" customHeight="1">
      <c r="A3122" s="2" t="s">
        <v>8076</v>
      </c>
      <c r="B3122" s="2" t="s">
        <v>8076</v>
      </c>
      <c r="C3122" s="2" t="s">
        <v>17</v>
      </c>
      <c r="D3122" s="2" t="s">
        <v>72</v>
      </c>
      <c r="E3122" s="3" t="s">
        <v>557</v>
      </c>
      <c r="F3122" s="3" t="s">
        <v>558</v>
      </c>
      <c r="G3122" s="3" t="s">
        <v>265</v>
      </c>
      <c r="H3122" s="2" t="s">
        <v>55</v>
      </c>
      <c r="I3122" s="2" t="s">
        <v>8078</v>
      </c>
      <c r="J3122" s="3" t="str">
        <f>HYPERLINK("https://www.boe.es/gazeta/dias/1809/04/19/pdfs/GMD-E-1809-109.pdf#page=2","Abrir facsímil")</f>
        <v>Abrir facsímil</v>
      </c>
      <c r="K3122" s="3" t="s">
        <v>57</v>
      </c>
    </row>
    <row r="3123" spans="1:11" ht="42" customHeight="1">
      <c r="A3123" s="2" t="s">
        <v>8076</v>
      </c>
      <c r="B3123" s="2" t="s">
        <v>8076</v>
      </c>
      <c r="C3123" s="2" t="s">
        <v>17</v>
      </c>
      <c r="D3123" s="2" t="s">
        <v>72</v>
      </c>
      <c r="E3123" s="3" t="s">
        <v>2599</v>
      </c>
      <c r="F3123" s="3" t="s">
        <v>3377</v>
      </c>
      <c r="G3123" s="3" t="s">
        <v>2422</v>
      </c>
      <c r="H3123" s="2" t="s">
        <v>55</v>
      </c>
      <c r="I3123" s="2" t="s">
        <v>8079</v>
      </c>
      <c r="J3123" s="3" t="str">
        <f>HYPERLINK("https://www.boe.es/gazeta/dias/1809/05/11/pdfs/GMD-E-1809-131.pdf#page=1","Abrir facsímil")</f>
        <v>Abrir facsímil</v>
      </c>
      <c r="K3123" s="3" t="s">
        <v>57</v>
      </c>
    </row>
    <row r="3124" spans="1:11" ht="42" customHeight="1">
      <c r="A3124" s="2" t="s">
        <v>8076</v>
      </c>
      <c r="B3124" s="2" t="s">
        <v>8076</v>
      </c>
      <c r="C3124" s="2" t="s">
        <v>47</v>
      </c>
      <c r="D3124" s="2" t="s">
        <v>18</v>
      </c>
      <c r="E3124" s="3" t="s">
        <v>487</v>
      </c>
      <c r="F3124" s="3" t="s">
        <v>5579</v>
      </c>
      <c r="G3124" s="3" t="s">
        <v>6822</v>
      </c>
      <c r="H3124" s="2" t="s">
        <v>55</v>
      </c>
      <c r="I3124" s="2" t="s">
        <v>8080</v>
      </c>
      <c r="J3124" s="3" t="str">
        <f>HYPERLINK("https://www.boe.es/gazeta/dias/1809/10/21/pdfs/GMD-1809-295.pdf#page=3","Abrir facsímil")</f>
        <v>Abrir facsímil</v>
      </c>
      <c r="K3124" s="3" t="s">
        <v>57</v>
      </c>
    </row>
    <row r="3125" spans="1:11" ht="42" customHeight="1">
      <c r="A3125" s="2" t="s">
        <v>8081</v>
      </c>
      <c r="B3125" s="2" t="s">
        <v>8081</v>
      </c>
      <c r="C3125" s="2" t="s">
        <v>17</v>
      </c>
      <c r="D3125" s="2" t="s">
        <v>18</v>
      </c>
      <c r="E3125" s="3" t="s">
        <v>390</v>
      </c>
      <c r="F3125" s="3" t="s">
        <v>391</v>
      </c>
      <c r="G3125" s="3" t="s">
        <v>3729</v>
      </c>
      <c r="H3125" s="2" t="s">
        <v>55</v>
      </c>
      <c r="I3125" s="2" t="s">
        <v>8082</v>
      </c>
      <c r="J3125" s="3" t="str">
        <f>HYPERLINK("https://www.boe.es/gazeta/dias/1809/10/19/pdfs/GGB-1809-342.pdf#page=7","Abrir facsímil")</f>
        <v>Abrir facsímil</v>
      </c>
      <c r="K3125" s="3" t="s">
        <v>57</v>
      </c>
    </row>
    <row r="3126" spans="1:11" ht="42" customHeight="1">
      <c r="A3126" s="2" t="s">
        <v>8081</v>
      </c>
      <c r="B3126" s="2" t="s">
        <v>8081</v>
      </c>
      <c r="C3126" s="2" t="s">
        <v>47</v>
      </c>
      <c r="D3126" s="2" t="s">
        <v>18</v>
      </c>
      <c r="E3126" s="3" t="s">
        <v>211</v>
      </c>
      <c r="F3126" s="3" t="s">
        <v>212</v>
      </c>
      <c r="G3126" s="3" t="s">
        <v>29</v>
      </c>
      <c r="H3126" s="2" t="s">
        <v>55</v>
      </c>
      <c r="I3126" s="2" t="s">
        <v>8083</v>
      </c>
      <c r="J3126" s="3" t="str">
        <f>HYPERLINK("https://www.boe.es/gazeta/dias/1809/10/27/pdfs/GMD-1809-301.pdf#page=3","Abrir facsímil")</f>
        <v>Abrir facsímil</v>
      </c>
      <c r="K3126" s="3" t="s">
        <v>57</v>
      </c>
    </row>
    <row r="3127" spans="1:11" ht="42" customHeight="1">
      <c r="A3127" s="2" t="s">
        <v>8081</v>
      </c>
      <c r="B3127" s="2" t="s">
        <v>8081</v>
      </c>
      <c r="C3127" s="2" t="s">
        <v>25</v>
      </c>
      <c r="D3127" s="2" t="s">
        <v>26</v>
      </c>
      <c r="E3127" s="3" t="s">
        <v>216</v>
      </c>
      <c r="F3127" s="3" t="s">
        <v>217</v>
      </c>
      <c r="G3127" s="3" t="s">
        <v>587</v>
      </c>
      <c r="H3127" s="2" t="s">
        <v>55</v>
      </c>
      <c r="I3127" s="2" t="s">
        <v>8084</v>
      </c>
      <c r="J3127" s="3" t="str">
        <f>HYPERLINK("https://www.boe.es/gazeta/dias/1809/12/05/pdfs/GGB-H-1809-542.pdf#page=4","Abrir facsímil")</f>
        <v>Abrir facsímil</v>
      </c>
      <c r="K3127" s="3" t="s">
        <v>57</v>
      </c>
    </row>
    <row r="3128" spans="1:11" ht="42" customHeight="1">
      <c r="A3128" s="2" t="s">
        <v>8085</v>
      </c>
      <c r="B3128" s="2" t="s">
        <v>8085</v>
      </c>
      <c r="C3128" s="2" t="s">
        <v>17</v>
      </c>
      <c r="D3128" s="2" t="s">
        <v>18</v>
      </c>
      <c r="E3128" s="3" t="s">
        <v>508</v>
      </c>
      <c r="F3128" s="3" t="s">
        <v>509</v>
      </c>
      <c r="G3128" s="3" t="s">
        <v>316</v>
      </c>
      <c r="H3128" s="2" t="s">
        <v>55</v>
      </c>
      <c r="I3128" s="2" t="s">
        <v>8086</v>
      </c>
      <c r="J3128" s="3" t="str">
        <f>HYPERLINK("https://www.boe.es/gazeta/dias/1809/06/21/pdfs/GMD-1809-172.pdf#page=4","Abrir facsímil")</f>
        <v>Abrir facsímil</v>
      </c>
      <c r="K3128" s="3" t="s">
        <v>57</v>
      </c>
    </row>
    <row r="3129" spans="1:11" ht="42" customHeight="1">
      <c r="A3129" s="2" t="s">
        <v>8087</v>
      </c>
      <c r="B3129" s="2" t="s">
        <v>8088</v>
      </c>
      <c r="C3129" s="2" t="s">
        <v>25</v>
      </c>
      <c r="D3129" s="2" t="s">
        <v>26</v>
      </c>
      <c r="E3129" s="3" t="s">
        <v>216</v>
      </c>
      <c r="F3129" s="3" t="s">
        <v>217</v>
      </c>
      <c r="G3129" s="3" t="s">
        <v>587</v>
      </c>
      <c r="H3129" s="2" t="s">
        <v>55</v>
      </c>
      <c r="I3129" s="2" t="s">
        <v>8089</v>
      </c>
      <c r="J3129" s="3" t="str">
        <f>HYPERLINK("https://www.boe.es/gazeta/dias/1809/12/05/pdfs/GGB-H-1809-542.pdf#page=4","Abrir facsímil")</f>
        <v>Abrir facsímil</v>
      </c>
      <c r="K3129" s="3" t="s">
        <v>57</v>
      </c>
    </row>
    <row r="3130" spans="1:11" ht="42" customHeight="1">
      <c r="A3130" s="2" t="s">
        <v>8090</v>
      </c>
      <c r="B3130" s="2" t="s">
        <v>8090</v>
      </c>
      <c r="C3130" s="2" t="s">
        <v>25</v>
      </c>
      <c r="D3130" s="2" t="s">
        <v>18</v>
      </c>
      <c r="E3130" s="3" t="s">
        <v>809</v>
      </c>
      <c r="F3130" s="3" t="s">
        <v>1402</v>
      </c>
      <c r="G3130" s="3" t="s">
        <v>484</v>
      </c>
      <c r="H3130" s="2" t="s">
        <v>55</v>
      </c>
      <c r="I3130" s="2" t="s">
        <v>8091</v>
      </c>
      <c r="J3130" s="3" t="str">
        <f>HYPERLINK("https://www.boe.es/gazeta/dias/1809/08/19/pdfs/GGB-1809-82.pdf#page=4","Abrir facsímil")</f>
        <v>Abrir facsímil</v>
      </c>
      <c r="K3130" s="3" t="s">
        <v>57</v>
      </c>
    </row>
    <row r="3131" spans="1:11" ht="42" customHeight="1">
      <c r="A3131" s="2" t="s">
        <v>8090</v>
      </c>
      <c r="B3131" s="2" t="s">
        <v>8090</v>
      </c>
      <c r="C3131" s="2" t="s">
        <v>131</v>
      </c>
      <c r="D3131" s="2" t="s">
        <v>26</v>
      </c>
      <c r="E3131" s="3" t="s">
        <v>487</v>
      </c>
      <c r="F3131" s="3" t="s">
        <v>488</v>
      </c>
      <c r="G3131" s="3" t="s">
        <v>8092</v>
      </c>
      <c r="H3131" s="2" t="s">
        <v>55</v>
      </c>
      <c r="I3131" s="2" t="s">
        <v>8093</v>
      </c>
      <c r="J3131" s="3" t="str">
        <f>HYPERLINK("https://www.boe.es/gazeta/dias/1809/10/21/pdfs/GGB-1809-352.pdf#page=3","Abrir facsímil")</f>
        <v>Abrir facsímil</v>
      </c>
      <c r="K3131" s="3" t="s">
        <v>57</v>
      </c>
    </row>
    <row r="3132" spans="1:11" ht="42" customHeight="1">
      <c r="A3132" s="2" t="s">
        <v>8094</v>
      </c>
      <c r="B3132" s="2" t="s">
        <v>8095</v>
      </c>
      <c r="C3132" s="2" t="s">
        <v>131</v>
      </c>
      <c r="D3132" s="2" t="s">
        <v>26</v>
      </c>
      <c r="E3132" s="3" t="s">
        <v>515</v>
      </c>
      <c r="F3132" s="3" t="s">
        <v>516</v>
      </c>
      <c r="G3132" s="3" t="s">
        <v>120</v>
      </c>
      <c r="H3132" s="2" t="s">
        <v>55</v>
      </c>
      <c r="I3132" s="2" t="s">
        <v>8096</v>
      </c>
      <c r="J3132" s="3" t="str">
        <f>HYPERLINK("https://www.boe.es/gazeta/dias/1809/09/02/pdfs/GMD-1809-246.pdf#page=2","Abrir facsímil")</f>
        <v>Abrir facsímil</v>
      </c>
      <c r="K3132" s="3" t="s">
        <v>57</v>
      </c>
    </row>
    <row r="3133" spans="1:11" ht="42" customHeight="1">
      <c r="A3133" s="2" t="s">
        <v>8094</v>
      </c>
      <c r="B3133" s="2" t="s">
        <v>8095</v>
      </c>
      <c r="C3133" s="2" t="s">
        <v>25</v>
      </c>
      <c r="D3133" s="2" t="s">
        <v>26</v>
      </c>
      <c r="E3133" s="3" t="s">
        <v>211</v>
      </c>
      <c r="F3133" s="3" t="s">
        <v>212</v>
      </c>
      <c r="G3133" s="3" t="s">
        <v>29</v>
      </c>
      <c r="H3133" s="2" t="s">
        <v>55</v>
      </c>
      <c r="I3133" s="2" t="s">
        <v>8097</v>
      </c>
      <c r="J3133" s="3" t="str">
        <f>HYPERLINK("https://www.boe.es/gazeta/dias/1809/10/27/pdfs/GMD-1809-301.pdf#page=3","Abrir facsímil")</f>
        <v>Abrir facsímil</v>
      </c>
      <c r="K3133" s="3" t="s">
        <v>57</v>
      </c>
    </row>
    <row r="3134" spans="1:11" ht="42" customHeight="1">
      <c r="A3134" s="2" t="s">
        <v>8094</v>
      </c>
      <c r="B3134" s="2" t="s">
        <v>8095</v>
      </c>
      <c r="C3134" s="2" t="s">
        <v>25</v>
      </c>
      <c r="D3134" s="2" t="s">
        <v>18</v>
      </c>
      <c r="E3134" s="3" t="s">
        <v>473</v>
      </c>
      <c r="F3134" s="3" t="s">
        <v>474</v>
      </c>
      <c r="G3134" s="3" t="s">
        <v>234</v>
      </c>
      <c r="H3134" s="2" t="s">
        <v>55</v>
      </c>
      <c r="I3134" s="2" t="s">
        <v>8098</v>
      </c>
      <c r="J3134" s="3" t="str">
        <f>HYPERLINK("https://www.boe.es/gazeta/dias/1809/12/28/pdfs/GMD-1809-363.pdf#page=3","Abrir facsímil")</f>
        <v>Abrir facsímil</v>
      </c>
      <c r="K3134" s="3" t="s">
        <v>57</v>
      </c>
    </row>
    <row r="3135" spans="1:11" ht="42" customHeight="1">
      <c r="A3135" s="2" t="s">
        <v>8099</v>
      </c>
      <c r="B3135" s="2" t="s">
        <v>8100</v>
      </c>
      <c r="C3135" s="2" t="s">
        <v>17</v>
      </c>
      <c r="D3135" s="2" t="s">
        <v>40</v>
      </c>
      <c r="E3135" s="3" t="s">
        <v>196</v>
      </c>
      <c r="F3135" s="3" t="s">
        <v>197</v>
      </c>
      <c r="G3135" s="3" t="s">
        <v>198</v>
      </c>
      <c r="H3135" s="2" t="s">
        <v>55</v>
      </c>
      <c r="I3135" s="2" t="s">
        <v>8101</v>
      </c>
      <c r="J3135" s="3" t="str">
        <f>HYPERLINK("https://www.boe.es/gazeta/dias/1809/09/04/pdfs/GMD-1809-248.pdf#page=3","Abrir facsímil")</f>
        <v>Abrir facsímil</v>
      </c>
      <c r="K3135" s="3" t="s">
        <v>57</v>
      </c>
    </row>
    <row r="3136" spans="1:11" ht="42" customHeight="1">
      <c r="A3136" s="2" t="s">
        <v>8102</v>
      </c>
      <c r="B3136" s="2" t="s">
        <v>8102</v>
      </c>
      <c r="C3136" s="2" t="s">
        <v>25</v>
      </c>
      <c r="D3136" s="2" t="s">
        <v>18</v>
      </c>
      <c r="E3136" s="3" t="s">
        <v>158</v>
      </c>
      <c r="F3136" s="3" t="s">
        <v>159</v>
      </c>
      <c r="G3136" s="3" t="s">
        <v>129</v>
      </c>
      <c r="H3136" s="2" t="s">
        <v>55</v>
      </c>
      <c r="I3136" s="2" t="s">
        <v>8103</v>
      </c>
      <c r="J3136" s="3" t="str">
        <f>HYPERLINK("https://www.boe.es/gazeta/dias/1809/02/10/pdfs/GGB-1809-7.pdf#page=2","Abrir facsímil")</f>
        <v>Abrir facsímil</v>
      </c>
      <c r="K3136" s="3" t="s">
        <v>57</v>
      </c>
    </row>
    <row r="3137" spans="1:11" ht="42" customHeight="1">
      <c r="A3137" s="2" t="s">
        <v>8104</v>
      </c>
      <c r="B3137" s="2" t="s">
        <v>8104</v>
      </c>
      <c r="C3137" s="2" t="s">
        <v>25</v>
      </c>
      <c r="D3137" s="2" t="s">
        <v>26</v>
      </c>
      <c r="E3137" s="3" t="s">
        <v>1352</v>
      </c>
      <c r="F3137" s="3" t="s">
        <v>1353</v>
      </c>
      <c r="G3137" s="3" t="s">
        <v>75</v>
      </c>
      <c r="H3137" s="2" t="s">
        <v>55</v>
      </c>
      <c r="I3137" s="2" t="s">
        <v>8105</v>
      </c>
      <c r="J3137" s="3" t="str">
        <f>HYPERLINK("https://www.boe.es/gazeta/dias/1809/05/27/pdfs/GMD-1809-147.pdf#page=3","Abrir facsímil")</f>
        <v>Abrir facsímil</v>
      </c>
      <c r="K3137" s="3" t="s">
        <v>57</v>
      </c>
    </row>
    <row r="3138" spans="1:11" ht="42" customHeight="1">
      <c r="A3138" s="2" t="s">
        <v>8106</v>
      </c>
      <c r="B3138" s="2" t="s">
        <v>8106</v>
      </c>
      <c r="C3138" s="2" t="s">
        <v>25</v>
      </c>
      <c r="D3138" s="2" t="s">
        <v>18</v>
      </c>
      <c r="E3138" s="3" t="s">
        <v>445</v>
      </c>
      <c r="F3138" s="3" t="s">
        <v>446</v>
      </c>
      <c r="G3138" s="3" t="s">
        <v>62</v>
      </c>
      <c r="H3138" s="2" t="s">
        <v>55</v>
      </c>
      <c r="I3138" s="2" t="s">
        <v>8107</v>
      </c>
      <c r="J3138" s="3" t="str">
        <f>HYPERLINK("https://www.boe.es/gazeta/dias/1809/10/01/pdfs/GMD-1809-275.pdf#page=2","Abrir facsímil")</f>
        <v>Abrir facsímil</v>
      </c>
      <c r="K3138" s="3" t="s">
        <v>57</v>
      </c>
    </row>
    <row r="3139" spans="1:11" ht="42" customHeight="1">
      <c r="A3139" s="2" t="s">
        <v>8106</v>
      </c>
      <c r="B3139" s="2" t="s">
        <v>8106</v>
      </c>
      <c r="C3139" s="2" t="s">
        <v>25</v>
      </c>
      <c r="D3139" s="2" t="s">
        <v>107</v>
      </c>
      <c r="E3139" s="3" t="s">
        <v>1948</v>
      </c>
      <c r="F3139" s="3" t="s">
        <v>2055</v>
      </c>
      <c r="G3139" s="3" t="s">
        <v>2056</v>
      </c>
      <c r="H3139" s="2" t="s">
        <v>55</v>
      </c>
      <c r="I3139" s="2" t="s">
        <v>8108</v>
      </c>
      <c r="J3139" s="3" t="str">
        <f>HYPERLINK("https://www.boe.es/gazeta/dias/1809/12/23/pdfs/GMD-1809-358.pdf#page=1","Abrir facsímil")</f>
        <v>Abrir facsímil</v>
      </c>
      <c r="K3139" s="3" t="s">
        <v>57</v>
      </c>
    </row>
    <row r="3140" spans="1:11" ht="42" customHeight="1">
      <c r="A3140" s="2" t="s">
        <v>8109</v>
      </c>
      <c r="B3140" s="2" t="s">
        <v>8109</v>
      </c>
      <c r="C3140" s="2" t="s">
        <v>17</v>
      </c>
      <c r="D3140" s="2" t="s">
        <v>18</v>
      </c>
      <c r="E3140" s="3" t="s">
        <v>6141</v>
      </c>
      <c r="F3140" s="3" t="s">
        <v>8110</v>
      </c>
      <c r="G3140" s="3" t="s">
        <v>120</v>
      </c>
      <c r="H3140" s="2" t="s">
        <v>55</v>
      </c>
      <c r="I3140" s="2" t="s">
        <v>8111</v>
      </c>
      <c r="J3140" s="3" t="str">
        <f>HYPERLINK("https://www.boe.es/gazeta/dias/1809/12/12/pdfs/GGB-1809-572.pdf#page=1","Abrir facsímil")</f>
        <v>Abrir facsímil</v>
      </c>
      <c r="K3140" s="3" t="s">
        <v>57</v>
      </c>
    </row>
    <row r="3141" spans="1:11" ht="42" customHeight="1">
      <c r="A3141" s="2" t="s">
        <v>8112</v>
      </c>
      <c r="B3141" s="2" t="s">
        <v>8112</v>
      </c>
      <c r="C3141" s="2" t="s">
        <v>25</v>
      </c>
      <c r="D3141" s="2" t="s">
        <v>18</v>
      </c>
      <c r="E3141" s="3" t="s">
        <v>2331</v>
      </c>
      <c r="F3141" s="3" t="s">
        <v>2332</v>
      </c>
      <c r="G3141" s="3" t="s">
        <v>374</v>
      </c>
      <c r="H3141" s="2" t="s">
        <v>55</v>
      </c>
      <c r="I3141" s="2" t="s">
        <v>8113</v>
      </c>
      <c r="J3141" s="3" t="str">
        <f>HYPERLINK("https://www.boe.es/gazeta/dias/1809/03/22/pdfs/GMD-1809-81.pdf#page=4","Abrir facsímil")</f>
        <v>Abrir facsímil</v>
      </c>
      <c r="K3141" s="3" t="s">
        <v>57</v>
      </c>
    </row>
    <row r="3142" spans="1:11" ht="42" customHeight="1">
      <c r="A3142" s="2" t="s">
        <v>8114</v>
      </c>
      <c r="B3142" s="2" t="s">
        <v>8114</v>
      </c>
      <c r="C3142" s="2" t="s">
        <v>25</v>
      </c>
      <c r="D3142" s="2" t="s">
        <v>18</v>
      </c>
      <c r="E3142" s="3" t="s">
        <v>904</v>
      </c>
      <c r="F3142" s="3" t="s">
        <v>2393</v>
      </c>
      <c r="G3142" s="3" t="s">
        <v>396</v>
      </c>
      <c r="H3142" s="2" t="s">
        <v>55</v>
      </c>
      <c r="I3142" s="2" t="s">
        <v>8115</v>
      </c>
      <c r="J3142" s="3" t="str">
        <f>HYPERLINK("https://www.boe.es/gazeta/dias/1809/07/07/pdfs/GMD-1809-188.pdf#page=2","Abrir facsímil")</f>
        <v>Abrir facsímil</v>
      </c>
      <c r="K3142" s="3" t="s">
        <v>57</v>
      </c>
    </row>
    <row r="3143" spans="1:11" ht="42" customHeight="1">
      <c r="A3143" s="2" t="s">
        <v>8114</v>
      </c>
      <c r="B3143" s="2" t="s">
        <v>8114</v>
      </c>
      <c r="C3143" s="2" t="s">
        <v>25</v>
      </c>
      <c r="D3143" s="2" t="s">
        <v>18</v>
      </c>
      <c r="E3143" s="3" t="s">
        <v>2051</v>
      </c>
      <c r="F3143" s="3" t="s">
        <v>2052</v>
      </c>
      <c r="G3143" s="3" t="s">
        <v>6247</v>
      </c>
      <c r="H3143" s="2" t="s">
        <v>55</v>
      </c>
      <c r="I3143" s="2" t="s">
        <v>8116</v>
      </c>
      <c r="J3143" s="3" t="str">
        <f>HYPERLINK("https://www.boe.es/gazeta/dias/1809/07/19/pdfs/GMD-1809-200.pdf#page=1","Abrir facsímil")</f>
        <v>Abrir facsímil</v>
      </c>
      <c r="K3143" s="3" t="s">
        <v>57</v>
      </c>
    </row>
    <row r="3144" spans="1:11" ht="42" customHeight="1">
      <c r="A3144" s="2" t="s">
        <v>8114</v>
      </c>
      <c r="B3144" s="2" t="s">
        <v>8114</v>
      </c>
      <c r="C3144" s="2" t="s">
        <v>25</v>
      </c>
      <c r="D3144" s="2" t="s">
        <v>26</v>
      </c>
      <c r="E3144" s="3" t="s">
        <v>3425</v>
      </c>
      <c r="F3144" s="3" t="s">
        <v>3426</v>
      </c>
      <c r="G3144" s="3" t="s">
        <v>6241</v>
      </c>
      <c r="H3144" s="2" t="s">
        <v>55</v>
      </c>
      <c r="I3144" s="2" t="s">
        <v>8117</v>
      </c>
      <c r="J3144" s="3" t="str">
        <f>HYPERLINK("https://www.boe.es/gazeta/dias/1809/07/23/pdfs/GMD-1809-204.pdf#page=1","Abrir facsímil")</f>
        <v>Abrir facsímil</v>
      </c>
      <c r="K3144" s="3" t="s">
        <v>57</v>
      </c>
    </row>
    <row r="3145" spans="1:11" ht="42" customHeight="1">
      <c r="A3145" s="2" t="s">
        <v>8118</v>
      </c>
      <c r="B3145" s="2" t="s">
        <v>8118</v>
      </c>
      <c r="C3145" s="2" t="s">
        <v>25</v>
      </c>
      <c r="D3145" s="2" t="s">
        <v>26</v>
      </c>
      <c r="E3145" s="3" t="s">
        <v>5350</v>
      </c>
      <c r="F3145" s="3" t="s">
        <v>5351</v>
      </c>
      <c r="G3145" s="3" t="s">
        <v>62</v>
      </c>
      <c r="H3145" s="2" t="s">
        <v>55</v>
      </c>
      <c r="I3145" s="2" t="s">
        <v>8119</v>
      </c>
      <c r="J3145" s="3" t="str">
        <f>HYPERLINK("https://www.boe.es/gazeta/dias/1809/05/25/pdfs/GMD-1809-145.pdf#page=1","Abrir facsímil")</f>
        <v>Abrir facsímil</v>
      </c>
      <c r="K3145" s="3" t="s">
        <v>57</v>
      </c>
    </row>
    <row r="3146" spans="1:11" ht="42" customHeight="1">
      <c r="A3146" s="2" t="s">
        <v>8120</v>
      </c>
      <c r="B3146" s="2" t="s">
        <v>8120</v>
      </c>
      <c r="C3146" s="2" t="s">
        <v>39</v>
      </c>
      <c r="D3146" s="2" t="s">
        <v>18</v>
      </c>
      <c r="E3146" s="3" t="s">
        <v>2346</v>
      </c>
      <c r="F3146" s="3" t="s">
        <v>2347</v>
      </c>
      <c r="G3146" s="3" t="s">
        <v>98</v>
      </c>
      <c r="H3146" s="2" t="s">
        <v>55</v>
      </c>
      <c r="I3146" s="2" t="s">
        <v>8121</v>
      </c>
      <c r="J3146" s="3" t="str">
        <f>HYPERLINK("https://www.boe.es/gazeta/dias/1809/05/02/pdfs/GMD-1809-122.pdf#page=4","Abrir facsímil")</f>
        <v>Abrir facsímil</v>
      </c>
      <c r="K3146" s="3" t="s">
        <v>57</v>
      </c>
    </row>
    <row r="3147" spans="1:11" ht="42" customHeight="1">
      <c r="A3147" s="2" t="s">
        <v>8122</v>
      </c>
      <c r="B3147" s="2" t="s">
        <v>8123</v>
      </c>
      <c r="C3147" s="2" t="s">
        <v>25</v>
      </c>
      <c r="D3147" s="2" t="s">
        <v>18</v>
      </c>
      <c r="E3147" s="3" t="s">
        <v>904</v>
      </c>
      <c r="F3147" s="3" t="s">
        <v>905</v>
      </c>
      <c r="G3147" s="3" t="s">
        <v>62</v>
      </c>
      <c r="H3147" s="2" t="s">
        <v>55</v>
      </c>
      <c r="I3147" s="2" t="s">
        <v>8124</v>
      </c>
      <c r="J3147" s="3" t="str">
        <f>HYPERLINK("https://www.boe.es/gazeta/dias/1809/07/07/pdfs/GGB-1809-43.pdf#page=9","Abrir facsímil")</f>
        <v>Abrir facsímil</v>
      </c>
      <c r="K3147" s="3" t="s">
        <v>57</v>
      </c>
    </row>
    <row r="3148" spans="1:11" ht="42" customHeight="1">
      <c r="A3148" s="2" t="s">
        <v>8125</v>
      </c>
      <c r="B3148" s="2" t="s">
        <v>8126</v>
      </c>
      <c r="C3148" s="2" t="s">
        <v>131</v>
      </c>
      <c r="D3148" s="2" t="s">
        <v>18</v>
      </c>
      <c r="E3148" s="3" t="s">
        <v>2473</v>
      </c>
      <c r="F3148" s="3" t="s">
        <v>2474</v>
      </c>
      <c r="G3148" s="3" t="s">
        <v>270</v>
      </c>
      <c r="H3148" s="2" t="s">
        <v>55</v>
      </c>
      <c r="I3148" s="2" t="s">
        <v>8127</v>
      </c>
      <c r="J3148" s="3" t="str">
        <f>HYPERLINK("https://www.boe.es/gazeta/dias/1809/02/16/pdfs/GMD-1809-47.pdf#page=4","Abrir facsímil")</f>
        <v>Abrir facsímil</v>
      </c>
      <c r="K3148" s="3" t="s">
        <v>57</v>
      </c>
    </row>
    <row r="3149" spans="1:11" ht="42" customHeight="1">
      <c r="A3149" s="2" t="s">
        <v>8128</v>
      </c>
      <c r="B3149" s="2" t="s">
        <v>8128</v>
      </c>
      <c r="C3149" s="2" t="s">
        <v>17</v>
      </c>
      <c r="D3149" s="2" t="s">
        <v>18</v>
      </c>
      <c r="E3149" s="3" t="s">
        <v>720</v>
      </c>
      <c r="F3149" s="3" t="s">
        <v>2154</v>
      </c>
      <c r="G3149" s="3" t="s">
        <v>1152</v>
      </c>
      <c r="H3149" s="2" t="s">
        <v>55</v>
      </c>
      <c r="I3149" s="2" t="s">
        <v>8129</v>
      </c>
      <c r="J3149" s="3" t="str">
        <f>HYPERLINK("https://www.boe.es/gazeta/dias/1809/01/27/pdfs/GMD-1809-27.pdf#page=4","Abrir facsímil")</f>
        <v>Abrir facsímil</v>
      </c>
      <c r="K3149" s="3" t="s">
        <v>57</v>
      </c>
    </row>
    <row r="3150" spans="1:11" ht="42" customHeight="1">
      <c r="A3150" s="2" t="s">
        <v>8130</v>
      </c>
      <c r="B3150" s="2" t="s">
        <v>8131</v>
      </c>
      <c r="C3150" s="2" t="s">
        <v>131</v>
      </c>
      <c r="D3150" s="2" t="s">
        <v>72</v>
      </c>
      <c r="E3150" s="3" t="s">
        <v>216</v>
      </c>
      <c r="F3150" s="3" t="s">
        <v>217</v>
      </c>
      <c r="G3150" s="3" t="s">
        <v>439</v>
      </c>
      <c r="H3150" s="2" t="s">
        <v>55</v>
      </c>
      <c r="I3150" s="2" t="s">
        <v>8132</v>
      </c>
      <c r="J3150" s="3" t="str">
        <f>HYPERLINK("https://www.boe.es/gazeta/dias/1809/12/05/pdfs/GGB-H-1809-542.pdf#page=7","Abrir facsímil")</f>
        <v>Abrir facsímil</v>
      </c>
      <c r="K3150" s="3" t="s">
        <v>57</v>
      </c>
    </row>
    <row r="3151" spans="1:11" ht="42" customHeight="1">
      <c r="A3151" s="2" t="s">
        <v>8133</v>
      </c>
      <c r="B3151" s="2" t="s">
        <v>8134</v>
      </c>
      <c r="C3151" s="2" t="s">
        <v>131</v>
      </c>
      <c r="D3151" s="2" t="s">
        <v>18</v>
      </c>
      <c r="E3151" s="3" t="s">
        <v>8135</v>
      </c>
      <c r="F3151" s="3" t="s">
        <v>8136</v>
      </c>
      <c r="G3151" s="3" t="s">
        <v>225</v>
      </c>
      <c r="H3151" s="2" t="s">
        <v>55</v>
      </c>
      <c r="I3151" s="2" t="s">
        <v>8137</v>
      </c>
      <c r="J3151" s="3" t="str">
        <f>HYPERLINK("https://www.boe.es/gazeta/dias/1809/11/03/pdfs/GMD-1809-308.pdf#page=4","Abrir facsímil")</f>
        <v>Abrir facsímil</v>
      </c>
      <c r="K3151" s="3" t="s">
        <v>57</v>
      </c>
    </row>
    <row r="3152" spans="1:11" ht="42" customHeight="1">
      <c r="A3152" s="2" t="s">
        <v>8138</v>
      </c>
      <c r="B3152" s="2" t="s">
        <v>8139</v>
      </c>
      <c r="C3152" s="2" t="s">
        <v>25</v>
      </c>
      <c r="D3152" s="2" t="s">
        <v>18</v>
      </c>
      <c r="E3152" s="3" t="s">
        <v>294</v>
      </c>
      <c r="F3152" s="3" t="s">
        <v>1360</v>
      </c>
      <c r="G3152" s="3" t="s">
        <v>605</v>
      </c>
      <c r="H3152" s="2" t="s">
        <v>55</v>
      </c>
      <c r="I3152" s="2" t="s">
        <v>8140</v>
      </c>
      <c r="J3152" s="3" t="str">
        <f>HYPERLINK("https://www.boe.es/gazeta/dias/1809/09/30/pdfs/GGB-1809-262.pdf#page=8","Abrir facsímil")</f>
        <v>Abrir facsímil</v>
      </c>
      <c r="K3152" s="3" t="s">
        <v>57</v>
      </c>
    </row>
    <row r="3153" spans="1:11" ht="42" customHeight="1">
      <c r="A3153" s="2" t="s">
        <v>8141</v>
      </c>
      <c r="B3153" s="2" t="s">
        <v>8141</v>
      </c>
      <c r="C3153" s="2" t="s">
        <v>25</v>
      </c>
      <c r="D3153" s="2" t="s">
        <v>18</v>
      </c>
      <c r="E3153" s="3" t="s">
        <v>3195</v>
      </c>
      <c r="F3153" s="3" t="s">
        <v>3196</v>
      </c>
      <c r="G3153" s="3" t="s">
        <v>129</v>
      </c>
      <c r="H3153" s="2" t="s">
        <v>55</v>
      </c>
      <c r="I3153" s="2" t="s">
        <v>8142</v>
      </c>
      <c r="J3153" s="3" t="str">
        <f>HYPERLINK("https://www.boe.es/gazeta/dias/1809/01/26/pdfs/GMD-1809-26.pdf#page=2","Abrir facsímil")</f>
        <v>Abrir facsímil</v>
      </c>
      <c r="K3153" s="3" t="s">
        <v>57</v>
      </c>
    </row>
    <row r="3154" spans="1:11" ht="42" customHeight="1">
      <c r="A3154" s="2" t="s">
        <v>8143</v>
      </c>
      <c r="B3154" s="2" t="s">
        <v>8144</v>
      </c>
      <c r="C3154" s="2" t="s">
        <v>17</v>
      </c>
      <c r="D3154" s="2" t="s">
        <v>18</v>
      </c>
      <c r="E3154" s="3" t="s">
        <v>263</v>
      </c>
      <c r="F3154" s="3" t="s">
        <v>264</v>
      </c>
      <c r="G3154" s="3" t="s">
        <v>8145</v>
      </c>
      <c r="H3154" s="2" t="s">
        <v>55</v>
      </c>
      <c r="I3154" s="2" t="s">
        <v>8146</v>
      </c>
      <c r="J3154" s="3" t="str">
        <f>HYPERLINK("https://www.boe.es/gazeta/dias/1809/11/21/pdfs/GGB-1809-482.pdf#page=6","Abrir facsímil")</f>
        <v>Abrir facsímil</v>
      </c>
      <c r="K3154" s="3" t="s">
        <v>57</v>
      </c>
    </row>
    <row r="3155" spans="1:11" ht="42" customHeight="1">
      <c r="A3155" s="2" t="s">
        <v>8147</v>
      </c>
      <c r="B3155" s="2" t="s">
        <v>8148</v>
      </c>
      <c r="C3155" s="2" t="s">
        <v>17</v>
      </c>
      <c r="D3155" s="2" t="s">
        <v>18</v>
      </c>
      <c r="E3155" s="3" t="s">
        <v>229</v>
      </c>
      <c r="F3155" s="3" t="s">
        <v>230</v>
      </c>
      <c r="G3155" s="3" t="s">
        <v>154</v>
      </c>
      <c r="H3155" s="2" t="s">
        <v>55</v>
      </c>
      <c r="I3155" s="2" t="s">
        <v>8149</v>
      </c>
      <c r="J3155" s="3" t="str">
        <f>HYPERLINK("https://www.boe.es/gazeta/dias/1809/02/26/pdfs/GMD-1809-57.pdf#page=3","Abrir facsímil")</f>
        <v>Abrir facsímil</v>
      </c>
      <c r="K3155" s="3" t="s">
        <v>57</v>
      </c>
    </row>
    <row r="3156" spans="1:11" ht="42" customHeight="1">
      <c r="A3156" s="2" t="s">
        <v>8150</v>
      </c>
      <c r="B3156" s="2" t="s">
        <v>8151</v>
      </c>
      <c r="C3156" s="2" t="s">
        <v>17</v>
      </c>
      <c r="D3156" s="2" t="s">
        <v>18</v>
      </c>
      <c r="E3156" s="3" t="s">
        <v>666</v>
      </c>
      <c r="F3156" s="3" t="s">
        <v>667</v>
      </c>
      <c r="G3156" s="3" t="s">
        <v>1448</v>
      </c>
      <c r="H3156" s="2" t="s">
        <v>55</v>
      </c>
      <c r="I3156" s="2" t="s">
        <v>8152</v>
      </c>
      <c r="J3156" s="3" t="str">
        <f>HYPERLINK("https://www.boe.es/gazeta/dias/1809/08/29/pdfs/GGB-1809-122.pdf#page=7","Abrir facsímil")</f>
        <v>Abrir facsímil</v>
      </c>
      <c r="K3156" s="3" t="s">
        <v>57</v>
      </c>
    </row>
    <row r="3157" spans="1:11" ht="42" customHeight="1">
      <c r="A3157" s="2" t="s">
        <v>8150</v>
      </c>
      <c r="B3157" s="2" t="s">
        <v>8151</v>
      </c>
      <c r="C3157" s="2" t="s">
        <v>17</v>
      </c>
      <c r="D3157" s="2" t="s">
        <v>18</v>
      </c>
      <c r="E3157" s="3" t="s">
        <v>33</v>
      </c>
      <c r="F3157" s="3" t="s">
        <v>34</v>
      </c>
      <c r="G3157" s="3" t="s">
        <v>493</v>
      </c>
      <c r="H3157" s="2" t="s">
        <v>55</v>
      </c>
      <c r="I3157" s="2" t="s">
        <v>8153</v>
      </c>
      <c r="J3157" s="3" t="str">
        <f>HYPERLINK("https://www.boe.es/gazeta/dias/1809/12/19/pdfs/GGB-1809-602.pdf#page=6","Abrir facsímil")</f>
        <v>Abrir facsímil</v>
      </c>
      <c r="K3157" s="3" t="s">
        <v>57</v>
      </c>
    </row>
    <row r="3158" spans="1:11" ht="42" customHeight="1">
      <c r="A3158" s="2" t="s">
        <v>8154</v>
      </c>
      <c r="B3158" s="2" t="s">
        <v>8155</v>
      </c>
      <c r="C3158" s="2" t="s">
        <v>25</v>
      </c>
      <c r="D3158" s="2" t="s">
        <v>26</v>
      </c>
      <c r="E3158" s="3" t="s">
        <v>294</v>
      </c>
      <c r="F3158" s="3" t="s">
        <v>1360</v>
      </c>
      <c r="G3158" s="3" t="s">
        <v>8156</v>
      </c>
      <c r="H3158" s="2" t="s">
        <v>55</v>
      </c>
      <c r="I3158" s="2" t="s">
        <v>8157</v>
      </c>
      <c r="J3158" s="3" t="str">
        <f>HYPERLINK("https://www.boe.es/gazeta/dias/1809/09/30/pdfs/GGB-1809-262.pdf#page=7","Abrir facsímil")</f>
        <v>Abrir facsímil</v>
      </c>
      <c r="K3158" s="3" t="s">
        <v>57</v>
      </c>
    </row>
    <row r="3159" spans="1:11" ht="42" customHeight="1">
      <c r="A3159" s="2" t="s">
        <v>8158</v>
      </c>
      <c r="B3159" s="2" t="s">
        <v>8159</v>
      </c>
      <c r="C3159" s="2" t="s">
        <v>25</v>
      </c>
      <c r="D3159" s="2" t="s">
        <v>80</v>
      </c>
      <c r="E3159" s="3" t="s">
        <v>179</v>
      </c>
      <c r="F3159" s="3" t="s">
        <v>180</v>
      </c>
      <c r="G3159" s="3" t="s">
        <v>966</v>
      </c>
      <c r="H3159" s="2" t="s">
        <v>55</v>
      </c>
      <c r="I3159" s="2" t="s">
        <v>8160</v>
      </c>
      <c r="J3159" s="3" t="str">
        <f>HYPERLINK("https://www.boe.es/gazeta/dias/1809/12/08/pdfs/GGB-1809-552E.pdf#page=3","Abrir facsímil")</f>
        <v>Abrir facsímil</v>
      </c>
      <c r="K3159" s="3" t="s">
        <v>57</v>
      </c>
    </row>
    <row r="3160" spans="1:11" ht="42" customHeight="1">
      <c r="A3160" s="2" t="s">
        <v>8161</v>
      </c>
      <c r="B3160" s="2" t="s">
        <v>8162</v>
      </c>
      <c r="C3160" s="2" t="s">
        <v>17</v>
      </c>
      <c r="D3160" s="2" t="s">
        <v>18</v>
      </c>
      <c r="E3160" s="3" t="s">
        <v>196</v>
      </c>
      <c r="F3160" s="3" t="s">
        <v>197</v>
      </c>
      <c r="G3160" s="3" t="s">
        <v>198</v>
      </c>
      <c r="H3160" s="2" t="s">
        <v>55</v>
      </c>
      <c r="I3160" s="2" t="s">
        <v>8163</v>
      </c>
      <c r="J3160" s="3" t="str">
        <f>HYPERLINK("https://www.boe.es/gazeta/dias/1809/09/04/pdfs/GMD-1809-248.pdf#page=3","Abrir facsímil")</f>
        <v>Abrir facsímil</v>
      </c>
      <c r="K3160" s="3" t="s">
        <v>57</v>
      </c>
    </row>
    <row r="3161" spans="1:11" ht="42" customHeight="1">
      <c r="A3161" s="2" t="s">
        <v>8164</v>
      </c>
      <c r="B3161" s="2" t="s">
        <v>8165</v>
      </c>
      <c r="C3161" s="2" t="s">
        <v>25</v>
      </c>
      <c r="D3161" s="2" t="s">
        <v>26</v>
      </c>
      <c r="E3161" s="3" t="s">
        <v>147</v>
      </c>
      <c r="F3161" s="3" t="s">
        <v>562</v>
      </c>
      <c r="G3161" s="3" t="s">
        <v>1851</v>
      </c>
      <c r="H3161" s="2" t="s">
        <v>55</v>
      </c>
      <c r="I3161" s="2" t="s">
        <v>8166</v>
      </c>
      <c r="J3161" s="3" t="str">
        <f>HYPERLINK("https://www.boe.es/gazeta/dias/1809/10/07/pdfs/GGB-H-1809-292.pdf#page=1","Abrir facsímil")</f>
        <v>Abrir facsímil</v>
      </c>
      <c r="K3161" s="3" t="s">
        <v>57</v>
      </c>
    </row>
    <row r="3162" spans="1:11" ht="42" customHeight="1">
      <c r="A3162" s="2" t="s">
        <v>8167</v>
      </c>
      <c r="B3162" s="2" t="s">
        <v>8168</v>
      </c>
      <c r="C3162" s="2" t="s">
        <v>17</v>
      </c>
      <c r="D3162" s="2" t="s">
        <v>18</v>
      </c>
      <c r="E3162" s="3" t="s">
        <v>33</v>
      </c>
      <c r="F3162" s="3" t="s">
        <v>34</v>
      </c>
      <c r="G3162" s="3" t="s">
        <v>595</v>
      </c>
      <c r="H3162" s="2" t="s">
        <v>55</v>
      </c>
      <c r="I3162" s="2" t="s">
        <v>8169</v>
      </c>
      <c r="J3162" s="3" t="str">
        <f>HYPERLINK("https://www.boe.es/gazeta/dias/1809/12/19/pdfs/GGB-1809-602.pdf#page=7","Abrir facsímil")</f>
        <v>Abrir facsímil</v>
      </c>
      <c r="K3162" s="3" t="s">
        <v>57</v>
      </c>
    </row>
    <row r="3163" spans="1:11" ht="42" customHeight="1">
      <c r="A3163" s="2" t="s">
        <v>8170</v>
      </c>
      <c r="B3163" s="2" t="s">
        <v>8171</v>
      </c>
      <c r="C3163" s="2" t="s">
        <v>369</v>
      </c>
      <c r="D3163" s="2" t="s">
        <v>18</v>
      </c>
      <c r="E3163" s="3" t="s">
        <v>1586</v>
      </c>
      <c r="F3163" s="3" t="s">
        <v>1587</v>
      </c>
      <c r="G3163" s="3" t="s">
        <v>1909</v>
      </c>
      <c r="H3163" s="2" t="s">
        <v>55</v>
      </c>
      <c r="I3163" s="2" t="s">
        <v>8172</v>
      </c>
      <c r="J3163" s="3" t="str">
        <f>HYPERLINK("https://www.boe.es/gazeta/dias/1809/02/20/pdfs/GMD-1809-51.pdf#page=4","Abrir facsímil")</f>
        <v>Abrir facsímil</v>
      </c>
      <c r="K3163" s="3" t="s">
        <v>57</v>
      </c>
    </row>
    <row r="3164" spans="1:11" ht="42" customHeight="1">
      <c r="A3164" s="2" t="s">
        <v>8173</v>
      </c>
      <c r="B3164" s="2" t="s">
        <v>8174</v>
      </c>
      <c r="C3164" s="2" t="s">
        <v>25</v>
      </c>
      <c r="D3164" s="2" t="s">
        <v>18</v>
      </c>
      <c r="E3164" s="3" t="s">
        <v>1468</v>
      </c>
      <c r="F3164" s="3" t="s">
        <v>1469</v>
      </c>
      <c r="G3164" s="3" t="s">
        <v>830</v>
      </c>
      <c r="H3164" s="2" t="s">
        <v>55</v>
      </c>
      <c r="I3164" s="2" t="s">
        <v>8175</v>
      </c>
      <c r="J3164" s="3" t="str">
        <f>HYPERLINK("https://www.boe.es/gazeta/dias/1809/02/12/pdfs/GMD-1809-43.pdf#page=5","Abrir facsímil")</f>
        <v>Abrir facsímil</v>
      </c>
      <c r="K3164" s="3" t="s">
        <v>57</v>
      </c>
    </row>
    <row r="3165" spans="1:11" ht="42" customHeight="1">
      <c r="A3165" s="2" t="s">
        <v>8176</v>
      </c>
      <c r="B3165" s="2" t="s">
        <v>8177</v>
      </c>
      <c r="C3165" s="2" t="s">
        <v>17</v>
      </c>
      <c r="D3165" s="2" t="s">
        <v>18</v>
      </c>
      <c r="E3165" s="3" t="s">
        <v>1786</v>
      </c>
      <c r="F3165" s="3" t="s">
        <v>2296</v>
      </c>
      <c r="G3165" s="3" t="s">
        <v>2297</v>
      </c>
      <c r="H3165" s="2" t="s">
        <v>55</v>
      </c>
      <c r="I3165" s="2" t="s">
        <v>8178</v>
      </c>
      <c r="J3165" s="3" t="str">
        <f>HYPERLINK("https://www.boe.es/gazeta/dias/1809/08/24/pdfs/GGB-1809-102.pdf#page=6","Abrir facsímil")</f>
        <v>Abrir facsímil</v>
      </c>
      <c r="K3165" s="3" t="s">
        <v>57</v>
      </c>
    </row>
    <row r="3166" spans="1:11" ht="42" customHeight="1">
      <c r="A3166" s="2" t="s">
        <v>8179</v>
      </c>
      <c r="B3166" s="2" t="s">
        <v>8180</v>
      </c>
      <c r="C3166" s="2" t="s">
        <v>17</v>
      </c>
      <c r="D3166" s="2" t="s">
        <v>18</v>
      </c>
      <c r="E3166" s="3" t="s">
        <v>33</v>
      </c>
      <c r="F3166" s="3" t="s">
        <v>34</v>
      </c>
      <c r="G3166" s="3" t="s">
        <v>493</v>
      </c>
      <c r="H3166" s="2" t="s">
        <v>55</v>
      </c>
      <c r="I3166" s="2" t="s">
        <v>8181</v>
      </c>
      <c r="J3166" s="3" t="str">
        <f>HYPERLINK("https://www.boe.es/gazeta/dias/1809/12/19/pdfs/GGB-1809-602.pdf#page=6","Abrir facsímil")</f>
        <v>Abrir facsímil</v>
      </c>
      <c r="K3166" s="3" t="s">
        <v>57</v>
      </c>
    </row>
    <row r="3167" spans="1:11" ht="42" customHeight="1">
      <c r="A3167" s="2" t="s">
        <v>8182</v>
      </c>
      <c r="B3167" s="2" t="s">
        <v>8183</v>
      </c>
      <c r="C3167" s="2" t="s">
        <v>17</v>
      </c>
      <c r="D3167" s="2" t="s">
        <v>18</v>
      </c>
      <c r="E3167" s="3" t="s">
        <v>60</v>
      </c>
      <c r="F3167" s="3" t="s">
        <v>61</v>
      </c>
      <c r="G3167" s="3" t="s">
        <v>29</v>
      </c>
      <c r="H3167" s="2" t="s">
        <v>55</v>
      </c>
      <c r="I3167" s="2" t="s">
        <v>8184</v>
      </c>
      <c r="J3167" s="3" t="str">
        <f>HYPERLINK("https://www.boe.es/gazeta/dias/1809/02/07/pdfs/GMD-1809-38.pdf#page=3","Abrir facsímil")</f>
        <v>Abrir facsímil</v>
      </c>
      <c r="K3167" s="3" t="s">
        <v>57</v>
      </c>
    </row>
    <row r="3168" spans="1:11" ht="42" customHeight="1">
      <c r="A3168" s="2" t="s">
        <v>8182</v>
      </c>
      <c r="B3168" s="2" t="s">
        <v>8183</v>
      </c>
      <c r="C3168" s="2" t="s">
        <v>25</v>
      </c>
      <c r="D3168" s="2" t="s">
        <v>18</v>
      </c>
      <c r="E3168" s="3" t="s">
        <v>1635</v>
      </c>
      <c r="F3168" s="3" t="s">
        <v>1636</v>
      </c>
      <c r="G3168" s="3" t="s">
        <v>29</v>
      </c>
      <c r="H3168" s="2" t="s">
        <v>55</v>
      </c>
      <c r="I3168" s="2" t="s">
        <v>8185</v>
      </c>
      <c r="J3168" s="3" t="str">
        <f>HYPERLINK("https://www.boe.es/gazeta/dias/1809/09/15/pdfs/GMD-1809-259.pdf#page=3","Abrir facsímil")</f>
        <v>Abrir facsímil</v>
      </c>
      <c r="K3168" s="3" t="s">
        <v>57</v>
      </c>
    </row>
    <row r="3169" spans="1:11" ht="42" customHeight="1">
      <c r="A3169" s="2" t="s">
        <v>8186</v>
      </c>
      <c r="B3169" s="2" t="s">
        <v>8187</v>
      </c>
      <c r="C3169" s="2" t="s">
        <v>17</v>
      </c>
      <c r="D3169" s="2" t="s">
        <v>18</v>
      </c>
      <c r="E3169" s="3" t="s">
        <v>551</v>
      </c>
      <c r="F3169" s="3" t="s">
        <v>552</v>
      </c>
      <c r="G3169" s="3" t="s">
        <v>553</v>
      </c>
      <c r="H3169" s="2" t="s">
        <v>55</v>
      </c>
      <c r="I3169" s="2" t="s">
        <v>8188</v>
      </c>
      <c r="J3169" s="3" t="str">
        <f>HYPERLINK("https://www.boe.es/gazeta/dias/1809/05/04/pdfs/GMD-1809-124.pdf#page=1","Abrir facsímil")</f>
        <v>Abrir facsímil</v>
      </c>
      <c r="K3169" s="3" t="s">
        <v>57</v>
      </c>
    </row>
    <row r="3170" spans="1:11" ht="42" customHeight="1">
      <c r="A3170" s="2" t="s">
        <v>8189</v>
      </c>
      <c r="B3170" s="2" t="s">
        <v>8190</v>
      </c>
      <c r="C3170" s="2" t="s">
        <v>17</v>
      </c>
      <c r="D3170" s="2" t="s">
        <v>72</v>
      </c>
      <c r="E3170" s="3" t="s">
        <v>147</v>
      </c>
      <c r="F3170" s="3" t="s">
        <v>562</v>
      </c>
      <c r="G3170" s="3" t="s">
        <v>8191</v>
      </c>
      <c r="H3170" s="2" t="s">
        <v>55</v>
      </c>
      <c r="I3170" s="2" t="s">
        <v>8192</v>
      </c>
      <c r="J3170" s="3" t="str">
        <f>HYPERLINK("https://www.boe.es/gazeta/dias/1809/10/07/pdfs/GGB-H-1809-292.pdf#page=6","Abrir facsímil")</f>
        <v>Abrir facsímil</v>
      </c>
      <c r="K3170" s="3" t="s">
        <v>57</v>
      </c>
    </row>
    <row r="3171" spans="1:11" ht="42" customHeight="1">
      <c r="A3171" s="2" t="s">
        <v>8193</v>
      </c>
      <c r="B3171" s="2" t="s">
        <v>8194</v>
      </c>
      <c r="C3171" s="2" t="s">
        <v>17</v>
      </c>
      <c r="D3171" s="2" t="s">
        <v>18</v>
      </c>
      <c r="E3171" s="3" t="s">
        <v>27</v>
      </c>
      <c r="F3171" s="3" t="s">
        <v>254</v>
      </c>
      <c r="G3171" s="3" t="s">
        <v>255</v>
      </c>
      <c r="H3171" s="2" t="s">
        <v>55</v>
      </c>
      <c r="I3171" s="2" t="s">
        <v>8195</v>
      </c>
      <c r="J3171" s="3" t="str">
        <f>HYPERLINK("https://www.boe.es/gazeta/dias/1809/05/12/pdfs/GGB-1809-26.pdf#page=8","Abrir facsímil")</f>
        <v>Abrir facsímil</v>
      </c>
      <c r="K3171" s="3" t="s">
        <v>57</v>
      </c>
    </row>
    <row r="3172" spans="1:11" ht="42" customHeight="1">
      <c r="A3172" s="2" t="s">
        <v>8193</v>
      </c>
      <c r="B3172" s="2" t="s">
        <v>8194</v>
      </c>
      <c r="C3172" s="2" t="s">
        <v>17</v>
      </c>
      <c r="D3172" s="2" t="s">
        <v>18</v>
      </c>
      <c r="E3172" s="3" t="s">
        <v>609</v>
      </c>
      <c r="F3172" s="3" t="s">
        <v>610</v>
      </c>
      <c r="G3172" s="3" t="s">
        <v>2104</v>
      </c>
      <c r="H3172" s="2" t="s">
        <v>55</v>
      </c>
      <c r="I3172" s="2" t="s">
        <v>8196</v>
      </c>
      <c r="J3172" s="3" t="str">
        <f>HYPERLINK("https://www.boe.es/gazeta/dias/1809/11/25/pdfs/GGB-1809-502.pdf#page=3","Abrir facsímil")</f>
        <v>Abrir facsímil</v>
      </c>
      <c r="K3172" s="3" t="s">
        <v>57</v>
      </c>
    </row>
    <row r="3173" spans="1:11" ht="42" customHeight="1">
      <c r="A3173" s="2" t="s">
        <v>8197</v>
      </c>
      <c r="B3173" s="2" t="s">
        <v>8198</v>
      </c>
      <c r="C3173" s="2" t="s">
        <v>25</v>
      </c>
      <c r="D3173" s="2" t="s">
        <v>26</v>
      </c>
      <c r="E3173" s="3" t="s">
        <v>294</v>
      </c>
      <c r="F3173" s="3" t="s">
        <v>1360</v>
      </c>
      <c r="G3173" s="3" t="s">
        <v>2517</v>
      </c>
      <c r="H3173" s="2" t="s">
        <v>55</v>
      </c>
      <c r="I3173" s="2" t="s">
        <v>8199</v>
      </c>
      <c r="J3173" s="3" t="str">
        <f>HYPERLINK("https://www.boe.es/gazeta/dias/1809/09/30/pdfs/GGB-1809-262.pdf#page=1","Abrir facsímil")</f>
        <v>Abrir facsímil</v>
      </c>
      <c r="K3173" s="3" t="s">
        <v>57</v>
      </c>
    </row>
    <row r="3174" spans="1:11" ht="42" customHeight="1">
      <c r="A3174" s="2" t="s">
        <v>8200</v>
      </c>
      <c r="B3174" s="2" t="s">
        <v>8201</v>
      </c>
      <c r="C3174" s="2" t="s">
        <v>25</v>
      </c>
      <c r="D3174" s="2" t="s">
        <v>80</v>
      </c>
      <c r="E3174" s="3" t="s">
        <v>81</v>
      </c>
      <c r="F3174" s="3" t="s">
        <v>82</v>
      </c>
      <c r="G3174" s="3" t="s">
        <v>3332</v>
      </c>
      <c r="H3174" s="2" t="s">
        <v>55</v>
      </c>
      <c r="I3174" s="2" t="s">
        <v>8202</v>
      </c>
      <c r="J3174" s="3" t="str">
        <f>HYPERLINK("https://www.boe.es/gazeta/dias/1809/04/11/pdfs/GGB-1809-16E.pdf#page=8","Abrir facsímil")</f>
        <v>Abrir facsímil</v>
      </c>
      <c r="K3174" s="3" t="s">
        <v>57</v>
      </c>
    </row>
    <row r="3175" spans="1:11" ht="42" customHeight="1">
      <c r="A3175" s="2" t="s">
        <v>8203</v>
      </c>
      <c r="B3175" s="2" t="s">
        <v>8204</v>
      </c>
      <c r="C3175" s="2" t="s">
        <v>369</v>
      </c>
      <c r="D3175" s="2" t="s">
        <v>18</v>
      </c>
      <c r="E3175" s="3" t="s">
        <v>2473</v>
      </c>
      <c r="F3175" s="3" t="s">
        <v>2474</v>
      </c>
      <c r="G3175" s="3" t="s">
        <v>270</v>
      </c>
      <c r="H3175" s="2" t="s">
        <v>55</v>
      </c>
      <c r="I3175" s="2" t="s">
        <v>8205</v>
      </c>
      <c r="J3175" s="3" t="str">
        <f>HYPERLINK("https://www.boe.es/gazeta/dias/1809/02/16/pdfs/GMD-1809-47.pdf#page=4","Abrir facsímil")</f>
        <v>Abrir facsímil</v>
      </c>
      <c r="K3175" s="3" t="s">
        <v>57</v>
      </c>
    </row>
    <row r="3176" spans="1:11" ht="42" customHeight="1">
      <c r="A3176" s="2" t="s">
        <v>8206</v>
      </c>
      <c r="B3176" s="2" t="s">
        <v>8207</v>
      </c>
      <c r="C3176" s="2" t="s">
        <v>288</v>
      </c>
      <c r="D3176" s="2" t="s">
        <v>18</v>
      </c>
      <c r="E3176" s="3" t="s">
        <v>2244</v>
      </c>
      <c r="F3176" s="3" t="s">
        <v>7822</v>
      </c>
      <c r="G3176" s="3" t="s">
        <v>3808</v>
      </c>
      <c r="H3176" s="2" t="s">
        <v>55</v>
      </c>
      <c r="I3176" s="2" t="s">
        <v>8208</v>
      </c>
      <c r="J3176" s="3" t="str">
        <f>HYPERLINK("https://www.boe.es/gazeta/dias/1809/03/27/pdfs/GMD-1809-86.pdf#page=4","Abrir facsímil")</f>
        <v>Abrir facsímil</v>
      </c>
      <c r="K3176" s="3" t="s">
        <v>57</v>
      </c>
    </row>
    <row r="3177" spans="1:11" ht="42" customHeight="1">
      <c r="A3177" s="2" t="s">
        <v>8209</v>
      </c>
      <c r="B3177" s="2" t="s">
        <v>8210</v>
      </c>
      <c r="C3177" s="2" t="s">
        <v>25</v>
      </c>
      <c r="D3177" s="2" t="s">
        <v>72</v>
      </c>
      <c r="E3177" s="3" t="s">
        <v>147</v>
      </c>
      <c r="F3177" s="3" t="s">
        <v>562</v>
      </c>
      <c r="G3177" s="3" t="s">
        <v>563</v>
      </c>
      <c r="H3177" s="2" t="s">
        <v>55</v>
      </c>
      <c r="I3177" s="2" t="s">
        <v>8211</v>
      </c>
      <c r="J3177" s="3" t="str">
        <f>HYPERLINK("https://www.boe.es/gazeta/dias/1809/10/07/pdfs/GGB-H-1809-292.pdf#page=8","Abrir facsímil")</f>
        <v>Abrir facsímil</v>
      </c>
      <c r="K3177" s="3" t="s">
        <v>57</v>
      </c>
    </row>
    <row r="3178" spans="1:11" ht="42" customHeight="1">
      <c r="A3178" s="2" t="s">
        <v>8212</v>
      </c>
      <c r="B3178" s="2" t="s">
        <v>8213</v>
      </c>
      <c r="C3178" s="2" t="s">
        <v>369</v>
      </c>
      <c r="D3178" s="2" t="s">
        <v>72</v>
      </c>
      <c r="E3178" s="3" t="s">
        <v>787</v>
      </c>
      <c r="F3178" s="3" t="s">
        <v>788</v>
      </c>
      <c r="G3178" s="3" t="s">
        <v>789</v>
      </c>
      <c r="H3178" s="2" t="s">
        <v>55</v>
      </c>
      <c r="I3178" s="2" t="s">
        <v>8214</v>
      </c>
      <c r="J3178" s="3" t="str">
        <f>HYPERLINK("https://www.boe.es/gazeta/dias/1809/04/29/pdfs/GMD-E-1809-119.pdf#page=1","Abrir facsímil")</f>
        <v>Abrir facsímil</v>
      </c>
      <c r="K3178" s="3" t="s">
        <v>57</v>
      </c>
    </row>
    <row r="3179" spans="1:11" ht="42" customHeight="1">
      <c r="A3179" s="2" t="s">
        <v>8215</v>
      </c>
      <c r="B3179" s="2" t="s">
        <v>8216</v>
      </c>
      <c r="C3179" s="2" t="s">
        <v>369</v>
      </c>
      <c r="D3179" s="2" t="s">
        <v>72</v>
      </c>
      <c r="E3179" s="3" t="s">
        <v>787</v>
      </c>
      <c r="F3179" s="3" t="s">
        <v>788</v>
      </c>
      <c r="G3179" s="3" t="s">
        <v>789</v>
      </c>
      <c r="H3179" s="2" t="s">
        <v>55</v>
      </c>
      <c r="I3179" s="2" t="s">
        <v>8217</v>
      </c>
      <c r="J3179" s="3" t="str">
        <f>HYPERLINK("https://www.boe.es/gazeta/dias/1809/04/29/pdfs/GMD-E-1809-119.pdf#page=1","Abrir facsímil")</f>
        <v>Abrir facsímil</v>
      </c>
      <c r="K3179" s="3" t="s">
        <v>57</v>
      </c>
    </row>
    <row r="3180" spans="1:11" ht="42" customHeight="1">
      <c r="A3180" s="2" t="s">
        <v>8218</v>
      </c>
      <c r="B3180" s="2" t="s">
        <v>8218</v>
      </c>
      <c r="C3180" s="2" t="s">
        <v>17</v>
      </c>
      <c r="D3180" s="2" t="s">
        <v>107</v>
      </c>
      <c r="E3180" s="3" t="s">
        <v>322</v>
      </c>
      <c r="F3180" s="3" t="s">
        <v>435</v>
      </c>
      <c r="G3180" s="3" t="s">
        <v>654</v>
      </c>
      <c r="H3180" s="2" t="s">
        <v>55</v>
      </c>
      <c r="I3180" s="2" t="s">
        <v>8219</v>
      </c>
      <c r="J3180" s="3" t="str">
        <f>HYPERLINK("https://www.boe.es/gazeta/dias/1809/07/21/pdfs/GGB-1809-47.pdf#page=3","Abrir facsímil")</f>
        <v>Abrir facsímil</v>
      </c>
      <c r="K3180" s="3" t="s">
        <v>57</v>
      </c>
    </row>
    <row r="3181" spans="1:11" ht="42" customHeight="1">
      <c r="A3181" s="2" t="s">
        <v>8220</v>
      </c>
      <c r="B3181" s="2" t="s">
        <v>8221</v>
      </c>
      <c r="C3181" s="2" t="s">
        <v>25</v>
      </c>
      <c r="D3181" s="2" t="s">
        <v>40</v>
      </c>
      <c r="E3181" s="3" t="s">
        <v>500</v>
      </c>
      <c r="F3181" s="3" t="s">
        <v>2357</v>
      </c>
      <c r="G3181" s="3" t="s">
        <v>225</v>
      </c>
      <c r="H3181" s="2" t="s">
        <v>55</v>
      </c>
      <c r="I3181" s="2" t="s">
        <v>8222</v>
      </c>
      <c r="J3181" s="3" t="str">
        <f>HYPERLINK("https://www.boe.es/gazeta/dias/1809/03/24/pdfs/GGB-1809-13.pdf#page=4","Abrir facsímil")</f>
        <v>Abrir facsímil</v>
      </c>
      <c r="K3181" s="3" t="s">
        <v>57</v>
      </c>
    </row>
    <row r="3182" spans="1:11" ht="42" customHeight="1">
      <c r="A3182" s="2" t="s">
        <v>8223</v>
      </c>
      <c r="B3182" s="2" t="s">
        <v>8223</v>
      </c>
      <c r="C3182" s="2" t="s">
        <v>25</v>
      </c>
      <c r="D3182" s="2" t="s">
        <v>26</v>
      </c>
      <c r="E3182" s="3" t="s">
        <v>92</v>
      </c>
      <c r="F3182" s="3" t="s">
        <v>1383</v>
      </c>
      <c r="G3182" s="3" t="s">
        <v>154</v>
      </c>
      <c r="H3182" s="2" t="s">
        <v>55</v>
      </c>
      <c r="I3182" s="2" t="s">
        <v>8224</v>
      </c>
      <c r="J3182" s="3" t="str">
        <f>HYPERLINK("https://www.boe.es/gazeta/dias/1809/05/22/pdfs/GGB-1809-30.pdf#page=7","Abrir facsímil")</f>
        <v>Abrir facsímil</v>
      </c>
      <c r="K3182" s="3" t="s">
        <v>57</v>
      </c>
    </row>
    <row r="3183" spans="1:11" ht="42" customHeight="1">
      <c r="A3183" s="2" t="s">
        <v>8225</v>
      </c>
      <c r="B3183" s="2" t="s">
        <v>8225</v>
      </c>
      <c r="C3183" s="2" t="s">
        <v>25</v>
      </c>
      <c r="D3183" s="2" t="s">
        <v>18</v>
      </c>
      <c r="E3183" s="3" t="s">
        <v>893</v>
      </c>
      <c r="F3183" s="3" t="s">
        <v>1348</v>
      </c>
      <c r="G3183" s="3" t="s">
        <v>1349</v>
      </c>
      <c r="H3183" s="2" t="s">
        <v>55</v>
      </c>
      <c r="I3183" s="2" t="s">
        <v>8226</v>
      </c>
      <c r="J3183" s="3" t="str">
        <f>HYPERLINK("https://www.boe.es/gazeta/dias/1809/11/02/pdfs/GGB-1809-402.pdf#page=4","Abrir facsímil")</f>
        <v>Abrir facsímil</v>
      </c>
      <c r="K3183" s="3" t="s">
        <v>57</v>
      </c>
    </row>
    <row r="3184" spans="1:11" ht="42" customHeight="1">
      <c r="A3184" s="2" t="s">
        <v>8227</v>
      </c>
      <c r="B3184" s="2" t="s">
        <v>8227</v>
      </c>
      <c r="C3184" s="2" t="s">
        <v>131</v>
      </c>
      <c r="D3184" s="2" t="s">
        <v>18</v>
      </c>
      <c r="E3184" s="3" t="s">
        <v>1011</v>
      </c>
      <c r="F3184" s="3" t="s">
        <v>1012</v>
      </c>
      <c r="G3184" s="3" t="s">
        <v>5805</v>
      </c>
      <c r="H3184" s="2" t="s">
        <v>55</v>
      </c>
      <c r="I3184" s="2" t="s">
        <v>8228</v>
      </c>
      <c r="J3184" s="3" t="str">
        <f>HYPERLINK("https://www.boe.es/gazeta/dias/1809/08/01/pdfs/GGB-1809-50.pdf#page=12","Abrir facsímil")</f>
        <v>Abrir facsímil</v>
      </c>
      <c r="K3184" s="3" t="s">
        <v>57</v>
      </c>
    </row>
    <row r="3185" spans="1:11" ht="42" customHeight="1">
      <c r="A3185" s="2" t="s">
        <v>8229</v>
      </c>
      <c r="B3185" s="2" t="s">
        <v>8229</v>
      </c>
      <c r="C3185" s="2" t="s">
        <v>131</v>
      </c>
      <c r="D3185" s="2" t="s">
        <v>26</v>
      </c>
      <c r="E3185" s="3" t="s">
        <v>1652</v>
      </c>
      <c r="F3185" s="3" t="s">
        <v>1653</v>
      </c>
      <c r="G3185" s="3" t="s">
        <v>1545</v>
      </c>
      <c r="H3185" s="2" t="s">
        <v>55</v>
      </c>
      <c r="I3185" s="2" t="s">
        <v>8230</v>
      </c>
      <c r="J3185" s="3" t="str">
        <f>HYPERLINK("https://www.boe.es/gazeta/dias/1809/07/25/pdfs/GGB-1809-48.pdf#page=8","Abrir facsímil")</f>
        <v>Abrir facsímil</v>
      </c>
      <c r="K3185" s="3" t="s">
        <v>57</v>
      </c>
    </row>
    <row r="3186" spans="1:11" ht="42" customHeight="1">
      <c r="A3186" s="2" t="s">
        <v>8229</v>
      </c>
      <c r="B3186" s="2" t="s">
        <v>8229</v>
      </c>
      <c r="C3186" s="2" t="s">
        <v>25</v>
      </c>
      <c r="D3186" s="2" t="s">
        <v>18</v>
      </c>
      <c r="E3186" s="3" t="s">
        <v>1652</v>
      </c>
      <c r="F3186" s="3" t="s">
        <v>1653</v>
      </c>
      <c r="G3186" s="3" t="s">
        <v>110</v>
      </c>
      <c r="H3186" s="2" t="s">
        <v>55</v>
      </c>
      <c r="I3186" s="2" t="s">
        <v>8231</v>
      </c>
      <c r="J3186" s="3" t="str">
        <f>HYPERLINK("https://www.boe.es/gazeta/dias/1809/07/25/pdfs/GGB-1809-48.pdf#page=9","Abrir facsímil")</f>
        <v>Abrir facsímil</v>
      </c>
      <c r="K3186" s="3" t="s">
        <v>57</v>
      </c>
    </row>
    <row r="3187" spans="1:11" ht="42" customHeight="1">
      <c r="A3187" s="2" t="s">
        <v>8229</v>
      </c>
      <c r="B3187" s="2" t="s">
        <v>8229</v>
      </c>
      <c r="C3187" s="2" t="s">
        <v>25</v>
      </c>
      <c r="D3187" s="2" t="s">
        <v>18</v>
      </c>
      <c r="E3187" s="3" t="s">
        <v>1288</v>
      </c>
      <c r="F3187" s="3" t="s">
        <v>1289</v>
      </c>
      <c r="G3187" s="3" t="s">
        <v>623</v>
      </c>
      <c r="H3187" s="2" t="s">
        <v>55</v>
      </c>
      <c r="I3187" s="2" t="s">
        <v>8232</v>
      </c>
      <c r="J3187" s="3" t="str">
        <f>HYPERLINK("https://www.boe.es/gazeta/dias/1809/07/28/pdfs/GGB-1809-49.pdf#page=6","Abrir facsímil")</f>
        <v>Abrir facsímil</v>
      </c>
      <c r="K3187" s="3" t="s">
        <v>57</v>
      </c>
    </row>
    <row r="3188" spans="1:11" ht="42" customHeight="1">
      <c r="A3188" s="2" t="s">
        <v>8233</v>
      </c>
      <c r="B3188" s="2" t="s">
        <v>8233</v>
      </c>
      <c r="C3188" s="2" t="s">
        <v>25</v>
      </c>
      <c r="D3188" s="2" t="s">
        <v>18</v>
      </c>
      <c r="E3188" s="3" t="s">
        <v>5172</v>
      </c>
      <c r="F3188" s="3" t="s">
        <v>5173</v>
      </c>
      <c r="G3188" s="3" t="s">
        <v>2444</v>
      </c>
      <c r="H3188" s="2" t="s">
        <v>55</v>
      </c>
      <c r="I3188" s="2" t="s">
        <v>8234</v>
      </c>
      <c r="J3188" s="3" t="str">
        <f>HYPERLINK("https://www.boe.es/gazeta/dias/1809/03/06/pdfs/GMD-1809-65.pdf#page=3","Abrir facsímil")</f>
        <v>Abrir facsímil</v>
      </c>
      <c r="K3188" s="3" t="s">
        <v>57</v>
      </c>
    </row>
    <row r="3189" spans="1:11" ht="42" customHeight="1">
      <c r="A3189" s="2" t="s">
        <v>8235</v>
      </c>
      <c r="B3189" s="2" t="s">
        <v>8236</v>
      </c>
      <c r="C3189" s="2" t="s">
        <v>25</v>
      </c>
      <c r="D3189" s="2" t="s">
        <v>80</v>
      </c>
      <c r="E3189" s="3" t="s">
        <v>179</v>
      </c>
      <c r="F3189" s="3" t="s">
        <v>180</v>
      </c>
      <c r="G3189" s="3" t="s">
        <v>966</v>
      </c>
      <c r="H3189" s="2" t="s">
        <v>55</v>
      </c>
      <c r="I3189" s="2" t="s">
        <v>8237</v>
      </c>
      <c r="J3189" s="3" t="str">
        <f>HYPERLINK("https://www.boe.es/gazeta/dias/1809/12/08/pdfs/GGB-1809-552E.pdf#page=3","Abrir facsímil")</f>
        <v>Abrir facsímil</v>
      </c>
      <c r="K3189" s="3" t="s">
        <v>57</v>
      </c>
    </row>
    <row r="3190" spans="1:11" ht="42" customHeight="1">
      <c r="A3190" s="2" t="s">
        <v>8238</v>
      </c>
      <c r="B3190" s="2" t="s">
        <v>8238</v>
      </c>
      <c r="C3190" s="2" t="s">
        <v>25</v>
      </c>
      <c r="D3190" s="2" t="s">
        <v>18</v>
      </c>
      <c r="E3190" s="3" t="s">
        <v>173</v>
      </c>
      <c r="F3190" s="3" t="s">
        <v>174</v>
      </c>
      <c r="G3190" s="3" t="s">
        <v>204</v>
      </c>
      <c r="H3190" s="2" t="s">
        <v>55</v>
      </c>
      <c r="I3190" s="2" t="s">
        <v>8239</v>
      </c>
      <c r="J3190" s="3" t="str">
        <f>HYPERLINK("https://www.boe.es/gazeta/dias/1809/09/12/pdfs/GGB-1809-182.pdf#page=8","Abrir facsímil")</f>
        <v>Abrir facsímil</v>
      </c>
      <c r="K3190" s="3" t="s">
        <v>57</v>
      </c>
    </row>
    <row r="3191" spans="1:11" ht="42" customHeight="1">
      <c r="A3191" s="2" t="s">
        <v>8240</v>
      </c>
      <c r="B3191" s="2" t="s">
        <v>8241</v>
      </c>
      <c r="C3191" s="2" t="s">
        <v>369</v>
      </c>
      <c r="D3191" s="2" t="s">
        <v>18</v>
      </c>
      <c r="E3191" s="3" t="s">
        <v>8242</v>
      </c>
      <c r="F3191" s="3" t="s">
        <v>8243</v>
      </c>
      <c r="G3191" s="3" t="s">
        <v>21</v>
      </c>
      <c r="H3191" s="2" t="s">
        <v>55</v>
      </c>
      <c r="I3191" s="2" t="s">
        <v>8244</v>
      </c>
      <c r="J3191" s="3" t="str">
        <f>HYPERLINK("https://www.boe.es/gazeta/dias/1809/04/16/pdfs/GMD-1809-106.pdf#page=4","Abrir facsímil")</f>
        <v>Abrir facsímil</v>
      </c>
      <c r="K3191" s="3" t="s">
        <v>57</v>
      </c>
    </row>
    <row r="3192" spans="1:11" ht="42" customHeight="1">
      <c r="A3192" s="2" t="s">
        <v>8240</v>
      </c>
      <c r="B3192" s="2" t="s">
        <v>8241</v>
      </c>
      <c r="C3192" s="2" t="s">
        <v>17</v>
      </c>
      <c r="D3192" s="2" t="s">
        <v>18</v>
      </c>
      <c r="E3192" s="3" t="s">
        <v>2060</v>
      </c>
      <c r="F3192" s="3" t="s">
        <v>2061</v>
      </c>
      <c r="G3192" s="3" t="s">
        <v>239</v>
      </c>
      <c r="H3192" s="2" t="s">
        <v>55</v>
      </c>
      <c r="I3192" s="2" t="s">
        <v>8245</v>
      </c>
      <c r="J3192" s="3" t="str">
        <f>HYPERLINK("https://www.boe.es/gazeta/dias/1809/07/18/pdfs/GGB-1809-46.pdf#page=11","Abrir facsímil")</f>
        <v>Abrir facsímil</v>
      </c>
      <c r="K3192" s="3" t="s">
        <v>57</v>
      </c>
    </row>
    <row r="3193" spans="1:11" ht="42" customHeight="1">
      <c r="A3193" s="2" t="s">
        <v>8240</v>
      </c>
      <c r="B3193" s="2" t="s">
        <v>8241</v>
      </c>
      <c r="C3193" s="2" t="s">
        <v>17</v>
      </c>
      <c r="D3193" s="2" t="s">
        <v>40</v>
      </c>
      <c r="E3193" s="3" t="s">
        <v>864</v>
      </c>
      <c r="F3193" s="3" t="s">
        <v>2291</v>
      </c>
      <c r="G3193" s="3" t="s">
        <v>2292</v>
      </c>
      <c r="H3193" s="2" t="s">
        <v>55</v>
      </c>
      <c r="I3193" s="2" t="s">
        <v>8246</v>
      </c>
      <c r="J3193" s="3" t="str">
        <f>HYPERLINK("https://www.boe.es/gazeta/dias/1809/08/31/pdfs/GGB-H-1809-132.pdf#page=3","Abrir facsímil")</f>
        <v>Abrir facsímil</v>
      </c>
      <c r="K3193" s="3" t="s">
        <v>57</v>
      </c>
    </row>
    <row r="3194" spans="1:11" ht="42" customHeight="1">
      <c r="A3194" s="2" t="s">
        <v>8240</v>
      </c>
      <c r="B3194" s="2" t="s">
        <v>8241</v>
      </c>
      <c r="C3194" s="2" t="s">
        <v>47</v>
      </c>
      <c r="D3194" s="2" t="s">
        <v>18</v>
      </c>
      <c r="E3194" s="3" t="s">
        <v>390</v>
      </c>
      <c r="F3194" s="3" t="s">
        <v>391</v>
      </c>
      <c r="G3194" s="3" t="s">
        <v>340</v>
      </c>
      <c r="H3194" s="2" t="s">
        <v>55</v>
      </c>
      <c r="I3194" s="2" t="s">
        <v>8247</v>
      </c>
      <c r="J3194" s="3" t="str">
        <f>HYPERLINK("https://www.boe.es/gazeta/dias/1809/10/19/pdfs/GGB-1809-342.pdf#page=6","Abrir facsímil")</f>
        <v>Abrir facsímil</v>
      </c>
      <c r="K3194" s="3" t="s">
        <v>57</v>
      </c>
    </row>
    <row r="3195" spans="1:11" ht="42" customHeight="1">
      <c r="A3195" s="2" t="s">
        <v>8248</v>
      </c>
      <c r="B3195" s="2" t="s">
        <v>8249</v>
      </c>
      <c r="C3195" s="2" t="s">
        <v>17</v>
      </c>
      <c r="D3195" s="2" t="s">
        <v>72</v>
      </c>
      <c r="E3195" s="3" t="s">
        <v>243</v>
      </c>
      <c r="F3195" s="3" t="s">
        <v>244</v>
      </c>
      <c r="G3195" s="3" t="s">
        <v>110</v>
      </c>
      <c r="H3195" s="2" t="s">
        <v>55</v>
      </c>
      <c r="I3195" s="2" t="s">
        <v>8250</v>
      </c>
      <c r="J3195" s="3" t="str">
        <f>HYPERLINK("https://www.boe.es/gazeta/dias/1809/02/17/pdfs/GGB-G-1809-8.pdf#page=5","Abrir facsímil")</f>
        <v>Abrir facsímil</v>
      </c>
      <c r="K3195" s="3" t="s">
        <v>57</v>
      </c>
    </row>
    <row r="3196" spans="1:11" ht="42" customHeight="1">
      <c r="A3196" s="2" t="s">
        <v>8251</v>
      </c>
      <c r="B3196" s="2" t="s">
        <v>8252</v>
      </c>
      <c r="C3196" s="2" t="s">
        <v>25</v>
      </c>
      <c r="D3196" s="2" t="s">
        <v>72</v>
      </c>
      <c r="E3196" s="3" t="s">
        <v>294</v>
      </c>
      <c r="F3196" s="3" t="s">
        <v>295</v>
      </c>
      <c r="G3196" s="3" t="s">
        <v>154</v>
      </c>
      <c r="H3196" s="2" t="s">
        <v>55</v>
      </c>
      <c r="I3196" s="2" t="s">
        <v>8253</v>
      </c>
      <c r="J3196" s="3" t="str">
        <f>HYPERLINK("https://www.boe.es/gazeta/dias/1809/09/30/pdfs/GGB-H-1809-262.pdf#page=3","Abrir facsímil")</f>
        <v>Abrir facsímil</v>
      </c>
      <c r="K3196" s="3" t="s">
        <v>57</v>
      </c>
    </row>
    <row r="3197" spans="1:11" ht="42" customHeight="1">
      <c r="A3197" s="2" t="s">
        <v>8254</v>
      </c>
      <c r="B3197" s="2" t="s">
        <v>8255</v>
      </c>
      <c r="C3197" s="2" t="s">
        <v>17</v>
      </c>
      <c r="D3197" s="2" t="s">
        <v>72</v>
      </c>
      <c r="E3197" s="3" t="s">
        <v>557</v>
      </c>
      <c r="F3197" s="3" t="s">
        <v>558</v>
      </c>
      <c r="G3197" s="3" t="s">
        <v>21</v>
      </c>
      <c r="H3197" s="2" t="s">
        <v>55</v>
      </c>
      <c r="I3197" s="2" t="s">
        <v>8256</v>
      </c>
      <c r="J3197" s="3" t="str">
        <f>HYPERLINK("https://www.boe.es/gazeta/dias/1809/04/19/pdfs/GMD-E-1809-109.pdf#page=1","Abrir facsímil")</f>
        <v>Abrir facsímil</v>
      </c>
      <c r="K3197" s="3" t="s">
        <v>57</v>
      </c>
    </row>
    <row r="3198" spans="1:11" ht="42" customHeight="1">
      <c r="A3198" s="2" t="s">
        <v>8257</v>
      </c>
      <c r="B3198" s="2" t="s">
        <v>8258</v>
      </c>
      <c r="C3198" s="2" t="s">
        <v>17</v>
      </c>
      <c r="D3198" s="2" t="s">
        <v>18</v>
      </c>
      <c r="E3198" s="3" t="s">
        <v>666</v>
      </c>
      <c r="F3198" s="3" t="s">
        <v>667</v>
      </c>
      <c r="G3198" s="3" t="s">
        <v>1448</v>
      </c>
      <c r="H3198" s="2" t="s">
        <v>55</v>
      </c>
      <c r="I3198" s="2" t="s">
        <v>8259</v>
      </c>
      <c r="J3198" s="3" t="str">
        <f>HYPERLINK("https://www.boe.es/gazeta/dias/1809/08/29/pdfs/GGB-1809-122.pdf#page=7","Abrir facsímil")</f>
        <v>Abrir facsímil</v>
      </c>
      <c r="K3198" s="3" t="s">
        <v>57</v>
      </c>
    </row>
    <row r="3199" spans="1:11" ht="42" customHeight="1">
      <c r="A3199" s="2" t="s">
        <v>8260</v>
      </c>
      <c r="B3199" s="2" t="s">
        <v>8261</v>
      </c>
      <c r="C3199" s="2" t="s">
        <v>288</v>
      </c>
      <c r="D3199" s="2" t="s">
        <v>72</v>
      </c>
      <c r="E3199" s="3" t="s">
        <v>776</v>
      </c>
      <c r="F3199" s="3" t="s">
        <v>777</v>
      </c>
      <c r="G3199" s="3" t="s">
        <v>736</v>
      </c>
      <c r="H3199" s="2" t="s">
        <v>55</v>
      </c>
      <c r="I3199" s="2" t="s">
        <v>8262</v>
      </c>
      <c r="J3199" s="3" t="str">
        <f>HYPERLINK("https://www.boe.es/gazeta/dias/1809/05/28/pdfs/GMD-E-1809-148.pdf#page=1","Abrir facsímil")</f>
        <v>Abrir facsímil</v>
      </c>
      <c r="K3199" s="3" t="s">
        <v>57</v>
      </c>
    </row>
    <row r="3200" spans="1:11" ht="42" customHeight="1">
      <c r="A3200" s="2" t="s">
        <v>8263</v>
      </c>
      <c r="B3200" s="2" t="s">
        <v>8264</v>
      </c>
      <c r="C3200" s="2" t="s">
        <v>17</v>
      </c>
      <c r="D3200" s="2" t="s">
        <v>18</v>
      </c>
      <c r="E3200" s="3" t="s">
        <v>33</v>
      </c>
      <c r="F3200" s="3" t="s">
        <v>34</v>
      </c>
      <c r="G3200" s="3" t="s">
        <v>595</v>
      </c>
      <c r="H3200" s="2" t="s">
        <v>55</v>
      </c>
      <c r="I3200" s="2" t="s">
        <v>8265</v>
      </c>
      <c r="J3200" s="3" t="str">
        <f>HYPERLINK("https://www.boe.es/gazeta/dias/1809/12/19/pdfs/GGB-1809-602.pdf#page=7","Abrir facsímil")</f>
        <v>Abrir facsímil</v>
      </c>
      <c r="K3200" s="3" t="s">
        <v>57</v>
      </c>
    </row>
    <row r="3201" spans="1:11" ht="42" customHeight="1">
      <c r="A3201" s="2" t="s">
        <v>8266</v>
      </c>
      <c r="B3201" s="2" t="s">
        <v>8267</v>
      </c>
      <c r="C3201" s="2" t="s">
        <v>17</v>
      </c>
      <c r="D3201" s="2" t="s">
        <v>18</v>
      </c>
      <c r="E3201" s="3" t="s">
        <v>2976</v>
      </c>
      <c r="F3201" s="3" t="s">
        <v>2977</v>
      </c>
      <c r="G3201" s="3" t="s">
        <v>62</v>
      </c>
      <c r="H3201" s="2" t="s">
        <v>55</v>
      </c>
      <c r="I3201" s="2" t="s">
        <v>8268</v>
      </c>
      <c r="J3201" s="3" t="str">
        <f>HYPERLINK("https://www.boe.es/gazeta/dias/1809/05/05/pdfs/GGB-1809-24.pdf#page=8","Abrir facsímil")</f>
        <v>Abrir facsímil</v>
      </c>
      <c r="K3201" s="3" t="s">
        <v>57</v>
      </c>
    </row>
    <row r="3202" spans="1:11" ht="42" customHeight="1">
      <c r="A3202" s="2" t="s">
        <v>8269</v>
      </c>
      <c r="B3202" s="2" t="s">
        <v>8270</v>
      </c>
      <c r="C3202" s="2" t="s">
        <v>369</v>
      </c>
      <c r="D3202" s="2" t="s">
        <v>18</v>
      </c>
      <c r="E3202" s="3" t="s">
        <v>1288</v>
      </c>
      <c r="F3202" s="3" t="s">
        <v>1289</v>
      </c>
      <c r="G3202" s="3" t="s">
        <v>2559</v>
      </c>
      <c r="H3202" s="2" t="s">
        <v>55</v>
      </c>
      <c r="I3202" s="2" t="s">
        <v>8271</v>
      </c>
      <c r="J3202" s="3" t="str">
        <f>HYPERLINK("https://www.boe.es/gazeta/dias/1809/07/28/pdfs/GGB-1809-49.pdf#page=12","Abrir facsímil")</f>
        <v>Abrir facsímil</v>
      </c>
      <c r="K3202" s="3" t="s">
        <v>57</v>
      </c>
    </row>
    <row r="3203" spans="1:11" ht="42" customHeight="1">
      <c r="A3203" s="2" t="s">
        <v>8272</v>
      </c>
      <c r="B3203" s="2" t="s">
        <v>8272</v>
      </c>
      <c r="C3203" s="2" t="s">
        <v>25</v>
      </c>
      <c r="D3203" s="2" t="s">
        <v>107</v>
      </c>
      <c r="E3203" s="3" t="s">
        <v>567</v>
      </c>
      <c r="F3203" s="3" t="s">
        <v>568</v>
      </c>
      <c r="G3203" s="3" t="s">
        <v>120</v>
      </c>
      <c r="H3203" s="2" t="s">
        <v>55</v>
      </c>
      <c r="I3203" s="2" t="s">
        <v>8273</v>
      </c>
      <c r="J3203" s="3" t="str">
        <f>HYPERLINK("https://www.boe.es/gazeta/dias/1809/06/03/pdfs/GMD-1809-154.pdf#page=1","Abrir facsímil")</f>
        <v>Abrir facsímil</v>
      </c>
      <c r="K3203" s="3" t="s">
        <v>57</v>
      </c>
    </row>
    <row r="3204" spans="1:11" ht="42" customHeight="1">
      <c r="A3204" s="2" t="s">
        <v>8274</v>
      </c>
      <c r="B3204" s="2" t="s">
        <v>8274</v>
      </c>
      <c r="C3204" s="2" t="s">
        <v>17</v>
      </c>
      <c r="D3204" s="2" t="s">
        <v>18</v>
      </c>
      <c r="E3204" s="3" t="s">
        <v>243</v>
      </c>
      <c r="F3204" s="3" t="s">
        <v>735</v>
      </c>
      <c r="G3204" s="3" t="s">
        <v>736</v>
      </c>
      <c r="H3204" s="2" t="s">
        <v>55</v>
      </c>
      <c r="I3204" s="2" t="s">
        <v>8275</v>
      </c>
      <c r="J3204" s="3" t="str">
        <f>HYPERLINK("https://www.boe.es/gazeta/dias/1809/02/17/pdfs/GGB-1809-8.pdf#page=8","Abrir facsímil")</f>
        <v>Abrir facsímil</v>
      </c>
      <c r="K3204" s="3" t="s">
        <v>57</v>
      </c>
    </row>
    <row r="3205" spans="1:11" ht="42" customHeight="1">
      <c r="A3205" s="2" t="s">
        <v>8274</v>
      </c>
      <c r="B3205" s="2" t="s">
        <v>8274</v>
      </c>
      <c r="C3205" s="2" t="s">
        <v>25</v>
      </c>
      <c r="D3205" s="2" t="s">
        <v>26</v>
      </c>
      <c r="E3205" s="3" t="s">
        <v>1011</v>
      </c>
      <c r="F3205" s="3" t="s">
        <v>1012</v>
      </c>
      <c r="G3205" s="3" t="s">
        <v>120</v>
      </c>
      <c r="H3205" s="2" t="s">
        <v>55</v>
      </c>
      <c r="I3205" s="2" t="s">
        <v>8276</v>
      </c>
      <c r="J3205" s="3" t="str">
        <f>HYPERLINK("https://www.boe.es/gazeta/dias/1809/08/01/pdfs/GGB-1809-50.pdf#page=11","Abrir facsímil")</f>
        <v>Abrir facsímil</v>
      </c>
      <c r="K3205" s="3" t="s">
        <v>57</v>
      </c>
    </row>
    <row r="3206" spans="1:11" ht="42" customHeight="1">
      <c r="A3206" s="2" t="s">
        <v>8277</v>
      </c>
      <c r="B3206" s="2" t="s">
        <v>8277</v>
      </c>
      <c r="C3206" s="2" t="s">
        <v>47</v>
      </c>
      <c r="D3206" s="2" t="s">
        <v>40</v>
      </c>
      <c r="E3206" s="3" t="s">
        <v>211</v>
      </c>
      <c r="F3206" s="3" t="s">
        <v>212</v>
      </c>
      <c r="G3206" s="3" t="s">
        <v>29</v>
      </c>
      <c r="H3206" s="2" t="s">
        <v>55</v>
      </c>
      <c r="I3206" s="2" t="s">
        <v>8278</v>
      </c>
      <c r="J3206" s="3" t="str">
        <f>HYPERLINK("https://www.boe.es/gazeta/dias/1809/10/27/pdfs/GMD-1809-301.pdf#page=3","Abrir facsímil")</f>
        <v>Abrir facsímil</v>
      </c>
      <c r="K3206" s="3" t="s">
        <v>57</v>
      </c>
    </row>
    <row r="3207" spans="1:11" ht="42" customHeight="1">
      <c r="A3207" s="2" t="s">
        <v>8277</v>
      </c>
      <c r="B3207" s="2" t="s">
        <v>8277</v>
      </c>
      <c r="C3207" s="2" t="s">
        <v>25</v>
      </c>
      <c r="D3207" s="2" t="s">
        <v>18</v>
      </c>
      <c r="E3207" s="3" t="s">
        <v>211</v>
      </c>
      <c r="F3207" s="3" t="s">
        <v>212</v>
      </c>
      <c r="G3207" s="3" t="s">
        <v>213</v>
      </c>
      <c r="H3207" s="2" t="s">
        <v>55</v>
      </c>
      <c r="I3207" s="2" t="s">
        <v>8279</v>
      </c>
      <c r="J3207" s="3" t="str">
        <f>HYPERLINK("https://www.boe.es/gazeta/dias/1809/10/27/pdfs/GMD-1809-301.pdf#page=4","Abrir facsímil")</f>
        <v>Abrir facsímil</v>
      </c>
      <c r="K3207" s="3" t="s">
        <v>57</v>
      </c>
    </row>
    <row r="3208" spans="1:11" ht="42" customHeight="1">
      <c r="A3208" s="2" t="s">
        <v>8277</v>
      </c>
      <c r="B3208" s="2" t="s">
        <v>8277</v>
      </c>
      <c r="C3208" s="2" t="s">
        <v>25</v>
      </c>
      <c r="D3208" s="2" t="s">
        <v>26</v>
      </c>
      <c r="E3208" s="3" t="s">
        <v>216</v>
      </c>
      <c r="F3208" s="3" t="s">
        <v>217</v>
      </c>
      <c r="G3208" s="3" t="s">
        <v>218</v>
      </c>
      <c r="H3208" s="2" t="s">
        <v>55</v>
      </c>
      <c r="I3208" s="2" t="s">
        <v>8280</v>
      </c>
      <c r="J3208" s="3" t="str">
        <f>HYPERLINK("https://www.boe.es/gazeta/dias/1809/12/05/pdfs/GGB-H-1809-542.pdf#page=6","Abrir facsímil")</f>
        <v>Abrir facsímil</v>
      </c>
      <c r="K3208" s="3" t="s">
        <v>57</v>
      </c>
    </row>
    <row r="3209" spans="1:11" ht="42" customHeight="1">
      <c r="A3209" s="2" t="s">
        <v>8281</v>
      </c>
      <c r="B3209" s="2" t="s">
        <v>8282</v>
      </c>
      <c r="C3209" s="2" t="s">
        <v>47</v>
      </c>
      <c r="D3209" s="2" t="s">
        <v>18</v>
      </c>
      <c r="E3209" s="3" t="s">
        <v>305</v>
      </c>
      <c r="F3209" s="3" t="s">
        <v>306</v>
      </c>
      <c r="G3209" s="3" t="s">
        <v>29</v>
      </c>
      <c r="H3209" s="2" t="s">
        <v>55</v>
      </c>
      <c r="I3209" s="2" t="s">
        <v>8283</v>
      </c>
      <c r="J3209" s="3" t="str">
        <f>HYPERLINK("https://www.boe.es/gazeta/dias/1809/10/20/pdfs/GMD-1809-294.pdf#page=3","Abrir facsímil")</f>
        <v>Abrir facsímil</v>
      </c>
      <c r="K3209" s="3" t="s">
        <v>57</v>
      </c>
    </row>
    <row r="3210" spans="1:11" ht="42" customHeight="1">
      <c r="A3210" s="2" t="s">
        <v>8284</v>
      </c>
      <c r="B3210" s="2" t="s">
        <v>8285</v>
      </c>
      <c r="C3210" s="2" t="s">
        <v>17</v>
      </c>
      <c r="D3210" s="2" t="s">
        <v>72</v>
      </c>
      <c r="E3210" s="3" t="s">
        <v>243</v>
      </c>
      <c r="F3210" s="3" t="s">
        <v>244</v>
      </c>
      <c r="G3210" s="3" t="s">
        <v>29</v>
      </c>
      <c r="H3210" s="2" t="s">
        <v>55</v>
      </c>
      <c r="I3210" s="2" t="s">
        <v>8286</v>
      </c>
      <c r="J3210" s="3" t="str">
        <f>HYPERLINK("https://www.boe.es/gazeta/dias/1809/02/17/pdfs/GGB-G-1809-8.pdf#page=3","Abrir facsímil")</f>
        <v>Abrir facsímil</v>
      </c>
      <c r="K3210" s="3" t="s">
        <v>57</v>
      </c>
    </row>
    <row r="3211" spans="1:11" ht="42" customHeight="1">
      <c r="A3211" s="2" t="s">
        <v>8287</v>
      </c>
      <c r="B3211" s="2" t="s">
        <v>8288</v>
      </c>
      <c r="C3211" s="2" t="s">
        <v>17</v>
      </c>
      <c r="D3211" s="2" t="s">
        <v>72</v>
      </c>
      <c r="E3211" s="3" t="s">
        <v>243</v>
      </c>
      <c r="F3211" s="3" t="s">
        <v>244</v>
      </c>
      <c r="G3211" s="3" t="s">
        <v>582</v>
      </c>
      <c r="H3211" s="2" t="s">
        <v>55</v>
      </c>
      <c r="I3211" s="2" t="s">
        <v>8289</v>
      </c>
      <c r="J3211" s="3" t="str">
        <f>HYPERLINK("https://www.boe.es/gazeta/dias/1809/02/17/pdfs/GGB-G-1809-8.pdf#page=7","Abrir facsímil")</f>
        <v>Abrir facsímil</v>
      </c>
      <c r="K3211" s="3" t="s">
        <v>57</v>
      </c>
    </row>
    <row r="3212" spans="1:11" ht="42" customHeight="1">
      <c r="A3212" s="2" t="s">
        <v>8290</v>
      </c>
      <c r="B3212" s="2" t="s">
        <v>8291</v>
      </c>
      <c r="C3212" s="2" t="s">
        <v>25</v>
      </c>
      <c r="D3212" s="2" t="s">
        <v>18</v>
      </c>
      <c r="E3212" s="3" t="s">
        <v>2142</v>
      </c>
      <c r="F3212" s="3" t="s">
        <v>2143</v>
      </c>
      <c r="G3212" s="3" t="s">
        <v>21</v>
      </c>
      <c r="H3212" s="2" t="s">
        <v>22</v>
      </c>
      <c r="I3212" s="2" t="s">
        <v>8292</v>
      </c>
      <c r="J3212" s="3" t="str">
        <f>HYPERLINK("https://www.boe.es/gazeta/dias/1809/03/16/pdfs/GMD-1809-75.pdf#page=3","Abrir facsímil")</f>
        <v>Abrir facsímil</v>
      </c>
      <c r="K3212" s="3" t="s">
        <v>24</v>
      </c>
    </row>
    <row r="3213" spans="1:11" ht="42" customHeight="1">
      <c r="A3213" s="2" t="s">
        <v>8293</v>
      </c>
      <c r="B3213" s="2" t="s">
        <v>8294</v>
      </c>
      <c r="C3213" s="2" t="s">
        <v>25</v>
      </c>
      <c r="D3213" s="2" t="s">
        <v>26</v>
      </c>
      <c r="E3213" s="3" t="s">
        <v>248</v>
      </c>
      <c r="F3213" s="3" t="s">
        <v>249</v>
      </c>
      <c r="G3213" s="3" t="s">
        <v>192</v>
      </c>
      <c r="H3213" s="2" t="s">
        <v>55</v>
      </c>
      <c r="I3213" s="2" t="s">
        <v>8295</v>
      </c>
      <c r="J3213" s="3" t="str">
        <f>HYPERLINK("https://www.boe.es/gazeta/dias/1809/07/26/pdfs/GGB-1809-48E.pdf#page=6","Abrir facsímil")</f>
        <v>Abrir facsímil</v>
      </c>
      <c r="K3213" s="3" t="s">
        <v>57</v>
      </c>
    </row>
    <row r="3214" spans="1:11" ht="42" customHeight="1">
      <c r="A3214" s="2" t="s">
        <v>8296</v>
      </c>
      <c r="B3214" s="2" t="s">
        <v>8297</v>
      </c>
      <c r="C3214" s="2" t="s">
        <v>25</v>
      </c>
      <c r="D3214" s="2" t="s">
        <v>72</v>
      </c>
      <c r="E3214" s="3" t="s">
        <v>143</v>
      </c>
      <c r="F3214" s="3" t="s">
        <v>705</v>
      </c>
      <c r="G3214" s="3" t="s">
        <v>260</v>
      </c>
      <c r="H3214" s="2" t="s">
        <v>55</v>
      </c>
      <c r="I3214" s="2" t="s">
        <v>8298</v>
      </c>
      <c r="J3214" s="3" t="str">
        <f>HYPERLINK("https://www.boe.es/gazeta/dias/1809/11/16/pdfs/GGB-H-1809-462.pdf#page=7","Abrir facsímil")</f>
        <v>Abrir facsímil</v>
      </c>
      <c r="K3214" s="3" t="s">
        <v>57</v>
      </c>
    </row>
    <row r="3215" spans="1:11" ht="42" customHeight="1">
      <c r="A3215" s="2" t="s">
        <v>8299</v>
      </c>
      <c r="B3215" s="2" t="s">
        <v>8299</v>
      </c>
      <c r="C3215" s="2" t="s">
        <v>369</v>
      </c>
      <c r="D3215" s="2" t="s">
        <v>18</v>
      </c>
      <c r="E3215" s="3" t="s">
        <v>237</v>
      </c>
      <c r="F3215" s="3" t="s">
        <v>238</v>
      </c>
      <c r="G3215" s="3" t="s">
        <v>75</v>
      </c>
      <c r="H3215" s="2" t="s">
        <v>55</v>
      </c>
      <c r="I3215" s="2" t="s">
        <v>8300</v>
      </c>
      <c r="J3215" s="3" t="str">
        <f>HYPERLINK("https://www.boe.es/gazeta/dias/1809/07/30/pdfs/GMD-1809-212.pdf#page=4","Abrir facsímil")</f>
        <v>Abrir facsímil</v>
      </c>
      <c r="K3215" s="3" t="s">
        <v>57</v>
      </c>
    </row>
    <row r="3216" spans="1:11" ht="42" customHeight="1">
      <c r="A3216" s="2" t="s">
        <v>8301</v>
      </c>
      <c r="B3216" s="2" t="s">
        <v>8302</v>
      </c>
      <c r="C3216" s="2" t="s">
        <v>25</v>
      </c>
      <c r="D3216" s="2" t="s">
        <v>26</v>
      </c>
      <c r="E3216" s="3" t="s">
        <v>1891</v>
      </c>
      <c r="F3216" s="3" t="s">
        <v>1892</v>
      </c>
      <c r="G3216" s="3" t="s">
        <v>234</v>
      </c>
      <c r="H3216" s="2" t="s">
        <v>55</v>
      </c>
      <c r="I3216" s="2" t="s">
        <v>8303</v>
      </c>
      <c r="J3216" s="3" t="str">
        <f>HYPERLINK("https://www.boe.es/gazeta/dias/1809/06/10/pdfs/GGB-1809-35E.pdf#page=1","Abrir facsímil")</f>
        <v>Abrir facsímil</v>
      </c>
      <c r="K3216" s="3" t="s">
        <v>57</v>
      </c>
    </row>
    <row r="3217" spans="1:11" ht="42" customHeight="1">
      <c r="A3217" s="2" t="s">
        <v>8304</v>
      </c>
      <c r="B3217" s="2" t="s">
        <v>8304</v>
      </c>
      <c r="C3217" s="2" t="s">
        <v>25</v>
      </c>
      <c r="D3217" s="2" t="s">
        <v>26</v>
      </c>
      <c r="E3217" s="3" t="s">
        <v>147</v>
      </c>
      <c r="F3217" s="3" t="s">
        <v>562</v>
      </c>
      <c r="G3217" s="3" t="s">
        <v>3015</v>
      </c>
      <c r="H3217" s="2" t="s">
        <v>55</v>
      </c>
      <c r="I3217" s="2" t="s">
        <v>8305</v>
      </c>
      <c r="J3217" s="3" t="str">
        <f>HYPERLINK("https://www.boe.es/gazeta/dias/1809/10/07/pdfs/GGB-H-1809-292.pdf#page=2","Abrir facsímil")</f>
        <v>Abrir facsímil</v>
      </c>
      <c r="K3217" s="3" t="s">
        <v>57</v>
      </c>
    </row>
    <row r="3218" spans="1:11" ht="42" customHeight="1">
      <c r="A3218" s="2" t="s">
        <v>8306</v>
      </c>
      <c r="B3218" s="2" t="s">
        <v>8307</v>
      </c>
      <c r="C3218" s="2" t="s">
        <v>25</v>
      </c>
      <c r="D3218" s="2" t="s">
        <v>18</v>
      </c>
      <c r="E3218" s="3" t="s">
        <v>1514</v>
      </c>
      <c r="F3218" s="3" t="s">
        <v>1840</v>
      </c>
      <c r="G3218" s="3" t="s">
        <v>239</v>
      </c>
      <c r="H3218" s="2" t="s">
        <v>55</v>
      </c>
      <c r="I3218" s="2" t="s">
        <v>8308</v>
      </c>
      <c r="J3218" s="3" t="str">
        <f>HYPERLINK("https://www.boe.es/gazeta/dias/1809/04/17/pdfs/GGB-1809-19.pdf#page=7","Abrir facsímil")</f>
        <v>Abrir facsímil</v>
      </c>
      <c r="K3218" s="3" t="s">
        <v>57</v>
      </c>
    </row>
    <row r="3219" spans="1:11" ht="42" customHeight="1">
      <c r="A3219" s="2" t="s">
        <v>8309</v>
      </c>
      <c r="B3219" s="2" t="s">
        <v>8310</v>
      </c>
      <c r="C3219" s="2" t="s">
        <v>25</v>
      </c>
      <c r="D3219" s="2" t="s">
        <v>18</v>
      </c>
      <c r="E3219" s="3" t="s">
        <v>327</v>
      </c>
      <c r="F3219" s="3" t="s">
        <v>328</v>
      </c>
      <c r="G3219" s="3" t="s">
        <v>329</v>
      </c>
      <c r="H3219" s="2" t="s">
        <v>55</v>
      </c>
      <c r="I3219" s="2" t="s">
        <v>8311</v>
      </c>
      <c r="J3219" s="3" t="str">
        <f>HYPERLINK("https://www.boe.es/gazeta/dias/1809/09/14/pdfs/GGB-1809-192.pdf#page=8","Abrir facsímil")</f>
        <v>Abrir facsímil</v>
      </c>
      <c r="K3219" s="3" t="s">
        <v>57</v>
      </c>
    </row>
    <row r="3220" spans="1:11" ht="42" customHeight="1">
      <c r="A3220" s="2" t="s">
        <v>8312</v>
      </c>
      <c r="B3220" s="2" t="s">
        <v>8313</v>
      </c>
      <c r="C3220" s="2" t="s">
        <v>17</v>
      </c>
      <c r="D3220" s="2" t="s">
        <v>18</v>
      </c>
      <c r="E3220" s="3" t="s">
        <v>3521</v>
      </c>
      <c r="F3220" s="3" t="s">
        <v>3522</v>
      </c>
      <c r="G3220" s="3" t="s">
        <v>75</v>
      </c>
      <c r="H3220" s="2" t="s">
        <v>55</v>
      </c>
      <c r="I3220" s="2" t="s">
        <v>8314</v>
      </c>
      <c r="J3220" s="3" t="str">
        <f>HYPERLINK("https://www.boe.es/gazeta/dias/1809/02/24/pdfs/GGB-1809-9.pdf#page=8","Abrir facsímil")</f>
        <v>Abrir facsímil</v>
      </c>
      <c r="K3220" s="3" t="s">
        <v>57</v>
      </c>
    </row>
    <row r="3221" spans="1:11" ht="42" customHeight="1">
      <c r="A3221" s="2" t="s">
        <v>8315</v>
      </c>
      <c r="B3221" s="2" t="s">
        <v>8316</v>
      </c>
      <c r="C3221" s="2" t="s">
        <v>39</v>
      </c>
      <c r="D3221" s="2" t="s">
        <v>18</v>
      </c>
      <c r="E3221" s="3" t="s">
        <v>305</v>
      </c>
      <c r="F3221" s="3" t="s">
        <v>306</v>
      </c>
      <c r="G3221" s="3" t="s">
        <v>29</v>
      </c>
      <c r="H3221" s="2" t="s">
        <v>55</v>
      </c>
      <c r="I3221" s="2" t="s">
        <v>8317</v>
      </c>
      <c r="J3221" s="3" t="str">
        <f>HYPERLINK("https://www.boe.es/gazeta/dias/1809/10/20/pdfs/GMD-1809-294.pdf#page=3","Abrir facsímil")</f>
        <v>Abrir facsímil</v>
      </c>
      <c r="K3221" s="3" t="s">
        <v>57</v>
      </c>
    </row>
    <row r="3222" spans="1:11" ht="42" customHeight="1">
      <c r="A3222" s="2" t="s">
        <v>8318</v>
      </c>
      <c r="B3222" s="2" t="s">
        <v>8319</v>
      </c>
      <c r="C3222" s="2" t="s">
        <v>17</v>
      </c>
      <c r="D3222" s="2" t="s">
        <v>18</v>
      </c>
      <c r="E3222" s="3" t="s">
        <v>758</v>
      </c>
      <c r="F3222" s="3" t="s">
        <v>759</v>
      </c>
      <c r="G3222" s="3" t="s">
        <v>225</v>
      </c>
      <c r="H3222" s="2" t="s">
        <v>55</v>
      </c>
      <c r="I3222" s="2" t="s">
        <v>8320</v>
      </c>
      <c r="J3222" s="3" t="str">
        <f>HYPERLINK("https://www.boe.es/gazeta/dias/1809/06/01/pdfs/GMD-1809-152.pdf#page=4","Abrir facsímil")</f>
        <v>Abrir facsímil</v>
      </c>
      <c r="K3222" s="3" t="s">
        <v>57</v>
      </c>
    </row>
    <row r="3223" spans="1:11" ht="42" customHeight="1">
      <c r="A3223" s="2" t="s">
        <v>8321</v>
      </c>
      <c r="B3223" s="2" t="s">
        <v>8321</v>
      </c>
      <c r="C3223" s="2" t="s">
        <v>25</v>
      </c>
      <c r="D3223" s="2" t="s">
        <v>26</v>
      </c>
      <c r="E3223" s="3" t="s">
        <v>211</v>
      </c>
      <c r="F3223" s="3" t="s">
        <v>212</v>
      </c>
      <c r="G3223" s="3" t="s">
        <v>213</v>
      </c>
      <c r="H3223" s="2" t="s">
        <v>55</v>
      </c>
      <c r="I3223" s="2" t="s">
        <v>8322</v>
      </c>
      <c r="J3223" s="3" t="str">
        <f>HYPERLINK("https://www.boe.es/gazeta/dias/1809/10/27/pdfs/GMD-1809-301.pdf#page=4","Abrir facsímil")</f>
        <v>Abrir facsímil</v>
      </c>
      <c r="K3223" s="3" t="s">
        <v>57</v>
      </c>
    </row>
    <row r="3224" spans="1:11" ht="42" customHeight="1">
      <c r="A3224" s="2" t="s">
        <v>8323</v>
      </c>
      <c r="B3224" s="2" t="s">
        <v>8323</v>
      </c>
      <c r="C3224" s="2" t="s">
        <v>25</v>
      </c>
      <c r="D3224" s="2" t="s">
        <v>18</v>
      </c>
      <c r="E3224" s="3" t="s">
        <v>5350</v>
      </c>
      <c r="F3224" s="3" t="s">
        <v>5351</v>
      </c>
      <c r="G3224" s="3" t="s">
        <v>29</v>
      </c>
      <c r="H3224" s="2" t="s">
        <v>55</v>
      </c>
      <c r="I3224" s="2" t="s">
        <v>8324</v>
      </c>
      <c r="J3224" s="3" t="str">
        <f>HYPERLINK("https://www.boe.es/gazeta/dias/1809/05/25/pdfs/GMD-1809-145.pdf#page=3","Abrir facsímil")</f>
        <v>Abrir facsímil</v>
      </c>
      <c r="K3224" s="3" t="s">
        <v>57</v>
      </c>
    </row>
    <row r="3225" spans="1:11" ht="42" customHeight="1">
      <c r="A3225" s="2" t="s">
        <v>8323</v>
      </c>
      <c r="B3225" s="2" t="s">
        <v>8323</v>
      </c>
      <c r="C3225" s="2" t="s">
        <v>25</v>
      </c>
      <c r="D3225" s="2" t="s">
        <v>18</v>
      </c>
      <c r="E3225" s="3" t="s">
        <v>1352</v>
      </c>
      <c r="F3225" s="3" t="s">
        <v>1353</v>
      </c>
      <c r="G3225" s="3" t="s">
        <v>75</v>
      </c>
      <c r="H3225" s="2" t="s">
        <v>55</v>
      </c>
      <c r="I3225" s="2" t="s">
        <v>8325</v>
      </c>
      <c r="J3225" s="3" t="str">
        <f>HYPERLINK("https://www.boe.es/gazeta/dias/1809/05/27/pdfs/GMD-1809-147.pdf#page=3","Abrir facsímil")</f>
        <v>Abrir facsímil</v>
      </c>
      <c r="K3225" s="3" t="s">
        <v>57</v>
      </c>
    </row>
    <row r="3226" spans="1:11" ht="42" customHeight="1">
      <c r="A3226" s="2" t="s">
        <v>8323</v>
      </c>
      <c r="B3226" s="2" t="s">
        <v>8323</v>
      </c>
      <c r="C3226" s="2" t="s">
        <v>25</v>
      </c>
      <c r="D3226" s="2" t="s">
        <v>40</v>
      </c>
      <c r="E3226" s="3" t="s">
        <v>102</v>
      </c>
      <c r="F3226" s="3" t="s">
        <v>1095</v>
      </c>
      <c r="G3226" s="3" t="s">
        <v>29</v>
      </c>
      <c r="H3226" s="2" t="s">
        <v>55</v>
      </c>
      <c r="I3226" s="2" t="s">
        <v>8326</v>
      </c>
      <c r="J3226" s="3" t="str">
        <f>HYPERLINK("https://www.boe.es/gazeta/dias/1809/09/28/pdfs/GMD-1809-272.pdf#page=3","Abrir facsímil")</f>
        <v>Abrir facsímil</v>
      </c>
      <c r="K3226" s="3" t="s">
        <v>57</v>
      </c>
    </row>
    <row r="3227" spans="1:11" ht="42" customHeight="1">
      <c r="A3227" s="2" t="s">
        <v>8323</v>
      </c>
      <c r="B3227" s="2" t="s">
        <v>8323</v>
      </c>
      <c r="C3227" s="2" t="s">
        <v>17</v>
      </c>
      <c r="D3227" s="2" t="s">
        <v>18</v>
      </c>
      <c r="E3227" s="3" t="s">
        <v>2643</v>
      </c>
      <c r="F3227" s="3" t="s">
        <v>2644</v>
      </c>
      <c r="G3227" s="3" t="s">
        <v>525</v>
      </c>
      <c r="H3227" s="2" t="s">
        <v>55</v>
      </c>
      <c r="I3227" s="2" t="s">
        <v>8327</v>
      </c>
      <c r="J3227" s="3" t="str">
        <f>HYPERLINK("https://www.boe.es/gazeta/dias/1809/09/29/pdfs/GMD-1809-273.pdf#page=3","Abrir facsímil")</f>
        <v>Abrir facsímil</v>
      </c>
      <c r="K3227" s="3" t="s">
        <v>57</v>
      </c>
    </row>
    <row r="3228" spans="1:11" ht="42" customHeight="1">
      <c r="A3228" s="2" t="s">
        <v>8323</v>
      </c>
      <c r="B3228" s="2" t="s">
        <v>8323</v>
      </c>
      <c r="C3228" s="2" t="s">
        <v>131</v>
      </c>
      <c r="D3228" s="2" t="s">
        <v>18</v>
      </c>
      <c r="E3228" s="3" t="s">
        <v>305</v>
      </c>
      <c r="F3228" s="3" t="s">
        <v>306</v>
      </c>
      <c r="G3228" s="3" t="s">
        <v>5473</v>
      </c>
      <c r="H3228" s="2" t="s">
        <v>55</v>
      </c>
      <c r="I3228" s="2" t="s">
        <v>8328</v>
      </c>
      <c r="J3228" s="3" t="str">
        <f>HYPERLINK("https://www.boe.es/gazeta/dias/1809/10/20/pdfs/GMD-1809-294.pdf#page=2","Abrir facsímil")</f>
        <v>Abrir facsímil</v>
      </c>
      <c r="K3228" s="3" t="s">
        <v>57</v>
      </c>
    </row>
    <row r="3229" spans="1:11" ht="42" customHeight="1">
      <c r="A3229" s="2" t="s">
        <v>8323</v>
      </c>
      <c r="B3229" s="2" t="s">
        <v>8323</v>
      </c>
      <c r="C3229" s="2" t="s">
        <v>25</v>
      </c>
      <c r="D3229" s="2" t="s">
        <v>18</v>
      </c>
      <c r="E3229" s="3" t="s">
        <v>211</v>
      </c>
      <c r="F3229" s="3" t="s">
        <v>212</v>
      </c>
      <c r="G3229" s="3" t="s">
        <v>467</v>
      </c>
      <c r="H3229" s="2" t="s">
        <v>55</v>
      </c>
      <c r="I3229" s="2" t="s">
        <v>8329</v>
      </c>
      <c r="J3229" s="3" t="str">
        <f>HYPERLINK("https://www.boe.es/gazeta/dias/1809/10/27/pdfs/GMD-1809-301.pdf#page=2","Abrir facsímil")</f>
        <v>Abrir facsímil</v>
      </c>
      <c r="K3229" s="3" t="s">
        <v>57</v>
      </c>
    </row>
    <row r="3230" spans="1:11" ht="42" customHeight="1">
      <c r="A3230" s="2" t="s">
        <v>8323</v>
      </c>
      <c r="B3230" s="2" t="s">
        <v>8323</v>
      </c>
      <c r="C3230" s="2" t="s">
        <v>17</v>
      </c>
      <c r="D3230" s="2" t="s">
        <v>18</v>
      </c>
      <c r="E3230" s="3" t="s">
        <v>211</v>
      </c>
      <c r="F3230" s="3" t="s">
        <v>212</v>
      </c>
      <c r="G3230" s="3" t="s">
        <v>29</v>
      </c>
      <c r="H3230" s="2" t="s">
        <v>55</v>
      </c>
      <c r="I3230" s="2" t="s">
        <v>8330</v>
      </c>
      <c r="J3230" s="3" t="str">
        <f>HYPERLINK("https://www.boe.es/gazeta/dias/1809/10/27/pdfs/GMD-1809-301.pdf#page=3","Abrir facsímil")</f>
        <v>Abrir facsímil</v>
      </c>
      <c r="K3230" s="3" t="s">
        <v>57</v>
      </c>
    </row>
    <row r="3231" spans="1:11" ht="42" customHeight="1">
      <c r="A3231" s="2" t="s">
        <v>8323</v>
      </c>
      <c r="B3231" s="2" t="s">
        <v>8323</v>
      </c>
      <c r="C3231" s="2" t="s">
        <v>25</v>
      </c>
      <c r="D3231" s="2" t="s">
        <v>26</v>
      </c>
      <c r="E3231" s="3" t="s">
        <v>211</v>
      </c>
      <c r="F3231" s="3" t="s">
        <v>212</v>
      </c>
      <c r="G3231" s="3" t="s">
        <v>213</v>
      </c>
      <c r="H3231" s="2" t="s">
        <v>55</v>
      </c>
      <c r="I3231" s="2" t="s">
        <v>8331</v>
      </c>
      <c r="J3231" s="3" t="str">
        <f>HYPERLINK("https://www.boe.es/gazeta/dias/1809/10/27/pdfs/GMD-1809-301.pdf#page=4","Abrir facsímil")</f>
        <v>Abrir facsímil</v>
      </c>
      <c r="K3231" s="3" t="s">
        <v>57</v>
      </c>
    </row>
    <row r="3232" spans="1:11" ht="42" customHeight="1">
      <c r="A3232" s="2" t="s">
        <v>8323</v>
      </c>
      <c r="B3232" s="2" t="s">
        <v>8323</v>
      </c>
      <c r="C3232" s="2" t="s">
        <v>25</v>
      </c>
      <c r="D3232" s="2" t="s">
        <v>72</v>
      </c>
      <c r="E3232" s="3" t="s">
        <v>216</v>
      </c>
      <c r="F3232" s="3" t="s">
        <v>217</v>
      </c>
      <c r="G3232" s="3" t="s">
        <v>270</v>
      </c>
      <c r="H3232" s="2" t="s">
        <v>55</v>
      </c>
      <c r="I3232" s="2" t="s">
        <v>8332</v>
      </c>
      <c r="J3232" s="3" t="str">
        <f>HYPERLINK("https://www.boe.es/gazeta/dias/1809/12/05/pdfs/GGB-H-1809-542.pdf#page=3","Abrir facsímil")</f>
        <v>Abrir facsímil</v>
      </c>
      <c r="K3232" s="3" t="s">
        <v>57</v>
      </c>
    </row>
    <row r="3233" spans="1:11" ht="42" customHeight="1">
      <c r="A3233" s="2" t="s">
        <v>8323</v>
      </c>
      <c r="B3233" s="2" t="s">
        <v>8323</v>
      </c>
      <c r="C3233" s="2" t="s">
        <v>25</v>
      </c>
      <c r="D3233" s="2" t="s">
        <v>26</v>
      </c>
      <c r="E3233" s="3" t="s">
        <v>216</v>
      </c>
      <c r="F3233" s="3" t="s">
        <v>217</v>
      </c>
      <c r="G3233" s="3" t="s">
        <v>587</v>
      </c>
      <c r="H3233" s="2" t="s">
        <v>55</v>
      </c>
      <c r="I3233" s="2" t="s">
        <v>8333</v>
      </c>
      <c r="J3233" s="3" t="str">
        <f>HYPERLINK("https://www.boe.es/gazeta/dias/1809/12/05/pdfs/GGB-H-1809-542.pdf#page=4","Abrir facsímil")</f>
        <v>Abrir facsímil</v>
      </c>
      <c r="K3233" s="3" t="s">
        <v>57</v>
      </c>
    </row>
    <row r="3234" spans="1:11" ht="42" customHeight="1">
      <c r="A3234" s="2" t="s">
        <v>8323</v>
      </c>
      <c r="B3234" s="2" t="s">
        <v>8323</v>
      </c>
      <c r="C3234" s="2" t="s">
        <v>25</v>
      </c>
      <c r="D3234" s="2" t="s">
        <v>72</v>
      </c>
      <c r="E3234" s="3" t="s">
        <v>216</v>
      </c>
      <c r="F3234" s="3" t="s">
        <v>217</v>
      </c>
      <c r="G3234" s="3" t="s">
        <v>94</v>
      </c>
      <c r="H3234" s="2" t="s">
        <v>55</v>
      </c>
      <c r="I3234" s="2" t="s">
        <v>8334</v>
      </c>
      <c r="J3234" s="3" t="str">
        <f>HYPERLINK("https://www.boe.es/gazeta/dias/1809/12/05/pdfs/GGB-H-1809-542.pdf#page=5","Abrir facsímil")</f>
        <v>Abrir facsímil</v>
      </c>
      <c r="K3234" s="3" t="s">
        <v>57</v>
      </c>
    </row>
    <row r="3235" spans="1:11" ht="42" customHeight="1">
      <c r="A3235" s="2" t="s">
        <v>8323</v>
      </c>
      <c r="B3235" s="2" t="s">
        <v>8323</v>
      </c>
      <c r="C3235" s="2" t="s">
        <v>25</v>
      </c>
      <c r="D3235" s="2" t="s">
        <v>26</v>
      </c>
      <c r="E3235" s="3" t="s">
        <v>216</v>
      </c>
      <c r="F3235" s="3" t="s">
        <v>217</v>
      </c>
      <c r="G3235" s="3" t="s">
        <v>218</v>
      </c>
      <c r="H3235" s="2" t="s">
        <v>55</v>
      </c>
      <c r="I3235" s="2" t="s">
        <v>8335</v>
      </c>
      <c r="J3235" s="3" t="str">
        <f>HYPERLINK("https://www.boe.es/gazeta/dias/1809/12/05/pdfs/GGB-H-1809-542.pdf#page=6","Abrir facsímil")</f>
        <v>Abrir facsímil</v>
      </c>
      <c r="K3235" s="3" t="s">
        <v>57</v>
      </c>
    </row>
    <row r="3236" spans="1:11" ht="42" customHeight="1">
      <c r="A3236" s="2" t="s">
        <v>8323</v>
      </c>
      <c r="B3236" s="2" t="s">
        <v>8323</v>
      </c>
      <c r="C3236" s="2" t="s">
        <v>17</v>
      </c>
      <c r="D3236" s="2" t="s">
        <v>18</v>
      </c>
      <c r="E3236" s="3" t="s">
        <v>220</v>
      </c>
      <c r="F3236" s="3" t="s">
        <v>221</v>
      </c>
      <c r="G3236" s="3" t="s">
        <v>154</v>
      </c>
      <c r="H3236" s="2" t="s">
        <v>55</v>
      </c>
      <c r="I3236" s="2" t="s">
        <v>8336</v>
      </c>
      <c r="J3236" s="3" t="str">
        <f>HYPERLINK("https://www.boe.es/gazeta/dias/1809/12/13/pdfs/GMD-1809-348.pdf#page=4","Abrir facsímil")</f>
        <v>Abrir facsímil</v>
      </c>
      <c r="K3236" s="3" t="s">
        <v>57</v>
      </c>
    </row>
    <row r="3237" spans="1:11" ht="42" customHeight="1">
      <c r="A3237" s="2" t="s">
        <v>8323</v>
      </c>
      <c r="B3237" s="2" t="s">
        <v>8323</v>
      </c>
      <c r="C3237" s="2" t="s">
        <v>17</v>
      </c>
      <c r="D3237" s="2" t="s">
        <v>18</v>
      </c>
      <c r="E3237" s="3" t="s">
        <v>223</v>
      </c>
      <c r="F3237" s="3" t="s">
        <v>224</v>
      </c>
      <c r="G3237" s="3" t="s">
        <v>75</v>
      </c>
      <c r="H3237" s="2" t="s">
        <v>55</v>
      </c>
      <c r="I3237" s="2" t="s">
        <v>8337</v>
      </c>
      <c r="J3237" s="3" t="str">
        <f>HYPERLINK("https://www.boe.es/gazeta/dias/1809/12/17/pdfs/GMD-1809-352.pdf#page=3","Abrir facsímil")</f>
        <v>Abrir facsímil</v>
      </c>
      <c r="K3237" s="3" t="s">
        <v>57</v>
      </c>
    </row>
    <row r="3238" spans="1:11" ht="42" customHeight="1">
      <c r="A3238" s="2" t="s">
        <v>8323</v>
      </c>
      <c r="B3238" s="2" t="s">
        <v>8323</v>
      </c>
      <c r="C3238" s="2" t="s">
        <v>25</v>
      </c>
      <c r="D3238" s="2" t="s">
        <v>26</v>
      </c>
      <c r="E3238" s="3" t="s">
        <v>223</v>
      </c>
      <c r="F3238" s="3" t="s">
        <v>224</v>
      </c>
      <c r="G3238" s="3" t="s">
        <v>225</v>
      </c>
      <c r="H3238" s="2" t="s">
        <v>55</v>
      </c>
      <c r="I3238" s="2" t="s">
        <v>8338</v>
      </c>
      <c r="J3238" s="3" t="str">
        <f>HYPERLINK("https://www.boe.es/gazeta/dias/1809/12/17/pdfs/GMD-1809-352.pdf#page=4","Abrir facsímil")</f>
        <v>Abrir facsímil</v>
      </c>
      <c r="K3238" s="3" t="s">
        <v>57</v>
      </c>
    </row>
    <row r="3239" spans="1:11" ht="42" customHeight="1">
      <c r="A3239" s="2" t="s">
        <v>8339</v>
      </c>
      <c r="B3239" s="2" t="s">
        <v>8339</v>
      </c>
      <c r="C3239" s="2" t="s">
        <v>17</v>
      </c>
      <c r="D3239" s="2" t="s">
        <v>40</v>
      </c>
      <c r="E3239" s="3" t="s">
        <v>327</v>
      </c>
      <c r="F3239" s="3" t="s">
        <v>2138</v>
      </c>
      <c r="G3239" s="3" t="s">
        <v>260</v>
      </c>
      <c r="H3239" s="2" t="s">
        <v>55</v>
      </c>
      <c r="I3239" s="2" t="s">
        <v>8340</v>
      </c>
      <c r="J3239" s="3" t="str">
        <f>HYPERLINK("https://www.boe.es/gazeta/dias/1809/09/14/pdfs/GMD-1809-258.pdf#page=3","Abrir facsímil")</f>
        <v>Abrir facsímil</v>
      </c>
      <c r="K3239" s="3" t="s">
        <v>57</v>
      </c>
    </row>
    <row r="3240" spans="1:11" ht="42" customHeight="1">
      <c r="A3240" s="2" t="s">
        <v>8341</v>
      </c>
      <c r="B3240" s="2" t="s">
        <v>8342</v>
      </c>
      <c r="C3240" s="2" t="s">
        <v>25</v>
      </c>
      <c r="D3240" s="2" t="s">
        <v>18</v>
      </c>
      <c r="E3240" s="3" t="s">
        <v>3397</v>
      </c>
      <c r="F3240" s="3" t="s">
        <v>3398</v>
      </c>
      <c r="G3240" s="3" t="s">
        <v>4342</v>
      </c>
      <c r="H3240" s="2" t="s">
        <v>55</v>
      </c>
      <c r="I3240" s="2" t="s">
        <v>8343</v>
      </c>
      <c r="J3240" s="3" t="str">
        <f>HYPERLINK("https://www.boe.es/gazeta/dias/1809/02/08/pdfs/GMD-1809-39.pdf#page=3","Abrir facsímil")</f>
        <v>Abrir facsímil</v>
      </c>
      <c r="K3240" s="3" t="s">
        <v>57</v>
      </c>
    </row>
    <row r="3241" spans="1:11" ht="42" customHeight="1">
      <c r="A3241" s="2" t="s">
        <v>8344</v>
      </c>
      <c r="B3241" s="2" t="s">
        <v>8344</v>
      </c>
      <c r="C3241" s="2" t="s">
        <v>25</v>
      </c>
      <c r="D3241" s="2" t="s">
        <v>26</v>
      </c>
      <c r="E3241" s="3" t="s">
        <v>776</v>
      </c>
      <c r="F3241" s="3" t="s">
        <v>6138</v>
      </c>
      <c r="G3241" s="3" t="s">
        <v>6049</v>
      </c>
      <c r="H3241" s="2" t="s">
        <v>55</v>
      </c>
      <c r="I3241" s="2" t="s">
        <v>8345</v>
      </c>
      <c r="J3241" s="3" t="str">
        <f>HYPERLINK("https://www.boe.es/gazeta/dias/1809/05/28/pdfs/GMD-1809-148.pdf#page=1","Abrir facsímil")</f>
        <v>Abrir facsímil</v>
      </c>
      <c r="K3241" s="3" t="s">
        <v>57</v>
      </c>
    </row>
    <row r="3242" spans="1:11" ht="42" customHeight="1">
      <c r="A3242" s="2" t="s">
        <v>8346</v>
      </c>
      <c r="B3242" s="2" t="s">
        <v>8346</v>
      </c>
      <c r="C3242" s="2" t="s">
        <v>25</v>
      </c>
      <c r="D3242" s="2" t="s">
        <v>107</v>
      </c>
      <c r="E3242" s="3" t="s">
        <v>2111</v>
      </c>
      <c r="F3242" s="3" t="s">
        <v>2112</v>
      </c>
      <c r="G3242" s="3" t="s">
        <v>29</v>
      </c>
      <c r="H3242" s="2" t="s">
        <v>55</v>
      </c>
      <c r="I3242" s="2" t="s">
        <v>8347</v>
      </c>
      <c r="J3242" s="3" t="str">
        <f>HYPERLINK("https://www.boe.es/gazeta/dias/1809/03/05/pdfs/GMD-1809-64.pdf#page=3","Abrir facsímil")</f>
        <v>Abrir facsímil</v>
      </c>
      <c r="K3242" s="3" t="s">
        <v>57</v>
      </c>
    </row>
    <row r="3243" spans="1:11" ht="42" customHeight="1">
      <c r="A3243" s="2" t="s">
        <v>8348</v>
      </c>
      <c r="B3243" s="2" t="s">
        <v>8349</v>
      </c>
      <c r="C3243" s="2" t="s">
        <v>17</v>
      </c>
      <c r="D3243" s="2" t="s">
        <v>18</v>
      </c>
      <c r="E3243" s="3" t="s">
        <v>196</v>
      </c>
      <c r="F3243" s="3" t="s">
        <v>197</v>
      </c>
      <c r="G3243" s="3" t="s">
        <v>198</v>
      </c>
      <c r="H3243" s="2" t="s">
        <v>55</v>
      </c>
      <c r="I3243" s="2" t="s">
        <v>8350</v>
      </c>
      <c r="J3243" s="3" t="str">
        <f>HYPERLINK("https://www.boe.es/gazeta/dias/1809/09/04/pdfs/GMD-1809-248.pdf#page=3","Abrir facsímil")</f>
        <v>Abrir facsímil</v>
      </c>
      <c r="K3243" s="3" t="s">
        <v>57</v>
      </c>
    </row>
    <row r="3244" spans="1:11" ht="42" customHeight="1">
      <c r="A3244" s="2" t="s">
        <v>8351</v>
      </c>
      <c r="B3244" s="2" t="s">
        <v>8352</v>
      </c>
      <c r="C3244" s="2" t="s">
        <v>17</v>
      </c>
      <c r="D3244" s="2" t="s">
        <v>18</v>
      </c>
      <c r="E3244" s="3" t="s">
        <v>1468</v>
      </c>
      <c r="F3244" s="3" t="s">
        <v>1469</v>
      </c>
      <c r="G3244" s="3" t="s">
        <v>595</v>
      </c>
      <c r="H3244" s="2" t="s">
        <v>55</v>
      </c>
      <c r="I3244" s="2" t="s">
        <v>8353</v>
      </c>
      <c r="J3244" s="3" t="str">
        <f>HYPERLINK("https://www.boe.es/gazeta/dias/1809/02/12/pdfs/GMD-1809-43.pdf#page=7","Abrir facsímil")</f>
        <v>Abrir facsímil</v>
      </c>
      <c r="K3244" s="3" t="s">
        <v>57</v>
      </c>
    </row>
    <row r="3245" spans="1:11" ht="42" customHeight="1">
      <c r="A3245" s="2" t="s">
        <v>8354</v>
      </c>
      <c r="B3245" s="2" t="s">
        <v>8355</v>
      </c>
      <c r="C3245" s="2" t="s">
        <v>25</v>
      </c>
      <c r="D3245" s="2" t="s">
        <v>18</v>
      </c>
      <c r="E3245" s="3" t="s">
        <v>243</v>
      </c>
      <c r="F3245" s="3" t="s">
        <v>735</v>
      </c>
      <c r="G3245" s="3" t="s">
        <v>3928</v>
      </c>
      <c r="H3245" s="2" t="s">
        <v>22</v>
      </c>
      <c r="I3245" s="2" t="s">
        <v>8356</v>
      </c>
      <c r="J3245" s="3" t="str">
        <f>HYPERLINK("https://www.boe.es/gazeta/dias/1809/02/17/pdfs/GGB-1809-8.pdf#page=6","Abrir facsímil")</f>
        <v>Abrir facsímil</v>
      </c>
      <c r="K3245" s="3" t="s">
        <v>24</v>
      </c>
    </row>
    <row r="3246" spans="1:11" ht="42" customHeight="1">
      <c r="A3246" s="2" t="s">
        <v>8357</v>
      </c>
      <c r="B3246" s="2" t="s">
        <v>8358</v>
      </c>
      <c r="C3246" s="2" t="s">
        <v>17</v>
      </c>
      <c r="D3246" s="2" t="s">
        <v>72</v>
      </c>
      <c r="E3246" s="3" t="s">
        <v>243</v>
      </c>
      <c r="F3246" s="3" t="s">
        <v>244</v>
      </c>
      <c r="G3246" s="3" t="s">
        <v>29</v>
      </c>
      <c r="H3246" s="2" t="s">
        <v>22</v>
      </c>
      <c r="I3246" s="2" t="s">
        <v>8359</v>
      </c>
      <c r="J3246" s="3" t="str">
        <f>HYPERLINK("https://www.boe.es/gazeta/dias/1809/02/17/pdfs/GGB-G-1809-8.pdf#page=3","Abrir facsímil")</f>
        <v>Abrir facsímil</v>
      </c>
      <c r="K3246" s="3" t="s">
        <v>24</v>
      </c>
    </row>
    <row r="3247" spans="1:11" ht="42" customHeight="1">
      <c r="A3247" s="2" t="s">
        <v>8360</v>
      </c>
      <c r="B3247" s="2" t="s">
        <v>8361</v>
      </c>
      <c r="C3247" s="2" t="s">
        <v>17</v>
      </c>
      <c r="D3247" s="2" t="s">
        <v>40</v>
      </c>
      <c r="E3247" s="3" t="s">
        <v>2808</v>
      </c>
      <c r="F3247" s="3" t="s">
        <v>2809</v>
      </c>
      <c r="G3247" s="3" t="s">
        <v>21</v>
      </c>
      <c r="H3247" s="2" t="s">
        <v>22</v>
      </c>
      <c r="I3247" s="2" t="s">
        <v>8362</v>
      </c>
      <c r="J3247" s="3" t="str">
        <f>HYPERLINK("https://www.boe.es/gazeta/dias/1809/10/06/pdfs/GMD-1809-280.pdf#page=2","Abrir facsímil")</f>
        <v>Abrir facsímil</v>
      </c>
      <c r="K3247" s="3" t="s">
        <v>24</v>
      </c>
    </row>
    <row r="3248" spans="1:11" ht="42" customHeight="1">
      <c r="A3248" s="2" t="s">
        <v>8363</v>
      </c>
      <c r="B3248" s="2" t="s">
        <v>8364</v>
      </c>
      <c r="C3248" s="2" t="s">
        <v>131</v>
      </c>
      <c r="D3248" s="2" t="s">
        <v>18</v>
      </c>
      <c r="E3248" s="3" t="s">
        <v>1898</v>
      </c>
      <c r="F3248" s="3" t="s">
        <v>1970</v>
      </c>
      <c r="G3248" s="3" t="s">
        <v>154</v>
      </c>
      <c r="H3248" s="2" t="s">
        <v>55</v>
      </c>
      <c r="I3248" s="2" t="s">
        <v>8365</v>
      </c>
      <c r="J3248" s="3" t="str">
        <f>HYPERLINK("https://www.boe.es/gazeta/dias/1809/12/02/pdfs/GMD-1809-337.pdf#page=4","Abrir facsímil")</f>
        <v>Abrir facsímil</v>
      </c>
      <c r="K3248" s="3" t="s">
        <v>57</v>
      </c>
    </row>
    <row r="3249" spans="1:11" ht="42" customHeight="1">
      <c r="A3249" s="2" t="s">
        <v>8366</v>
      </c>
      <c r="B3249" s="2" t="s">
        <v>8367</v>
      </c>
      <c r="C3249" s="2" t="s">
        <v>25</v>
      </c>
      <c r="D3249" s="2" t="s">
        <v>18</v>
      </c>
      <c r="E3249" s="3" t="s">
        <v>201</v>
      </c>
      <c r="F3249" s="3" t="s">
        <v>202</v>
      </c>
      <c r="G3249" s="3" t="s">
        <v>186</v>
      </c>
      <c r="H3249" s="2" t="s">
        <v>55</v>
      </c>
      <c r="I3249" s="2" t="s">
        <v>8368</v>
      </c>
      <c r="J3249" s="3" t="str">
        <f>HYPERLINK("https://www.boe.es/gazeta/dias/1809/08/15/pdfs/GGB-1809-62.pdf#page=3","Abrir facsímil")</f>
        <v>Abrir facsímil</v>
      </c>
      <c r="K3249" s="3" t="s">
        <v>57</v>
      </c>
    </row>
    <row r="3250" spans="1:11" ht="42" customHeight="1">
      <c r="A3250" s="2" t="s">
        <v>8369</v>
      </c>
      <c r="B3250" s="2" t="s">
        <v>8370</v>
      </c>
      <c r="C3250" s="2" t="s">
        <v>47</v>
      </c>
      <c r="D3250" s="2" t="s">
        <v>18</v>
      </c>
      <c r="E3250" s="3" t="s">
        <v>712</v>
      </c>
      <c r="F3250" s="3" t="s">
        <v>713</v>
      </c>
      <c r="G3250" s="3" t="s">
        <v>120</v>
      </c>
      <c r="H3250" s="2" t="s">
        <v>55</v>
      </c>
      <c r="I3250" s="2" t="s">
        <v>8371</v>
      </c>
      <c r="J3250" s="3" t="str">
        <f>HYPERLINK("https://www.boe.es/gazeta/dias/1809/09/10/pdfs/GMD-1809-254.pdf#page=2","Abrir facsímil")</f>
        <v>Abrir facsímil</v>
      </c>
      <c r="K3250" s="3" t="s">
        <v>57</v>
      </c>
    </row>
    <row r="3251" spans="1:11" ht="42" customHeight="1">
      <c r="A3251" s="2" t="s">
        <v>8372</v>
      </c>
      <c r="B3251" s="2" t="s">
        <v>8373</v>
      </c>
      <c r="C3251" s="2" t="s">
        <v>79</v>
      </c>
      <c r="D3251" s="2" t="s">
        <v>18</v>
      </c>
      <c r="E3251" s="3" t="s">
        <v>327</v>
      </c>
      <c r="F3251" s="3" t="s">
        <v>328</v>
      </c>
      <c r="G3251" s="3" t="s">
        <v>1765</v>
      </c>
      <c r="H3251" s="2" t="s">
        <v>55</v>
      </c>
      <c r="I3251" s="2" t="s">
        <v>8374</v>
      </c>
      <c r="J3251" s="3" t="str">
        <f>HYPERLINK("https://www.boe.es/gazeta/dias/1809/09/14/pdfs/GGB-1809-192.pdf#page=7","Abrir facsímil")</f>
        <v>Abrir facsímil</v>
      </c>
      <c r="K3251" s="3" t="s">
        <v>57</v>
      </c>
    </row>
    <row r="3252" spans="1:11" ht="42" customHeight="1">
      <c r="A3252" s="2" t="s">
        <v>8375</v>
      </c>
      <c r="B3252" s="2" t="s">
        <v>8375</v>
      </c>
      <c r="C3252" s="2" t="s">
        <v>25</v>
      </c>
      <c r="D3252" s="2" t="s">
        <v>18</v>
      </c>
      <c r="E3252" s="3" t="s">
        <v>190</v>
      </c>
      <c r="F3252" s="3" t="s">
        <v>3283</v>
      </c>
      <c r="G3252" s="3" t="s">
        <v>1935</v>
      </c>
      <c r="H3252" s="2" t="s">
        <v>55</v>
      </c>
      <c r="I3252" s="2" t="s">
        <v>8376</v>
      </c>
      <c r="J3252" s="3" t="str">
        <f>HYPERLINK("https://www.boe.es/gazeta/dias/1809/10/14/pdfs/GMD-1809-288.pdf#page=4","Abrir facsímil")</f>
        <v>Abrir facsímil</v>
      </c>
      <c r="K3252" s="3" t="s">
        <v>57</v>
      </c>
    </row>
    <row r="3253" spans="1:11" ht="42" customHeight="1">
      <c r="A3253" s="2" t="s">
        <v>8377</v>
      </c>
      <c r="B3253" s="2" t="s">
        <v>8378</v>
      </c>
      <c r="C3253" s="2" t="s">
        <v>131</v>
      </c>
      <c r="D3253" s="2" t="s">
        <v>18</v>
      </c>
      <c r="E3253" s="3" t="s">
        <v>1954</v>
      </c>
      <c r="F3253" s="3" t="s">
        <v>1955</v>
      </c>
      <c r="G3253" s="3" t="s">
        <v>1956</v>
      </c>
      <c r="H3253" s="2" t="s">
        <v>55</v>
      </c>
      <c r="I3253" s="2" t="s">
        <v>8379</v>
      </c>
      <c r="J3253" s="3" t="str">
        <f>HYPERLINK("https://www.boe.es/gazeta/dias/1809/11/08/pdfs/GMD-1809-313.pdf#page=4","Abrir facsímil")</f>
        <v>Abrir facsímil</v>
      </c>
      <c r="K3253" s="3" t="s">
        <v>57</v>
      </c>
    </row>
    <row r="3254" spans="1:11" ht="42" customHeight="1">
      <c r="A3254" s="2" t="s">
        <v>8380</v>
      </c>
      <c r="B3254" s="2" t="s">
        <v>8381</v>
      </c>
      <c r="C3254" s="2" t="s">
        <v>17</v>
      </c>
      <c r="D3254" s="2" t="s">
        <v>18</v>
      </c>
      <c r="E3254" s="3" t="s">
        <v>196</v>
      </c>
      <c r="F3254" s="3" t="s">
        <v>197</v>
      </c>
      <c r="G3254" s="3" t="s">
        <v>198</v>
      </c>
      <c r="H3254" s="2" t="s">
        <v>55</v>
      </c>
      <c r="I3254" s="2" t="s">
        <v>8382</v>
      </c>
      <c r="J3254" s="3" t="str">
        <f>HYPERLINK("https://www.boe.es/gazeta/dias/1809/09/04/pdfs/GMD-1809-248.pdf#page=3","Abrir facsímil")</f>
        <v>Abrir facsímil</v>
      </c>
      <c r="K3254" s="3" t="s">
        <v>57</v>
      </c>
    </row>
    <row r="3255" spans="1:11" ht="42" customHeight="1">
      <c r="A3255" s="2" t="s">
        <v>8383</v>
      </c>
      <c r="B3255" s="2" t="s">
        <v>8383</v>
      </c>
      <c r="C3255" s="2" t="s">
        <v>17</v>
      </c>
      <c r="D3255" s="2" t="s">
        <v>107</v>
      </c>
      <c r="E3255" s="3" t="s">
        <v>73</v>
      </c>
      <c r="F3255" s="3" t="s">
        <v>1045</v>
      </c>
      <c r="G3255" s="3" t="s">
        <v>3092</v>
      </c>
      <c r="H3255" s="2" t="s">
        <v>55</v>
      </c>
      <c r="I3255" s="2" t="s">
        <v>8384</v>
      </c>
      <c r="J3255" s="3" t="str">
        <f>HYPERLINK("https://www.boe.es/gazeta/dias/1809/09/21/pdfs/GMD-1809-265.pdf#page=2","Abrir facsímil")</f>
        <v>Abrir facsímil</v>
      </c>
      <c r="K3255" s="3" t="s">
        <v>57</v>
      </c>
    </row>
    <row r="3256" spans="1:11" ht="42" customHeight="1">
      <c r="A3256" s="2" t="s">
        <v>8385</v>
      </c>
      <c r="B3256" s="2" t="s">
        <v>8385</v>
      </c>
      <c r="C3256" s="2" t="s">
        <v>25</v>
      </c>
      <c r="D3256" s="2" t="s">
        <v>26</v>
      </c>
      <c r="E3256" s="3" t="s">
        <v>749</v>
      </c>
      <c r="F3256" s="3" t="s">
        <v>750</v>
      </c>
      <c r="G3256" s="3" t="s">
        <v>1056</v>
      </c>
      <c r="H3256" s="2" t="s">
        <v>55</v>
      </c>
      <c r="I3256" s="2" t="s">
        <v>8386</v>
      </c>
      <c r="J3256" s="3" t="str">
        <f>HYPERLINK("https://www.boe.es/gazeta/dias/1809/05/19/pdfs/GGB-1809-29.pdf#page=7","Abrir facsímil")</f>
        <v>Abrir facsímil</v>
      </c>
      <c r="K3256" s="3" t="s">
        <v>57</v>
      </c>
    </row>
    <row r="3257" spans="1:11" ht="42" customHeight="1">
      <c r="A3257" s="2" t="s">
        <v>8387</v>
      </c>
      <c r="B3257" s="2" t="s">
        <v>8387</v>
      </c>
      <c r="C3257" s="2" t="s">
        <v>25</v>
      </c>
      <c r="D3257" s="2" t="s">
        <v>26</v>
      </c>
      <c r="E3257" s="3" t="s">
        <v>1753</v>
      </c>
      <c r="F3257" s="3" t="s">
        <v>1754</v>
      </c>
      <c r="G3257" s="3" t="s">
        <v>154</v>
      </c>
      <c r="H3257" s="2" t="s">
        <v>55</v>
      </c>
      <c r="I3257" s="2" t="s">
        <v>8388</v>
      </c>
      <c r="J3257" s="3" t="str">
        <f>HYPERLINK("https://www.boe.es/gazeta/dias/1809/04/25/pdfs/GMD-1809-115.pdf#page=4","Abrir facsímil")</f>
        <v>Abrir facsímil</v>
      </c>
      <c r="K3257" s="3" t="s">
        <v>57</v>
      </c>
    </row>
    <row r="3258" spans="1:11" ht="42" customHeight="1">
      <c r="A3258" s="2" t="s">
        <v>8387</v>
      </c>
      <c r="B3258" s="2" t="s">
        <v>8387</v>
      </c>
      <c r="C3258" s="2" t="s">
        <v>25</v>
      </c>
      <c r="D3258" s="2" t="s">
        <v>26</v>
      </c>
      <c r="E3258" s="3" t="s">
        <v>1502</v>
      </c>
      <c r="F3258" s="3" t="s">
        <v>1503</v>
      </c>
      <c r="G3258" s="3" t="s">
        <v>1504</v>
      </c>
      <c r="H3258" s="2" t="s">
        <v>55</v>
      </c>
      <c r="I3258" s="2" t="s">
        <v>8389</v>
      </c>
      <c r="J3258" s="3" t="str">
        <f>HYPERLINK("https://www.boe.es/gazeta/dias/1809/06/18/pdfs/GMD-1809-169.pdf#page=3","Abrir facsímil")</f>
        <v>Abrir facsímil</v>
      </c>
      <c r="K3258" s="3" t="s">
        <v>57</v>
      </c>
    </row>
    <row r="3259" spans="1:11" ht="42" customHeight="1">
      <c r="A3259" s="2" t="s">
        <v>8387</v>
      </c>
      <c r="B3259" s="2" t="s">
        <v>8387</v>
      </c>
      <c r="C3259" s="2" t="s">
        <v>25</v>
      </c>
      <c r="D3259" s="2" t="s">
        <v>107</v>
      </c>
      <c r="E3259" s="3" t="s">
        <v>508</v>
      </c>
      <c r="F3259" s="3" t="s">
        <v>509</v>
      </c>
      <c r="G3259" s="3" t="s">
        <v>120</v>
      </c>
      <c r="H3259" s="2" t="s">
        <v>55</v>
      </c>
      <c r="I3259" s="2" t="s">
        <v>8390</v>
      </c>
      <c r="J3259" s="3" t="str">
        <f>HYPERLINK("https://www.boe.es/gazeta/dias/1809/06/21/pdfs/GMD-1809-172.pdf#page=3","Abrir facsímil")</f>
        <v>Abrir facsímil</v>
      </c>
      <c r="K3259" s="3" t="s">
        <v>57</v>
      </c>
    </row>
    <row r="3260" spans="1:11" ht="42" customHeight="1">
      <c r="A3260" s="2" t="s">
        <v>8387</v>
      </c>
      <c r="B3260" s="2" t="s">
        <v>8387</v>
      </c>
      <c r="C3260" s="2" t="s">
        <v>25</v>
      </c>
      <c r="D3260" s="2" t="s">
        <v>18</v>
      </c>
      <c r="E3260" s="3" t="s">
        <v>1126</v>
      </c>
      <c r="F3260" s="3" t="s">
        <v>1127</v>
      </c>
      <c r="G3260" s="3" t="s">
        <v>62</v>
      </c>
      <c r="H3260" s="2" t="s">
        <v>55</v>
      </c>
      <c r="I3260" s="2" t="s">
        <v>8391</v>
      </c>
      <c r="J3260" s="3" t="str">
        <f>HYPERLINK("https://www.boe.es/gazeta/dias/1809/06/30/pdfs/GMD-1809-181.pdf#page=2","Abrir facsímil")</f>
        <v>Abrir facsímil</v>
      </c>
      <c r="K3260" s="3" t="s">
        <v>57</v>
      </c>
    </row>
    <row r="3261" spans="1:11" ht="42" customHeight="1">
      <c r="A3261" s="2" t="s">
        <v>8387</v>
      </c>
      <c r="B3261" s="2" t="s">
        <v>8387</v>
      </c>
      <c r="C3261" s="2" t="s">
        <v>25</v>
      </c>
      <c r="D3261" s="2" t="s">
        <v>18</v>
      </c>
      <c r="E3261" s="3" t="s">
        <v>1343</v>
      </c>
      <c r="F3261" s="3" t="s">
        <v>1344</v>
      </c>
      <c r="G3261" s="3" t="s">
        <v>270</v>
      </c>
      <c r="H3261" s="2" t="s">
        <v>55</v>
      </c>
      <c r="I3261" s="2" t="s">
        <v>8392</v>
      </c>
      <c r="J3261" s="3" t="str">
        <f>HYPERLINK("https://www.boe.es/gazeta/dias/1809/07/24/pdfs/GMD-1809-205.pdf#page=5","Abrir facsímil")</f>
        <v>Abrir facsímil</v>
      </c>
      <c r="K3261" s="3" t="s">
        <v>57</v>
      </c>
    </row>
    <row r="3262" spans="1:11" ht="42" customHeight="1">
      <c r="A3262" s="2" t="s">
        <v>8387</v>
      </c>
      <c r="B3262" s="2" t="s">
        <v>8387</v>
      </c>
      <c r="C3262" s="2" t="s">
        <v>25</v>
      </c>
      <c r="D3262" s="2" t="s">
        <v>26</v>
      </c>
      <c r="E3262" s="3" t="s">
        <v>1343</v>
      </c>
      <c r="F3262" s="3" t="s">
        <v>1344</v>
      </c>
      <c r="G3262" s="3" t="s">
        <v>340</v>
      </c>
      <c r="H3262" s="2" t="s">
        <v>55</v>
      </c>
      <c r="I3262" s="2" t="s">
        <v>8393</v>
      </c>
      <c r="J3262" s="3" t="str">
        <f>HYPERLINK("https://www.boe.es/gazeta/dias/1809/07/24/pdfs/GMD-1809-205.pdf#page=6","Abrir facsímil")</f>
        <v>Abrir facsímil</v>
      </c>
      <c r="K3262" s="3" t="s">
        <v>57</v>
      </c>
    </row>
    <row r="3263" spans="1:11" ht="42" customHeight="1">
      <c r="A3263" s="2" t="s">
        <v>8387</v>
      </c>
      <c r="B3263" s="2" t="s">
        <v>8387</v>
      </c>
      <c r="C3263" s="2" t="s">
        <v>131</v>
      </c>
      <c r="D3263" s="2" t="s">
        <v>40</v>
      </c>
      <c r="E3263" s="3" t="s">
        <v>237</v>
      </c>
      <c r="F3263" s="3" t="s">
        <v>238</v>
      </c>
      <c r="G3263" s="3" t="s">
        <v>29</v>
      </c>
      <c r="H3263" s="2" t="s">
        <v>55</v>
      </c>
      <c r="I3263" s="2" t="s">
        <v>8394</v>
      </c>
      <c r="J3263" s="3" t="str">
        <f>HYPERLINK("https://www.boe.es/gazeta/dias/1809/07/30/pdfs/GMD-1809-212.pdf#page=3","Abrir facsímil")</f>
        <v>Abrir facsímil</v>
      </c>
      <c r="K3263" s="3" t="s">
        <v>57</v>
      </c>
    </row>
    <row r="3264" spans="1:11" ht="42" customHeight="1">
      <c r="A3264" s="2" t="s">
        <v>8387</v>
      </c>
      <c r="B3264" s="2" t="s">
        <v>8387</v>
      </c>
      <c r="C3264" s="2" t="s">
        <v>25</v>
      </c>
      <c r="D3264" s="2" t="s">
        <v>26</v>
      </c>
      <c r="E3264" s="3" t="s">
        <v>1129</v>
      </c>
      <c r="F3264" s="3" t="s">
        <v>1507</v>
      </c>
      <c r="G3264" s="3" t="s">
        <v>1508</v>
      </c>
      <c r="H3264" s="2" t="s">
        <v>55</v>
      </c>
      <c r="I3264" s="2" t="s">
        <v>8395</v>
      </c>
      <c r="J3264" s="3" t="str">
        <f>HYPERLINK("https://www.boe.es/gazeta/dias/1809/08/17/pdfs/GMD-1809-230.pdf#page=3","Abrir facsímil")</f>
        <v>Abrir facsímil</v>
      </c>
      <c r="K3264" s="3" t="s">
        <v>57</v>
      </c>
    </row>
    <row r="3265" spans="1:11" ht="42" customHeight="1">
      <c r="A3265" s="2" t="s">
        <v>8387</v>
      </c>
      <c r="B3265" s="2" t="s">
        <v>8387</v>
      </c>
      <c r="C3265" s="2" t="s">
        <v>25</v>
      </c>
      <c r="D3265" s="2" t="s">
        <v>26</v>
      </c>
      <c r="E3265" s="3" t="s">
        <v>442</v>
      </c>
      <c r="F3265" s="3" t="s">
        <v>2171</v>
      </c>
      <c r="G3265" s="3" t="s">
        <v>3710</v>
      </c>
      <c r="H3265" s="2" t="s">
        <v>55</v>
      </c>
      <c r="I3265" s="2" t="s">
        <v>8396</v>
      </c>
      <c r="J3265" s="3" t="str">
        <f>HYPERLINK("https://www.boe.es/gazeta/dias/1809/09/05/pdfs/GMD-1809-249.pdf#page=1","Abrir facsímil")</f>
        <v>Abrir facsímil</v>
      </c>
      <c r="K3265" s="3" t="s">
        <v>57</v>
      </c>
    </row>
    <row r="3266" spans="1:11" ht="42" customHeight="1">
      <c r="A3266" s="2" t="s">
        <v>8387</v>
      </c>
      <c r="B3266" s="2" t="s">
        <v>8387</v>
      </c>
      <c r="C3266" s="2" t="s">
        <v>17</v>
      </c>
      <c r="D3266" s="2" t="s">
        <v>107</v>
      </c>
      <c r="E3266" s="3" t="s">
        <v>1829</v>
      </c>
      <c r="F3266" s="3" t="s">
        <v>1830</v>
      </c>
      <c r="G3266" s="3" t="s">
        <v>129</v>
      </c>
      <c r="H3266" s="2" t="s">
        <v>55</v>
      </c>
      <c r="I3266" s="2" t="s">
        <v>8397</v>
      </c>
      <c r="J3266" s="3" t="str">
        <f>HYPERLINK("https://www.boe.es/gazeta/dias/1809/09/17/pdfs/GMD-1809-261.pdf#page=2","Abrir facsímil")</f>
        <v>Abrir facsímil</v>
      </c>
      <c r="K3266" s="3" t="s">
        <v>57</v>
      </c>
    </row>
    <row r="3267" spans="1:11" ht="42" customHeight="1">
      <c r="A3267" s="2" t="s">
        <v>8387</v>
      </c>
      <c r="B3267" s="2" t="s">
        <v>8387</v>
      </c>
      <c r="C3267" s="2" t="s">
        <v>25</v>
      </c>
      <c r="D3267" s="2" t="s">
        <v>107</v>
      </c>
      <c r="E3267" s="3" t="s">
        <v>1132</v>
      </c>
      <c r="F3267" s="3" t="s">
        <v>1133</v>
      </c>
      <c r="G3267" s="3" t="s">
        <v>8398</v>
      </c>
      <c r="H3267" s="2" t="s">
        <v>55</v>
      </c>
      <c r="I3267" s="2" t="s">
        <v>8399</v>
      </c>
      <c r="J3267" s="3" t="str">
        <f>HYPERLINK("https://www.boe.es/gazeta/dias/1809/11/11/pdfs/GGB-1809-442.pdf#page=4","Abrir facsímil")</f>
        <v>Abrir facsímil</v>
      </c>
      <c r="K3267" s="3" t="s">
        <v>57</v>
      </c>
    </row>
    <row r="3268" spans="1:11" ht="42" customHeight="1">
      <c r="A3268" s="2" t="s">
        <v>8387</v>
      </c>
      <c r="B3268" s="2" t="s">
        <v>8387</v>
      </c>
      <c r="C3268" s="2" t="s">
        <v>25</v>
      </c>
      <c r="D3268" s="2" t="s">
        <v>107</v>
      </c>
      <c r="E3268" s="3" t="s">
        <v>6066</v>
      </c>
      <c r="F3268" s="3" t="s">
        <v>6067</v>
      </c>
      <c r="G3268" s="3" t="s">
        <v>260</v>
      </c>
      <c r="H3268" s="2" t="s">
        <v>55</v>
      </c>
      <c r="I3268" s="2" t="s">
        <v>8400</v>
      </c>
      <c r="J3268" s="3" t="str">
        <f>HYPERLINK("https://www.boe.es/gazeta/dias/1809/11/13/pdfs/GMD-1809-318.pdf#page=1","Abrir facsímil")</f>
        <v>Abrir facsímil</v>
      </c>
      <c r="K3268" s="3" t="s">
        <v>57</v>
      </c>
    </row>
    <row r="3269" spans="1:11" ht="42" customHeight="1">
      <c r="A3269" s="2" t="s">
        <v>8401</v>
      </c>
      <c r="B3269" s="2" t="s">
        <v>8401</v>
      </c>
      <c r="C3269" s="2" t="s">
        <v>25</v>
      </c>
      <c r="D3269" s="2" t="s">
        <v>26</v>
      </c>
      <c r="E3269" s="3" t="s">
        <v>2346</v>
      </c>
      <c r="F3269" s="3" t="s">
        <v>2347</v>
      </c>
      <c r="G3269" s="3" t="s">
        <v>6661</v>
      </c>
      <c r="H3269" s="2" t="s">
        <v>55</v>
      </c>
      <c r="I3269" s="2" t="s">
        <v>8402</v>
      </c>
      <c r="J3269" s="3" t="str">
        <f>HYPERLINK("https://www.boe.es/gazeta/dias/1809/05/02/pdfs/GMD-1809-122.pdf#page=1","Abrir facsímil")</f>
        <v>Abrir facsímil</v>
      </c>
      <c r="K3269" s="3" t="s">
        <v>57</v>
      </c>
    </row>
    <row r="3270" spans="1:11" ht="42" customHeight="1">
      <c r="A3270" s="2" t="s">
        <v>8403</v>
      </c>
      <c r="B3270" s="2" t="s">
        <v>8403</v>
      </c>
      <c r="C3270" s="2" t="s">
        <v>25</v>
      </c>
      <c r="D3270" s="2" t="s">
        <v>26</v>
      </c>
      <c r="E3270" s="3" t="s">
        <v>4598</v>
      </c>
      <c r="F3270" s="3" t="s">
        <v>4599</v>
      </c>
      <c r="G3270" s="3" t="s">
        <v>408</v>
      </c>
      <c r="H3270" s="2" t="s">
        <v>55</v>
      </c>
      <c r="I3270" s="2" t="s">
        <v>8404</v>
      </c>
      <c r="J3270" s="3" t="str">
        <f>HYPERLINK("https://www.boe.es/gazeta/dias/1809/12/29/pdfs/GMD-1809-364.pdf#page=2","Abrir facsímil")</f>
        <v>Abrir facsímil</v>
      </c>
      <c r="K3270" s="3" t="s">
        <v>57</v>
      </c>
    </row>
    <row r="3271" spans="1:11" ht="42" customHeight="1">
      <c r="A3271" s="2" t="s">
        <v>8405</v>
      </c>
      <c r="B3271" s="2" t="s">
        <v>8405</v>
      </c>
      <c r="C3271" s="2" t="s">
        <v>25</v>
      </c>
      <c r="D3271" s="2" t="s">
        <v>26</v>
      </c>
      <c r="E3271" s="3" t="s">
        <v>1678</v>
      </c>
      <c r="F3271" s="3" t="s">
        <v>1679</v>
      </c>
      <c r="G3271" s="3" t="s">
        <v>62</v>
      </c>
      <c r="H3271" s="2" t="s">
        <v>55</v>
      </c>
      <c r="I3271" s="2" t="s">
        <v>8406</v>
      </c>
      <c r="J3271" s="3" t="str">
        <f>HYPERLINK("https://www.boe.es/gazeta/dias/1809/05/29/pdfs/GGB-1809-32.pdf#page=5","Abrir facsímil")</f>
        <v>Abrir facsímil</v>
      </c>
      <c r="K3271" s="3" t="s">
        <v>57</v>
      </c>
    </row>
    <row r="3272" spans="1:11" ht="42" customHeight="1">
      <c r="A3272" s="2" t="s">
        <v>8407</v>
      </c>
      <c r="B3272" s="2" t="s">
        <v>8407</v>
      </c>
      <c r="C3272" s="2" t="s">
        <v>25</v>
      </c>
      <c r="D3272" s="2" t="s">
        <v>107</v>
      </c>
      <c r="E3272" s="3" t="s">
        <v>4389</v>
      </c>
      <c r="F3272" s="3" t="s">
        <v>4390</v>
      </c>
      <c r="G3272" s="3" t="s">
        <v>2147</v>
      </c>
      <c r="H3272" s="2" t="s">
        <v>55</v>
      </c>
      <c r="I3272" s="2" t="s">
        <v>8408</v>
      </c>
      <c r="J3272" s="3" t="str">
        <f>HYPERLINK("https://www.boe.es/gazeta/dias/1809/02/06/pdfs/GMD-1809-37.pdf#page=1","Abrir facsímil")</f>
        <v>Abrir facsímil</v>
      </c>
      <c r="K3272" s="3" t="s">
        <v>57</v>
      </c>
    </row>
    <row r="3273" spans="1:11" ht="42" customHeight="1">
      <c r="A3273" s="2" t="s">
        <v>8409</v>
      </c>
      <c r="B3273" s="2" t="s">
        <v>8410</v>
      </c>
      <c r="C3273" s="2" t="s">
        <v>25</v>
      </c>
      <c r="D3273" s="2" t="s">
        <v>40</v>
      </c>
      <c r="E3273" s="3" t="s">
        <v>163</v>
      </c>
      <c r="F3273" s="3" t="s">
        <v>478</v>
      </c>
      <c r="G3273" s="3" t="s">
        <v>1729</v>
      </c>
      <c r="H3273" s="2" t="s">
        <v>55</v>
      </c>
      <c r="I3273" s="2" t="s">
        <v>8411</v>
      </c>
      <c r="J3273" s="3" t="str">
        <f>HYPERLINK("https://www.boe.es/gazeta/dias/1809/03/10/pdfs/GGB-1809-11.pdf#page=13","Abrir facsímil")</f>
        <v>Abrir facsímil</v>
      </c>
      <c r="K3273" s="3" t="s">
        <v>57</v>
      </c>
    </row>
    <row r="3274" spans="1:11" ht="42" customHeight="1">
      <c r="A3274" s="2" t="s">
        <v>8412</v>
      </c>
      <c r="B3274" s="2" t="s">
        <v>8412</v>
      </c>
      <c r="C3274" s="2" t="s">
        <v>25</v>
      </c>
      <c r="D3274" s="2" t="s">
        <v>18</v>
      </c>
      <c r="E3274" s="3" t="s">
        <v>2244</v>
      </c>
      <c r="F3274" s="3" t="s">
        <v>7822</v>
      </c>
      <c r="G3274" s="3" t="s">
        <v>129</v>
      </c>
      <c r="H3274" s="2" t="s">
        <v>55</v>
      </c>
      <c r="I3274" s="2" t="s">
        <v>8413</v>
      </c>
      <c r="J3274" s="3" t="str">
        <f>HYPERLINK("https://www.boe.es/gazeta/dias/1809/03/27/pdfs/GMD-1809-86.pdf#page=2","Abrir facsímil")</f>
        <v>Abrir facsímil</v>
      </c>
      <c r="K3274" s="3" t="s">
        <v>57</v>
      </c>
    </row>
    <row r="3275" spans="1:11" ht="42" customHeight="1">
      <c r="A3275" s="2" t="s">
        <v>8414</v>
      </c>
      <c r="B3275" s="2" t="s">
        <v>8414</v>
      </c>
      <c r="C3275" s="2" t="s">
        <v>25</v>
      </c>
      <c r="D3275" s="2" t="s">
        <v>26</v>
      </c>
      <c r="E3275" s="3" t="s">
        <v>418</v>
      </c>
      <c r="F3275" s="3" t="s">
        <v>419</v>
      </c>
      <c r="G3275" s="3" t="s">
        <v>129</v>
      </c>
      <c r="H3275" s="2" t="s">
        <v>55</v>
      </c>
      <c r="I3275" s="2" t="s">
        <v>8415</v>
      </c>
      <c r="J3275" s="3" t="str">
        <f>HYPERLINK("https://www.boe.es/gazeta/dias/1809/03/29/pdfs/GMD-1809-88.pdf#page=2","Abrir facsímil")</f>
        <v>Abrir facsímil</v>
      </c>
      <c r="K3275" s="3" t="s">
        <v>57</v>
      </c>
    </row>
    <row r="3276" spans="1:11" ht="42" customHeight="1">
      <c r="A3276" s="2" t="s">
        <v>8416</v>
      </c>
      <c r="B3276" s="2" t="s">
        <v>8416</v>
      </c>
      <c r="C3276" s="2" t="s">
        <v>25</v>
      </c>
      <c r="D3276" s="2" t="s">
        <v>18</v>
      </c>
      <c r="E3276" s="3" t="s">
        <v>258</v>
      </c>
      <c r="F3276" s="3" t="s">
        <v>910</v>
      </c>
      <c r="G3276" s="3" t="s">
        <v>239</v>
      </c>
      <c r="H3276" s="2" t="s">
        <v>55</v>
      </c>
      <c r="I3276" s="2" t="s">
        <v>8417</v>
      </c>
      <c r="J3276" s="3" t="str">
        <f>HYPERLINK("https://www.boe.es/gazeta/dias/1809/03/17/pdfs/GGB-1809-12.pdf#page=12","Abrir facsímil")</f>
        <v>Abrir facsímil</v>
      </c>
      <c r="K3276" s="3" t="s">
        <v>57</v>
      </c>
    </row>
    <row r="3277" spans="1:11" ht="42" customHeight="1">
      <c r="A3277" s="2" t="s">
        <v>8418</v>
      </c>
      <c r="B3277" s="2" t="s">
        <v>8418</v>
      </c>
      <c r="C3277" s="2" t="s">
        <v>25</v>
      </c>
      <c r="D3277" s="2" t="s">
        <v>26</v>
      </c>
      <c r="E3277" s="3" t="s">
        <v>118</v>
      </c>
      <c r="F3277" s="3" t="s">
        <v>819</v>
      </c>
      <c r="G3277" s="3" t="s">
        <v>826</v>
      </c>
      <c r="H3277" s="2" t="s">
        <v>55</v>
      </c>
      <c r="I3277" s="2" t="s">
        <v>8419</v>
      </c>
      <c r="J3277" s="3" t="str">
        <f>HYPERLINK("https://www.boe.es/gazeta/dias/1809/09/07/pdfs/GGB-H-1809-162.pdf#page=4","Abrir facsímil")</f>
        <v>Abrir facsímil</v>
      </c>
      <c r="K3277" s="3" t="s">
        <v>57</v>
      </c>
    </row>
    <row r="3278" spans="1:11" ht="42" customHeight="1">
      <c r="A3278" s="2" t="s">
        <v>8418</v>
      </c>
      <c r="B3278" s="2" t="s">
        <v>8418</v>
      </c>
      <c r="C3278" s="2" t="s">
        <v>25</v>
      </c>
      <c r="D3278" s="2" t="s">
        <v>26</v>
      </c>
      <c r="E3278" s="3" t="s">
        <v>118</v>
      </c>
      <c r="F3278" s="3" t="s">
        <v>819</v>
      </c>
      <c r="G3278" s="3" t="s">
        <v>541</v>
      </c>
      <c r="H3278" s="2" t="s">
        <v>55</v>
      </c>
      <c r="I3278" s="2" t="s">
        <v>8420</v>
      </c>
      <c r="J3278" s="3" t="str">
        <f>HYPERLINK("https://www.boe.es/gazeta/dias/1809/09/07/pdfs/GGB-H-1809-162.pdf#page=6","Abrir facsímil")</f>
        <v>Abrir facsímil</v>
      </c>
      <c r="K3278" s="3" t="s">
        <v>57</v>
      </c>
    </row>
    <row r="3279" spans="1:11" ht="42" customHeight="1">
      <c r="A3279" s="2" t="s">
        <v>8418</v>
      </c>
      <c r="B3279" s="2" t="s">
        <v>8418</v>
      </c>
      <c r="C3279" s="2" t="s">
        <v>25</v>
      </c>
      <c r="D3279" s="2" t="s">
        <v>18</v>
      </c>
      <c r="E3279" s="3" t="s">
        <v>73</v>
      </c>
      <c r="F3279" s="3" t="s">
        <v>822</v>
      </c>
      <c r="G3279" s="3" t="s">
        <v>234</v>
      </c>
      <c r="H3279" s="2" t="s">
        <v>55</v>
      </c>
      <c r="I3279" s="2" t="s">
        <v>8421</v>
      </c>
      <c r="J3279" s="3" t="str">
        <f>HYPERLINK("https://www.boe.es/gazeta/dias/1809/09/21/pdfs/GGB-1809-222.pdf#page=5","Abrir facsímil")</f>
        <v>Abrir facsímil</v>
      </c>
      <c r="K3279" s="3" t="s">
        <v>57</v>
      </c>
    </row>
    <row r="3280" spans="1:11" ht="42" customHeight="1">
      <c r="A3280" s="2" t="s">
        <v>8418</v>
      </c>
      <c r="B3280" s="2" t="s">
        <v>8418</v>
      </c>
      <c r="C3280" s="2" t="s">
        <v>25</v>
      </c>
      <c r="D3280" s="2" t="s">
        <v>18</v>
      </c>
      <c r="E3280" s="3" t="s">
        <v>73</v>
      </c>
      <c r="F3280" s="3" t="s">
        <v>822</v>
      </c>
      <c r="G3280" s="3" t="s">
        <v>2232</v>
      </c>
      <c r="H3280" s="2" t="s">
        <v>55</v>
      </c>
      <c r="I3280" s="2" t="s">
        <v>8422</v>
      </c>
      <c r="J3280" s="3" t="str">
        <f>HYPERLINK("https://www.boe.es/gazeta/dias/1809/09/21/pdfs/GGB-1809-222.pdf#page=6","Abrir facsímil")</f>
        <v>Abrir facsímil</v>
      </c>
      <c r="K3280" s="3" t="s">
        <v>57</v>
      </c>
    </row>
    <row r="3281" spans="1:11" ht="42" customHeight="1">
      <c r="A3281" s="2" t="s">
        <v>8423</v>
      </c>
      <c r="B3281" s="2" t="s">
        <v>8423</v>
      </c>
      <c r="C3281" s="2" t="s">
        <v>25</v>
      </c>
      <c r="D3281" s="2" t="s">
        <v>18</v>
      </c>
      <c r="E3281" s="3" t="s">
        <v>73</v>
      </c>
      <c r="F3281" s="3" t="s">
        <v>822</v>
      </c>
      <c r="G3281" s="3" t="s">
        <v>823</v>
      </c>
      <c r="H3281" s="2" t="s">
        <v>55</v>
      </c>
      <c r="I3281" s="2" t="s">
        <v>8424</v>
      </c>
      <c r="J3281" s="3" t="str">
        <f>HYPERLINK("https://www.boe.es/gazeta/dias/1809/09/21/pdfs/GGB-1809-222.pdf#page=4","Abrir facsímil")</f>
        <v>Abrir facsímil</v>
      </c>
      <c r="K3281" s="3" t="s">
        <v>57</v>
      </c>
    </row>
    <row r="3282" spans="1:11" ht="42" customHeight="1">
      <c r="A3282" s="2" t="s">
        <v>8425</v>
      </c>
      <c r="B3282" s="2" t="s">
        <v>8426</v>
      </c>
      <c r="C3282" s="2" t="s">
        <v>25</v>
      </c>
      <c r="D3282" s="2" t="s">
        <v>26</v>
      </c>
      <c r="E3282" s="3" t="s">
        <v>167</v>
      </c>
      <c r="F3282" s="3" t="s">
        <v>168</v>
      </c>
      <c r="G3282" s="3" t="s">
        <v>169</v>
      </c>
      <c r="H3282" s="2" t="s">
        <v>55</v>
      </c>
      <c r="I3282" s="2" t="s">
        <v>8427</v>
      </c>
      <c r="J3282" s="3" t="str">
        <f>HYPERLINK("https://www.boe.es/gazeta/dias/1809/06/19/pdfs/GGB-1809-38.pdf#page=11","Abrir facsímil")</f>
        <v>Abrir facsímil</v>
      </c>
      <c r="K3282" s="3" t="s">
        <v>57</v>
      </c>
    </row>
    <row r="3283" spans="1:11" ht="42" customHeight="1">
      <c r="A3283" s="2" t="s">
        <v>8428</v>
      </c>
      <c r="B3283" s="2" t="s">
        <v>8429</v>
      </c>
      <c r="C3283" s="2" t="s">
        <v>25</v>
      </c>
      <c r="D3283" s="2" t="s">
        <v>18</v>
      </c>
      <c r="E3283" s="3" t="s">
        <v>258</v>
      </c>
      <c r="F3283" s="3" t="s">
        <v>910</v>
      </c>
      <c r="G3283" s="3" t="s">
        <v>301</v>
      </c>
      <c r="H3283" s="2" t="s">
        <v>55</v>
      </c>
      <c r="I3283" s="2" t="s">
        <v>8430</v>
      </c>
      <c r="J3283" s="3" t="str">
        <f>HYPERLINK("https://www.boe.es/gazeta/dias/1809/03/17/pdfs/GGB-1809-12.pdf#page=10","Abrir facsímil")</f>
        <v>Abrir facsímil</v>
      </c>
      <c r="K3283" s="3" t="s">
        <v>57</v>
      </c>
    </row>
    <row r="3284" spans="1:11" ht="42" customHeight="1">
      <c r="A3284" s="2" t="s">
        <v>8431</v>
      </c>
      <c r="B3284" s="2" t="s">
        <v>8431</v>
      </c>
      <c r="C3284" s="2" t="s">
        <v>25</v>
      </c>
      <c r="D3284" s="2" t="s">
        <v>26</v>
      </c>
      <c r="E3284" s="3" t="s">
        <v>883</v>
      </c>
      <c r="F3284" s="3" t="s">
        <v>5874</v>
      </c>
      <c r="G3284" s="3" t="s">
        <v>8432</v>
      </c>
      <c r="H3284" s="2" t="s">
        <v>55</v>
      </c>
      <c r="I3284" s="2" t="s">
        <v>8433</v>
      </c>
      <c r="J3284" s="3" t="str">
        <f>HYPERLINK("https://www.boe.es/gazeta/dias/1809/12/21/pdfs/GGB-1809-612.pdf#page=2","Abrir facsímil")</f>
        <v>Abrir facsímil</v>
      </c>
      <c r="K3284" s="3" t="s">
        <v>57</v>
      </c>
    </row>
    <row r="3285" spans="1:11" ht="42" customHeight="1">
      <c r="A3285" s="2" t="s">
        <v>8434</v>
      </c>
      <c r="B3285" s="2" t="s">
        <v>8435</v>
      </c>
      <c r="C3285" s="2" t="s">
        <v>25</v>
      </c>
      <c r="D3285" s="2" t="s">
        <v>18</v>
      </c>
      <c r="E3285" s="3" t="s">
        <v>258</v>
      </c>
      <c r="F3285" s="3" t="s">
        <v>910</v>
      </c>
      <c r="G3285" s="3" t="s">
        <v>4236</v>
      </c>
      <c r="H3285" s="2" t="s">
        <v>22</v>
      </c>
      <c r="I3285" s="2" t="s">
        <v>8436</v>
      </c>
      <c r="J3285" s="3" t="str">
        <f>HYPERLINK("https://www.boe.es/gazeta/dias/1809/03/17/pdfs/GGB-1809-12.pdf#page=4","Abrir facsímil")</f>
        <v>Abrir facsímil</v>
      </c>
      <c r="K3285" s="3" t="s">
        <v>24</v>
      </c>
    </row>
    <row r="3286" spans="1:11" ht="42" customHeight="1">
      <c r="A3286" s="2" t="s">
        <v>8437</v>
      </c>
      <c r="B3286" s="2" t="s">
        <v>8438</v>
      </c>
      <c r="C3286" s="2" t="s">
        <v>25</v>
      </c>
      <c r="D3286" s="2" t="s">
        <v>26</v>
      </c>
      <c r="E3286" s="3" t="s">
        <v>167</v>
      </c>
      <c r="F3286" s="3" t="s">
        <v>168</v>
      </c>
      <c r="G3286" s="3" t="s">
        <v>169</v>
      </c>
      <c r="H3286" s="2" t="s">
        <v>55</v>
      </c>
      <c r="I3286" s="2" t="s">
        <v>8439</v>
      </c>
      <c r="J3286" s="3" t="str">
        <f>HYPERLINK("https://www.boe.es/gazeta/dias/1809/06/19/pdfs/GGB-1809-38.pdf#page=11","Abrir facsímil")</f>
        <v>Abrir facsímil</v>
      </c>
      <c r="K3286" s="3" t="s">
        <v>57</v>
      </c>
    </row>
    <row r="3287" spans="1:11" ht="42" customHeight="1">
      <c r="A3287" s="2" t="s">
        <v>8440</v>
      </c>
      <c r="B3287" s="2" t="s">
        <v>8441</v>
      </c>
      <c r="C3287" s="2" t="s">
        <v>17</v>
      </c>
      <c r="D3287" s="2" t="s">
        <v>18</v>
      </c>
      <c r="E3287" s="3" t="s">
        <v>60</v>
      </c>
      <c r="F3287" s="3" t="s">
        <v>61</v>
      </c>
      <c r="G3287" s="3" t="s">
        <v>62</v>
      </c>
      <c r="H3287" s="2" t="s">
        <v>55</v>
      </c>
      <c r="I3287" s="2" t="s">
        <v>8442</v>
      </c>
      <c r="J3287" s="3" t="str">
        <f>HYPERLINK("https://www.boe.es/gazeta/dias/1809/02/07/pdfs/GMD-1809-38.pdf#page=4","Abrir facsímil")</f>
        <v>Abrir facsímil</v>
      </c>
      <c r="K3287" s="3" t="s">
        <v>57</v>
      </c>
    </row>
    <row r="3288" spans="1:11" ht="42" customHeight="1">
      <c r="A3288" s="2" t="s">
        <v>8443</v>
      </c>
      <c r="B3288" s="2" t="s">
        <v>8444</v>
      </c>
      <c r="C3288" s="2" t="s">
        <v>25</v>
      </c>
      <c r="D3288" s="2" t="s">
        <v>40</v>
      </c>
      <c r="E3288" s="3" t="s">
        <v>216</v>
      </c>
      <c r="F3288" s="3" t="s">
        <v>217</v>
      </c>
      <c r="G3288" s="3" t="s">
        <v>439</v>
      </c>
      <c r="H3288" s="2" t="s">
        <v>55</v>
      </c>
      <c r="I3288" s="2" t="s">
        <v>8445</v>
      </c>
      <c r="J3288" s="3" t="str">
        <f>HYPERLINK("https://www.boe.es/gazeta/dias/1809/12/05/pdfs/GGB-H-1809-542.pdf#page=7","Abrir facsímil")</f>
        <v>Abrir facsímil</v>
      </c>
      <c r="K3288" s="3" t="s">
        <v>57</v>
      </c>
    </row>
    <row r="3289" spans="1:11" ht="42" customHeight="1">
      <c r="A3289" s="2" t="s">
        <v>8446</v>
      </c>
      <c r="B3289" s="2" t="s">
        <v>8446</v>
      </c>
      <c r="C3289" s="2" t="s">
        <v>25</v>
      </c>
      <c r="D3289" s="2" t="s">
        <v>18</v>
      </c>
      <c r="E3289" s="3" t="s">
        <v>1551</v>
      </c>
      <c r="F3289" s="3" t="s">
        <v>1552</v>
      </c>
      <c r="G3289" s="3" t="s">
        <v>234</v>
      </c>
      <c r="H3289" s="2" t="s">
        <v>55</v>
      </c>
      <c r="I3289" s="2" t="s">
        <v>8447</v>
      </c>
      <c r="J3289" s="3" t="str">
        <f>HYPERLINK("https://www.boe.es/gazeta/dias/1809/06/12/pdfs/GGB-1809-36.pdf#page=7","Abrir facsímil")</f>
        <v>Abrir facsímil</v>
      </c>
      <c r="K3289" s="3" t="s">
        <v>57</v>
      </c>
    </row>
    <row r="3290" spans="1:11" ht="42" customHeight="1">
      <c r="A3290" s="2" t="s">
        <v>8448</v>
      </c>
      <c r="B3290" s="2" t="s">
        <v>8449</v>
      </c>
      <c r="C3290" s="2" t="s">
        <v>17</v>
      </c>
      <c r="D3290" s="2" t="s">
        <v>72</v>
      </c>
      <c r="E3290" s="3" t="s">
        <v>190</v>
      </c>
      <c r="F3290" s="3" t="s">
        <v>3505</v>
      </c>
      <c r="G3290" s="3" t="s">
        <v>1278</v>
      </c>
      <c r="H3290" s="2" t="s">
        <v>55</v>
      </c>
      <c r="I3290" s="2" t="s">
        <v>8450</v>
      </c>
      <c r="J3290" s="3" t="str">
        <f>HYPERLINK("https://www.boe.es/gazeta/dias/1809/10/14/pdfs/GGB-H-1809-322.pdf#page=6","Abrir facsímil")</f>
        <v>Abrir facsímil</v>
      </c>
      <c r="K3290" s="3" t="s">
        <v>57</v>
      </c>
    </row>
    <row r="3291" spans="1:11" ht="42" customHeight="1">
      <c r="A3291" s="2" t="s">
        <v>8451</v>
      </c>
      <c r="B3291" s="2" t="s">
        <v>8451</v>
      </c>
      <c r="C3291" s="2" t="s">
        <v>25</v>
      </c>
      <c r="D3291" s="2" t="s">
        <v>26</v>
      </c>
      <c r="E3291" s="3" t="s">
        <v>1514</v>
      </c>
      <c r="F3291" s="3" t="s">
        <v>1515</v>
      </c>
      <c r="G3291" s="3" t="s">
        <v>1228</v>
      </c>
      <c r="H3291" s="2" t="s">
        <v>55</v>
      </c>
      <c r="I3291" s="2" t="s">
        <v>8452</v>
      </c>
      <c r="J3291" s="3" t="str">
        <f>HYPERLINK("https://www.boe.es/gazeta/dias/1809/04/17/pdfs/GGB-G-1809-19.pdf#page=3","Abrir facsímil")</f>
        <v>Abrir facsímil</v>
      </c>
      <c r="K3291" s="3" t="s">
        <v>57</v>
      </c>
    </row>
    <row r="3292" spans="1:11" ht="42" customHeight="1">
      <c r="A3292" s="2" t="s">
        <v>8453</v>
      </c>
      <c r="B3292" s="2" t="s">
        <v>8453</v>
      </c>
      <c r="C3292" s="2" t="s">
        <v>25</v>
      </c>
      <c r="D3292" s="2" t="s">
        <v>18</v>
      </c>
      <c r="E3292" s="3" t="s">
        <v>179</v>
      </c>
      <c r="F3292" s="3" t="s">
        <v>2418</v>
      </c>
      <c r="G3292" s="3" t="s">
        <v>1646</v>
      </c>
      <c r="H3292" s="2" t="s">
        <v>55</v>
      </c>
      <c r="I3292" s="2" t="s">
        <v>8454</v>
      </c>
      <c r="J3292" s="3" t="str">
        <f>HYPERLINK("https://www.boe.es/gazeta/dias/1809/12/08/pdfs/GMD-1809-343.pdf#page=1","Abrir facsímil")</f>
        <v>Abrir facsímil</v>
      </c>
      <c r="K3292" s="3" t="s">
        <v>57</v>
      </c>
    </row>
    <row r="3293" spans="1:11" ht="42" customHeight="1">
      <c r="A3293" s="2" t="s">
        <v>8455</v>
      </c>
      <c r="B3293" s="2" t="s">
        <v>8455</v>
      </c>
      <c r="C3293" s="2" t="s">
        <v>25</v>
      </c>
      <c r="D3293" s="2" t="s">
        <v>72</v>
      </c>
      <c r="E3293" s="3" t="s">
        <v>1514</v>
      </c>
      <c r="F3293" s="3" t="s">
        <v>1515</v>
      </c>
      <c r="G3293" s="3" t="s">
        <v>239</v>
      </c>
      <c r="H3293" s="2" t="s">
        <v>55</v>
      </c>
      <c r="I3293" s="2" t="s">
        <v>8456</v>
      </c>
      <c r="J3293" s="3" t="str">
        <f>HYPERLINK("https://www.boe.es/gazeta/dias/1809/04/17/pdfs/GGB-G-1809-19.pdf#page=5","Abrir facsímil")</f>
        <v>Abrir facsímil</v>
      </c>
      <c r="K3293" s="3" t="s">
        <v>57</v>
      </c>
    </row>
    <row r="3294" spans="1:11" ht="42" customHeight="1">
      <c r="A3294" s="2" t="s">
        <v>8457</v>
      </c>
      <c r="B3294" s="2" t="s">
        <v>8457</v>
      </c>
      <c r="C3294" s="2" t="s">
        <v>79</v>
      </c>
      <c r="D3294" s="2" t="s">
        <v>26</v>
      </c>
      <c r="E3294" s="3" t="s">
        <v>387</v>
      </c>
      <c r="F3294" s="3" t="s">
        <v>1847</v>
      </c>
      <c r="G3294" s="3" t="s">
        <v>379</v>
      </c>
      <c r="H3294" s="2" t="s">
        <v>55</v>
      </c>
      <c r="I3294" s="2" t="s">
        <v>8458</v>
      </c>
      <c r="J3294" s="3" t="str">
        <f>HYPERLINK("https://www.boe.es/gazeta/dias/1809/09/26/pdfs/GGB-1809-242.pdf#page=1","Abrir facsímil")</f>
        <v>Abrir facsímil</v>
      </c>
      <c r="K3294" s="3" t="s">
        <v>57</v>
      </c>
    </row>
    <row r="3295" spans="1:11" ht="42" customHeight="1">
      <c r="A3295" s="2" t="s">
        <v>8459</v>
      </c>
      <c r="B3295" s="2" t="s">
        <v>8459</v>
      </c>
      <c r="C3295" s="2" t="s">
        <v>25</v>
      </c>
      <c r="D3295" s="2" t="s">
        <v>18</v>
      </c>
      <c r="E3295" s="3" t="s">
        <v>6618</v>
      </c>
      <c r="F3295" s="3" t="s">
        <v>6619</v>
      </c>
      <c r="G3295" s="3" t="s">
        <v>687</v>
      </c>
      <c r="H3295" s="2" t="s">
        <v>55</v>
      </c>
      <c r="I3295" s="2" t="s">
        <v>8460</v>
      </c>
      <c r="J3295" s="3" t="str">
        <f>HYPERLINK("https://www.boe.es/gazeta/dias/1809/09/18/pdfs/GMD-1809-262.pdf#page=3","Abrir facsímil")</f>
        <v>Abrir facsímil</v>
      </c>
      <c r="K3295" s="3" t="s">
        <v>57</v>
      </c>
    </row>
    <row r="3296" spans="1:11" ht="42" customHeight="1">
      <c r="A3296" s="2" t="s">
        <v>8461</v>
      </c>
      <c r="B3296" s="2" t="s">
        <v>8462</v>
      </c>
      <c r="C3296" s="2" t="s">
        <v>17</v>
      </c>
      <c r="D3296" s="2" t="s">
        <v>18</v>
      </c>
      <c r="E3296" s="3" t="s">
        <v>33</v>
      </c>
      <c r="F3296" s="3" t="s">
        <v>34</v>
      </c>
      <c r="G3296" s="3" t="s">
        <v>595</v>
      </c>
      <c r="H3296" s="2" t="s">
        <v>55</v>
      </c>
      <c r="I3296" s="2" t="s">
        <v>8463</v>
      </c>
      <c r="J3296" s="3" t="str">
        <f>HYPERLINK("https://www.boe.es/gazeta/dias/1809/12/19/pdfs/GGB-1809-602.pdf#page=7","Abrir facsímil")</f>
        <v>Abrir facsímil</v>
      </c>
      <c r="K3296" s="3" t="s">
        <v>57</v>
      </c>
    </row>
    <row r="3297" spans="1:11" ht="42" customHeight="1">
      <c r="A3297" s="2" t="s">
        <v>8464</v>
      </c>
      <c r="B3297" s="2" t="s">
        <v>8465</v>
      </c>
      <c r="C3297" s="2" t="s">
        <v>25</v>
      </c>
      <c r="D3297" s="2" t="s">
        <v>72</v>
      </c>
      <c r="E3297" s="3" t="s">
        <v>143</v>
      </c>
      <c r="F3297" s="3" t="s">
        <v>705</v>
      </c>
      <c r="G3297" s="3" t="s">
        <v>225</v>
      </c>
      <c r="H3297" s="2" t="s">
        <v>55</v>
      </c>
      <c r="I3297" s="2" t="s">
        <v>8466</v>
      </c>
      <c r="J3297" s="3" t="str">
        <f>HYPERLINK("https://www.boe.es/gazeta/dias/1809/11/16/pdfs/GGB-H-1809-462.pdf#page=4","Abrir facsímil")</f>
        <v>Abrir facsímil</v>
      </c>
      <c r="K3297" s="3" t="s">
        <v>57</v>
      </c>
    </row>
    <row r="3298" spans="1:11" ht="42" customHeight="1">
      <c r="A3298" s="2" t="s">
        <v>8467</v>
      </c>
      <c r="B3298" s="2" t="s">
        <v>8468</v>
      </c>
      <c r="C3298" s="2" t="s">
        <v>17</v>
      </c>
      <c r="D3298" s="2" t="s">
        <v>18</v>
      </c>
      <c r="E3298" s="3" t="s">
        <v>294</v>
      </c>
      <c r="F3298" s="3" t="s">
        <v>1360</v>
      </c>
      <c r="G3298" s="3" t="s">
        <v>2517</v>
      </c>
      <c r="H3298" s="2" t="s">
        <v>55</v>
      </c>
      <c r="I3298" s="2" t="s">
        <v>8469</v>
      </c>
      <c r="J3298" s="3" t="str">
        <f>HYPERLINK("https://www.boe.es/gazeta/dias/1809/09/30/pdfs/GGB-1809-262.pdf#page=2","Abrir facsímil")</f>
        <v>Abrir facsímil</v>
      </c>
      <c r="K3298" s="3" t="s">
        <v>57</v>
      </c>
    </row>
    <row r="3299" spans="1:11" ht="42" customHeight="1">
      <c r="A3299" s="2" t="s">
        <v>8470</v>
      </c>
      <c r="B3299" s="2" t="s">
        <v>8471</v>
      </c>
      <c r="C3299" s="2" t="s">
        <v>17</v>
      </c>
      <c r="D3299" s="2" t="s">
        <v>18</v>
      </c>
      <c r="E3299" s="3" t="s">
        <v>33</v>
      </c>
      <c r="F3299" s="3" t="s">
        <v>34</v>
      </c>
      <c r="G3299" s="3" t="s">
        <v>493</v>
      </c>
      <c r="H3299" s="2" t="s">
        <v>55</v>
      </c>
      <c r="I3299" s="2" t="s">
        <v>8472</v>
      </c>
      <c r="J3299" s="3" t="str">
        <f>HYPERLINK("https://www.boe.es/gazeta/dias/1809/12/19/pdfs/GGB-1809-602.pdf#page=6","Abrir facsímil")</f>
        <v>Abrir facsímil</v>
      </c>
      <c r="K3299" s="3" t="s">
        <v>57</v>
      </c>
    </row>
    <row r="3300" spans="1:11" ht="42" customHeight="1">
      <c r="A3300" s="2" t="s">
        <v>8473</v>
      </c>
      <c r="B3300" s="2" t="s">
        <v>8474</v>
      </c>
      <c r="C3300" s="2" t="s">
        <v>17</v>
      </c>
      <c r="D3300" s="2" t="s">
        <v>18</v>
      </c>
      <c r="E3300" s="3" t="s">
        <v>771</v>
      </c>
      <c r="F3300" s="3" t="s">
        <v>772</v>
      </c>
      <c r="G3300" s="3" t="s">
        <v>1541</v>
      </c>
      <c r="H3300" s="2" t="s">
        <v>55</v>
      </c>
      <c r="I3300" s="2" t="s">
        <v>8475</v>
      </c>
      <c r="J3300" s="3" t="str">
        <f>HYPERLINK("https://www.boe.es/gazeta/dias/1809/10/31/pdfs/GGB-1809-392.pdf#page=5","Abrir facsímil")</f>
        <v>Abrir facsímil</v>
      </c>
      <c r="K3300" s="3" t="s">
        <v>57</v>
      </c>
    </row>
    <row r="3301" spans="1:11" ht="42" customHeight="1">
      <c r="A3301" s="2" t="s">
        <v>8476</v>
      </c>
      <c r="B3301" s="2" t="s">
        <v>8477</v>
      </c>
      <c r="C3301" s="2" t="s">
        <v>17</v>
      </c>
      <c r="D3301" s="2" t="s">
        <v>72</v>
      </c>
      <c r="E3301" s="3" t="s">
        <v>163</v>
      </c>
      <c r="F3301" s="3" t="s">
        <v>164</v>
      </c>
      <c r="G3301" s="3" t="s">
        <v>21</v>
      </c>
      <c r="H3301" s="2" t="s">
        <v>55</v>
      </c>
      <c r="I3301" s="2" t="s">
        <v>8478</v>
      </c>
      <c r="J3301" s="3" t="str">
        <f>HYPERLINK("https://www.boe.es/gazeta/dias/1809/03/10/pdfs/GGB-H-1809-11.pdf#page=8","Abrir facsímil")</f>
        <v>Abrir facsímil</v>
      </c>
      <c r="K3301" s="3" t="s">
        <v>57</v>
      </c>
    </row>
    <row r="3302" spans="1:11" ht="42" customHeight="1">
      <c r="A3302" s="2" t="s">
        <v>8479</v>
      </c>
      <c r="B3302" s="2" t="s">
        <v>8480</v>
      </c>
      <c r="C3302" s="2" t="s">
        <v>17</v>
      </c>
      <c r="D3302" s="2" t="s">
        <v>72</v>
      </c>
      <c r="E3302" s="3" t="s">
        <v>864</v>
      </c>
      <c r="F3302" s="3" t="s">
        <v>2291</v>
      </c>
      <c r="G3302" s="3" t="s">
        <v>2292</v>
      </c>
      <c r="H3302" s="2" t="s">
        <v>55</v>
      </c>
      <c r="I3302" s="2" t="s">
        <v>8481</v>
      </c>
      <c r="J3302" s="3" t="str">
        <f>HYPERLINK("https://www.boe.es/gazeta/dias/1809/08/31/pdfs/GGB-H-1809-132.pdf#page=3","Abrir facsímil")</f>
        <v>Abrir facsímil</v>
      </c>
      <c r="K3302" s="3" t="s">
        <v>57</v>
      </c>
    </row>
    <row r="3303" spans="1:11" ht="42" customHeight="1">
      <c r="A3303" s="2" t="s">
        <v>8482</v>
      </c>
      <c r="B3303" s="2" t="s">
        <v>8482</v>
      </c>
      <c r="C3303" s="2" t="s">
        <v>17</v>
      </c>
      <c r="D3303" s="2" t="s">
        <v>107</v>
      </c>
      <c r="E3303" s="3" t="s">
        <v>2595</v>
      </c>
      <c r="F3303" s="3" t="s">
        <v>2596</v>
      </c>
      <c r="G3303" s="3" t="s">
        <v>7301</v>
      </c>
      <c r="H3303" s="2" t="s">
        <v>55</v>
      </c>
      <c r="I3303" s="2" t="s">
        <v>8483</v>
      </c>
      <c r="J3303" s="3" t="str">
        <f>HYPERLINK("https://www.boe.es/gazeta/dias/1809/06/16/pdfs/GMD-1809-167.pdf#page=1","Abrir facsímil")</f>
        <v>Abrir facsímil</v>
      </c>
      <c r="K3303" s="3" t="s">
        <v>57</v>
      </c>
    </row>
    <row r="3304" spans="1:11" ht="42" customHeight="1">
      <c r="A3304" s="2" t="s">
        <v>8484</v>
      </c>
      <c r="B3304" s="2" t="s">
        <v>8484</v>
      </c>
      <c r="C3304" s="2" t="s">
        <v>17</v>
      </c>
      <c r="D3304" s="2" t="s">
        <v>40</v>
      </c>
      <c r="E3304" s="3" t="s">
        <v>211</v>
      </c>
      <c r="F3304" s="3" t="s">
        <v>212</v>
      </c>
      <c r="G3304" s="3" t="s">
        <v>29</v>
      </c>
      <c r="H3304" s="2" t="s">
        <v>55</v>
      </c>
      <c r="I3304" s="2" t="s">
        <v>8485</v>
      </c>
      <c r="J3304" s="3" t="str">
        <f>HYPERLINK("https://www.boe.es/gazeta/dias/1809/10/27/pdfs/GMD-1809-301.pdf#page=3","Abrir facsímil")</f>
        <v>Abrir facsímil</v>
      </c>
      <c r="K3304" s="3" t="s">
        <v>57</v>
      </c>
    </row>
    <row r="3305" spans="1:11" ht="42" customHeight="1">
      <c r="A3305" s="2" t="s">
        <v>8486</v>
      </c>
      <c r="B3305" s="2" t="s">
        <v>8487</v>
      </c>
      <c r="C3305" s="2" t="s">
        <v>39</v>
      </c>
      <c r="D3305" s="2" t="s">
        <v>18</v>
      </c>
      <c r="E3305" s="3" t="s">
        <v>27</v>
      </c>
      <c r="F3305" s="3" t="s">
        <v>254</v>
      </c>
      <c r="G3305" s="3" t="s">
        <v>255</v>
      </c>
      <c r="H3305" s="2" t="s">
        <v>55</v>
      </c>
      <c r="I3305" s="2" t="s">
        <v>8488</v>
      </c>
      <c r="J3305" s="3" t="str">
        <f>HYPERLINK("https://www.boe.es/gazeta/dias/1809/05/12/pdfs/GGB-1809-26.pdf#page=12","Abrir facsímil")</f>
        <v>Abrir facsímil</v>
      </c>
      <c r="K3305" s="3" t="s">
        <v>57</v>
      </c>
    </row>
    <row r="3306" spans="1:11" ht="42" customHeight="1">
      <c r="A3306" s="2" t="s">
        <v>8489</v>
      </c>
      <c r="B3306" s="2" t="s">
        <v>8490</v>
      </c>
      <c r="C3306" s="2" t="s">
        <v>25</v>
      </c>
      <c r="D3306" s="2" t="s">
        <v>26</v>
      </c>
      <c r="E3306" s="3" t="s">
        <v>81</v>
      </c>
      <c r="F3306" s="3" t="s">
        <v>82</v>
      </c>
      <c r="G3306" s="3" t="s">
        <v>595</v>
      </c>
      <c r="H3306" s="2" t="s">
        <v>55</v>
      </c>
      <c r="I3306" s="2" t="s">
        <v>8491</v>
      </c>
      <c r="J3306" s="3" t="str">
        <f>HYPERLINK("https://www.boe.es/gazeta/dias/1809/04/11/pdfs/GGB-1809-16E.pdf#page=7","Abrir facsímil")</f>
        <v>Abrir facsímil</v>
      </c>
      <c r="K3306" s="3" t="s">
        <v>57</v>
      </c>
    </row>
    <row r="3307" spans="1:11" ht="42" customHeight="1">
      <c r="A3307" s="2" t="s">
        <v>8492</v>
      </c>
      <c r="B3307" s="2" t="s">
        <v>8493</v>
      </c>
      <c r="C3307" s="2" t="s">
        <v>25</v>
      </c>
      <c r="D3307" s="2" t="s">
        <v>80</v>
      </c>
      <c r="E3307" s="3" t="s">
        <v>81</v>
      </c>
      <c r="F3307" s="3" t="s">
        <v>82</v>
      </c>
      <c r="G3307" s="3" t="s">
        <v>3332</v>
      </c>
      <c r="H3307" s="2" t="s">
        <v>55</v>
      </c>
      <c r="I3307" s="2" t="s">
        <v>8494</v>
      </c>
      <c r="J3307" s="3" t="str">
        <f>HYPERLINK("https://www.boe.es/gazeta/dias/1809/04/11/pdfs/GGB-1809-16E.pdf#page=8","Abrir facsímil")</f>
        <v>Abrir facsímil</v>
      </c>
      <c r="K3307" s="3" t="s">
        <v>57</v>
      </c>
    </row>
    <row r="3308" spans="1:11" ht="42" customHeight="1">
      <c r="A3308" s="2" t="s">
        <v>8492</v>
      </c>
      <c r="B3308" s="2" t="s">
        <v>8493</v>
      </c>
      <c r="C3308" s="2" t="s">
        <v>25</v>
      </c>
      <c r="D3308" s="2" t="s">
        <v>26</v>
      </c>
      <c r="E3308" s="3" t="s">
        <v>118</v>
      </c>
      <c r="F3308" s="3" t="s">
        <v>819</v>
      </c>
      <c r="G3308" s="3" t="s">
        <v>541</v>
      </c>
      <c r="H3308" s="2" t="s">
        <v>55</v>
      </c>
      <c r="I3308" s="2" t="s">
        <v>8495</v>
      </c>
      <c r="J3308" s="3" t="str">
        <f>HYPERLINK("https://www.boe.es/gazeta/dias/1809/09/07/pdfs/GGB-H-1809-162.pdf#page=6","Abrir facsímil")</f>
        <v>Abrir facsímil</v>
      </c>
      <c r="K3308" s="3" t="s">
        <v>57</v>
      </c>
    </row>
    <row r="3309" spans="1:11" ht="42" customHeight="1">
      <c r="A3309" s="2" t="s">
        <v>8496</v>
      </c>
      <c r="B3309" s="2" t="s">
        <v>8496</v>
      </c>
      <c r="C3309" s="2" t="s">
        <v>131</v>
      </c>
      <c r="D3309" s="2" t="s">
        <v>26</v>
      </c>
      <c r="E3309" s="3" t="s">
        <v>969</v>
      </c>
      <c r="F3309" s="3" t="s">
        <v>970</v>
      </c>
      <c r="G3309" s="3" t="s">
        <v>8497</v>
      </c>
      <c r="H3309" s="2" t="s">
        <v>55</v>
      </c>
      <c r="I3309" s="2" t="s">
        <v>8498</v>
      </c>
      <c r="J3309" s="3" t="str">
        <f>HYPERLINK("https://www.boe.es/gazeta/dias/1809/09/19/pdfs/GGB-1809-212.pdf#page=3","Abrir facsímil")</f>
        <v>Abrir facsímil</v>
      </c>
      <c r="K3309" s="3" t="s">
        <v>57</v>
      </c>
    </row>
    <row r="3310" spans="1:11" ht="42" customHeight="1">
      <c r="A3310" s="2" t="s">
        <v>8496</v>
      </c>
      <c r="B3310" s="2" t="s">
        <v>8496</v>
      </c>
      <c r="C3310" s="2" t="s">
        <v>17</v>
      </c>
      <c r="D3310" s="2" t="s">
        <v>18</v>
      </c>
      <c r="E3310" s="3" t="s">
        <v>147</v>
      </c>
      <c r="F3310" s="3" t="s">
        <v>148</v>
      </c>
      <c r="G3310" s="3" t="s">
        <v>6732</v>
      </c>
      <c r="H3310" s="2" t="s">
        <v>55</v>
      </c>
      <c r="I3310" s="2" t="s">
        <v>8499</v>
      </c>
      <c r="J3310" s="3" t="str">
        <f>HYPERLINK("https://www.boe.es/gazeta/dias/1809/10/07/pdfs/GGB-1809-292.pdf#page=2","Abrir facsímil")</f>
        <v>Abrir facsímil</v>
      </c>
      <c r="K3310" s="3" t="s">
        <v>57</v>
      </c>
    </row>
    <row r="3311" spans="1:11" ht="42" customHeight="1">
      <c r="A3311" s="2" t="s">
        <v>8500</v>
      </c>
      <c r="B3311" s="2" t="s">
        <v>8500</v>
      </c>
      <c r="C3311" s="2" t="s">
        <v>25</v>
      </c>
      <c r="D3311" s="2" t="s">
        <v>18</v>
      </c>
      <c r="E3311" s="3" t="s">
        <v>1667</v>
      </c>
      <c r="F3311" s="3" t="s">
        <v>1668</v>
      </c>
      <c r="G3311" s="3" t="s">
        <v>129</v>
      </c>
      <c r="H3311" s="2" t="s">
        <v>55</v>
      </c>
      <c r="I3311" s="2" t="s">
        <v>8501</v>
      </c>
      <c r="J3311" s="3" t="str">
        <f>HYPERLINK("https://www.boe.es/gazeta/dias/1809/02/21/pdfs/GMD-1809-52.pdf#page=2","Abrir facsímil")</f>
        <v>Abrir facsímil</v>
      </c>
      <c r="K3311" s="3" t="s">
        <v>57</v>
      </c>
    </row>
    <row r="3312" spans="1:11" ht="42" customHeight="1">
      <c r="A3312" s="2" t="s">
        <v>8500</v>
      </c>
      <c r="B3312" s="2" t="s">
        <v>8500</v>
      </c>
      <c r="C3312" s="2" t="s">
        <v>25</v>
      </c>
      <c r="D3312" s="2" t="s">
        <v>72</v>
      </c>
      <c r="E3312" s="3" t="s">
        <v>258</v>
      </c>
      <c r="F3312" s="3" t="s">
        <v>1673</v>
      </c>
      <c r="G3312" s="3" t="s">
        <v>129</v>
      </c>
      <c r="H3312" s="2" t="s">
        <v>55</v>
      </c>
      <c r="I3312" s="2" t="s">
        <v>8502</v>
      </c>
      <c r="J3312" s="3" t="str">
        <f>HYPERLINK("https://www.boe.es/gazeta/dias/1809/03/17/pdfs/GGB-G-1809-12.pdf#page=2","Abrir facsímil")</f>
        <v>Abrir facsímil</v>
      </c>
      <c r="K3312" s="3" t="s">
        <v>57</v>
      </c>
    </row>
    <row r="3313" spans="1:11" ht="42" customHeight="1">
      <c r="A3313" s="2" t="s">
        <v>8503</v>
      </c>
      <c r="B3313" s="2" t="s">
        <v>8504</v>
      </c>
      <c r="C3313" s="2" t="s">
        <v>17</v>
      </c>
      <c r="D3313" s="2" t="s">
        <v>72</v>
      </c>
      <c r="E3313" s="3" t="s">
        <v>3178</v>
      </c>
      <c r="F3313" s="3" t="s">
        <v>3179</v>
      </c>
      <c r="G3313" s="3" t="s">
        <v>396</v>
      </c>
      <c r="H3313" s="2" t="s">
        <v>55</v>
      </c>
      <c r="I3313" s="2" t="s">
        <v>8505</v>
      </c>
      <c r="J3313" s="3" t="str">
        <f>HYPERLINK("https://www.boe.es/gazeta/dias/1809/04/20/pdfs/GMD-E-1809-110.pdf#page=1","Abrir facsímil")</f>
        <v>Abrir facsímil</v>
      </c>
      <c r="K3313" s="3" t="s">
        <v>57</v>
      </c>
    </row>
    <row r="3314" spans="1:11" ht="42" customHeight="1">
      <c r="A3314" s="2" t="s">
        <v>8506</v>
      </c>
      <c r="B3314" s="2" t="s">
        <v>8507</v>
      </c>
      <c r="C3314" s="2" t="s">
        <v>25</v>
      </c>
      <c r="D3314" s="2" t="s">
        <v>26</v>
      </c>
      <c r="E3314" s="3" t="s">
        <v>904</v>
      </c>
      <c r="F3314" s="3" t="s">
        <v>905</v>
      </c>
      <c r="G3314" s="3" t="s">
        <v>62</v>
      </c>
      <c r="H3314" s="2" t="s">
        <v>55</v>
      </c>
      <c r="I3314" s="2" t="s">
        <v>8508</v>
      </c>
      <c r="J3314" s="3" t="str">
        <f>HYPERLINK("https://www.boe.es/gazeta/dias/1809/07/07/pdfs/GGB-1809-43.pdf#page=9","Abrir facsímil")</f>
        <v>Abrir facsímil</v>
      </c>
      <c r="K3314" s="3" t="s">
        <v>57</v>
      </c>
    </row>
    <row r="3315" spans="1:11" ht="42" customHeight="1">
      <c r="A3315" s="2" t="s">
        <v>8509</v>
      </c>
      <c r="B3315" s="2" t="s">
        <v>8510</v>
      </c>
      <c r="C3315" s="2" t="s">
        <v>25</v>
      </c>
      <c r="D3315" s="2" t="s">
        <v>18</v>
      </c>
      <c r="E3315" s="3" t="s">
        <v>904</v>
      </c>
      <c r="F3315" s="3" t="s">
        <v>905</v>
      </c>
      <c r="G3315" s="3" t="s">
        <v>906</v>
      </c>
      <c r="H3315" s="2" t="s">
        <v>22</v>
      </c>
      <c r="I3315" s="2" t="s">
        <v>8511</v>
      </c>
      <c r="J3315" s="3" t="str">
        <f>HYPERLINK("https://www.boe.es/gazeta/dias/1809/07/07/pdfs/GGB-1809-43.pdf#page=8","Abrir facsímil")</f>
        <v>Abrir facsímil</v>
      </c>
      <c r="K3315" s="3" t="s">
        <v>24</v>
      </c>
    </row>
    <row r="3316" spans="1:11" ht="42" customHeight="1">
      <c r="A3316" s="2" t="s">
        <v>8512</v>
      </c>
      <c r="B3316" s="2" t="s">
        <v>8513</v>
      </c>
      <c r="C3316" s="2" t="s">
        <v>25</v>
      </c>
      <c r="D3316" s="2" t="s">
        <v>26</v>
      </c>
      <c r="E3316" s="3" t="s">
        <v>163</v>
      </c>
      <c r="F3316" s="3" t="s">
        <v>478</v>
      </c>
      <c r="G3316" s="3" t="s">
        <v>75</v>
      </c>
      <c r="H3316" s="2" t="s">
        <v>55</v>
      </c>
      <c r="I3316" s="2" t="s">
        <v>8514</v>
      </c>
      <c r="J3316" s="3" t="str">
        <f>HYPERLINK("https://www.boe.es/gazeta/dias/1809/03/10/pdfs/GGB-1809-11.pdf#page=14","Abrir facsímil")</f>
        <v>Abrir facsímil</v>
      </c>
      <c r="K3316" s="3" t="s">
        <v>57</v>
      </c>
    </row>
    <row r="3317" spans="1:11" ht="42" customHeight="1">
      <c r="A3317" s="2" t="s">
        <v>8515</v>
      </c>
      <c r="B3317" s="2" t="s">
        <v>8516</v>
      </c>
      <c r="C3317" s="2" t="s">
        <v>25</v>
      </c>
      <c r="D3317" s="2" t="s">
        <v>72</v>
      </c>
      <c r="E3317" s="3" t="s">
        <v>190</v>
      </c>
      <c r="F3317" s="3" t="s">
        <v>3505</v>
      </c>
      <c r="G3317" s="3" t="s">
        <v>120</v>
      </c>
      <c r="H3317" s="2" t="s">
        <v>55</v>
      </c>
      <c r="I3317" s="2" t="s">
        <v>8517</v>
      </c>
      <c r="J3317" s="3" t="str">
        <f>HYPERLINK("https://www.boe.es/gazeta/dias/1809/10/14/pdfs/GGB-H-1809-322.pdf#page=7","Abrir facsímil")</f>
        <v>Abrir facsímil</v>
      </c>
      <c r="K3317" s="3" t="s">
        <v>57</v>
      </c>
    </row>
    <row r="3318" spans="1:11" ht="42" customHeight="1">
      <c r="A3318" s="2" t="s">
        <v>8518</v>
      </c>
      <c r="B3318" s="2" t="s">
        <v>8519</v>
      </c>
      <c r="C3318" s="2" t="s">
        <v>25</v>
      </c>
      <c r="D3318" s="2" t="s">
        <v>18</v>
      </c>
      <c r="E3318" s="3" t="s">
        <v>163</v>
      </c>
      <c r="F3318" s="3" t="s">
        <v>478</v>
      </c>
      <c r="G3318" s="3" t="s">
        <v>1729</v>
      </c>
      <c r="H3318" s="2" t="s">
        <v>55</v>
      </c>
      <c r="I3318" s="2" t="s">
        <v>8520</v>
      </c>
      <c r="J3318" s="3" t="str">
        <f>HYPERLINK("https://www.boe.es/gazeta/dias/1809/03/10/pdfs/GGB-1809-11.pdf#page=13","Abrir facsímil")</f>
        <v>Abrir facsímil</v>
      </c>
      <c r="K3318" s="3" t="s">
        <v>57</v>
      </c>
    </row>
    <row r="3319" spans="1:11" ht="42" customHeight="1">
      <c r="A3319" s="2" t="s">
        <v>8518</v>
      </c>
      <c r="B3319" s="2" t="s">
        <v>8519</v>
      </c>
      <c r="C3319" s="2" t="s">
        <v>25</v>
      </c>
      <c r="D3319" s="2" t="s">
        <v>26</v>
      </c>
      <c r="E3319" s="3" t="s">
        <v>92</v>
      </c>
      <c r="F3319" s="3" t="s">
        <v>93</v>
      </c>
      <c r="G3319" s="3" t="s">
        <v>239</v>
      </c>
      <c r="H3319" s="2" t="s">
        <v>55</v>
      </c>
      <c r="I3319" s="2" t="s">
        <v>8521</v>
      </c>
      <c r="J3319" s="3" t="str">
        <f>HYPERLINK("https://www.boe.es/gazeta/dias/1809/05/22/pdfs/GGB-G-1809-30.pdf#page=2","Abrir facsímil")</f>
        <v>Abrir facsímil</v>
      </c>
      <c r="K3319" s="3" t="s">
        <v>57</v>
      </c>
    </row>
    <row r="3320" spans="1:11" ht="42" customHeight="1">
      <c r="A3320" s="2" t="s">
        <v>8522</v>
      </c>
      <c r="B3320" s="2" t="s">
        <v>8523</v>
      </c>
      <c r="C3320" s="2" t="s">
        <v>17</v>
      </c>
      <c r="D3320" s="2" t="s">
        <v>72</v>
      </c>
      <c r="E3320" s="3" t="s">
        <v>243</v>
      </c>
      <c r="F3320" s="3" t="s">
        <v>244</v>
      </c>
      <c r="G3320" s="3" t="s">
        <v>541</v>
      </c>
      <c r="H3320" s="2" t="s">
        <v>55</v>
      </c>
      <c r="I3320" s="2" t="s">
        <v>8524</v>
      </c>
      <c r="J3320" s="3" t="str">
        <f>HYPERLINK("https://www.boe.es/gazeta/dias/1809/02/17/pdfs/GGB-G-1809-8.pdf#page=8","Abrir facsímil")</f>
        <v>Abrir facsímil</v>
      </c>
      <c r="K3320" s="3" t="s">
        <v>57</v>
      </c>
    </row>
    <row r="3321" spans="1:11" ht="42" customHeight="1">
      <c r="A3321" s="2" t="s">
        <v>8525</v>
      </c>
      <c r="B3321" s="2" t="s">
        <v>8526</v>
      </c>
      <c r="C3321" s="2" t="s">
        <v>25</v>
      </c>
      <c r="D3321" s="2" t="s">
        <v>26</v>
      </c>
      <c r="E3321" s="3" t="s">
        <v>1700</v>
      </c>
      <c r="F3321" s="3" t="s">
        <v>1701</v>
      </c>
      <c r="G3321" s="3" t="s">
        <v>349</v>
      </c>
      <c r="H3321" s="2" t="s">
        <v>55</v>
      </c>
      <c r="I3321" s="2" t="s">
        <v>8527</v>
      </c>
      <c r="J3321" s="3" t="str">
        <f>HYPERLINK("https://www.boe.es/gazeta/dias/1809/01/16/pdfs/GGB-1809-3E.pdf#page=3","Abrir facsímil")</f>
        <v>Abrir facsímil</v>
      </c>
      <c r="K3321" s="3" t="s">
        <v>57</v>
      </c>
    </row>
    <row r="3322" spans="1:11" ht="42" customHeight="1">
      <c r="A3322" s="2" t="s">
        <v>8528</v>
      </c>
      <c r="B3322" s="2" t="s">
        <v>8528</v>
      </c>
      <c r="C3322" s="2" t="s">
        <v>17</v>
      </c>
      <c r="D3322" s="2" t="s">
        <v>18</v>
      </c>
      <c r="E3322" s="3" t="s">
        <v>211</v>
      </c>
      <c r="F3322" s="3" t="s">
        <v>212</v>
      </c>
      <c r="G3322" s="3" t="s">
        <v>29</v>
      </c>
      <c r="H3322" s="2" t="s">
        <v>55</v>
      </c>
      <c r="I3322" s="2" t="s">
        <v>8529</v>
      </c>
      <c r="J3322" s="3" t="str">
        <f>HYPERLINK("https://www.boe.es/gazeta/dias/1809/10/27/pdfs/GMD-1809-301.pdf#page=3","Abrir facsímil")</f>
        <v>Abrir facsímil</v>
      </c>
      <c r="K3322" s="3" t="s">
        <v>57</v>
      </c>
    </row>
    <row r="3323" spans="1:11" ht="42" customHeight="1">
      <c r="A3323" s="2" t="s">
        <v>8530</v>
      </c>
      <c r="B3323" s="2" t="s">
        <v>8530</v>
      </c>
      <c r="C3323" s="2" t="s">
        <v>39</v>
      </c>
      <c r="D3323" s="2" t="s">
        <v>18</v>
      </c>
      <c r="E3323" s="3" t="s">
        <v>357</v>
      </c>
      <c r="F3323" s="3" t="s">
        <v>358</v>
      </c>
      <c r="G3323" s="3" t="s">
        <v>225</v>
      </c>
      <c r="H3323" s="2" t="s">
        <v>55</v>
      </c>
      <c r="I3323" s="2" t="s">
        <v>8531</v>
      </c>
      <c r="J3323" s="3" t="str">
        <f>HYPERLINK("https://www.boe.es/gazeta/dias/1809/03/20/pdfs/GMD-1809-79.pdf#page=4","Abrir facsímil")</f>
        <v>Abrir facsímil</v>
      </c>
      <c r="K3323" s="3" t="s">
        <v>57</v>
      </c>
    </row>
    <row r="3324" spans="1:11" ht="42" customHeight="1">
      <c r="A3324" s="2" t="s">
        <v>8530</v>
      </c>
      <c r="B3324" s="2" t="s">
        <v>8530</v>
      </c>
      <c r="C3324" s="2" t="s">
        <v>79</v>
      </c>
      <c r="D3324" s="2" t="s">
        <v>18</v>
      </c>
      <c r="E3324" s="3" t="s">
        <v>299</v>
      </c>
      <c r="F3324" s="3" t="s">
        <v>300</v>
      </c>
      <c r="G3324" s="3" t="s">
        <v>301</v>
      </c>
      <c r="H3324" s="2" t="s">
        <v>55</v>
      </c>
      <c r="I3324" s="2" t="s">
        <v>8532</v>
      </c>
      <c r="J3324" s="3" t="str">
        <f>HYPERLINK("https://www.boe.es/gazeta/dias/1809/05/26/pdfs/GGB-1809-31.pdf#page=10","Abrir facsímil")</f>
        <v>Abrir facsímil</v>
      </c>
      <c r="K3324" s="3" t="s">
        <v>57</v>
      </c>
    </row>
    <row r="3325" spans="1:11" ht="42" customHeight="1">
      <c r="A3325" s="2" t="s">
        <v>8530</v>
      </c>
      <c r="B3325" s="2" t="s">
        <v>8530</v>
      </c>
      <c r="C3325" s="2" t="s">
        <v>25</v>
      </c>
      <c r="D3325" s="2" t="s">
        <v>26</v>
      </c>
      <c r="E3325" s="3" t="s">
        <v>108</v>
      </c>
      <c r="F3325" s="3" t="s">
        <v>109</v>
      </c>
      <c r="G3325" s="3" t="s">
        <v>110</v>
      </c>
      <c r="H3325" s="2" t="s">
        <v>55</v>
      </c>
      <c r="I3325" s="2" t="s">
        <v>8533</v>
      </c>
      <c r="J3325" s="3" t="str">
        <f>HYPERLINK("https://www.boe.es/gazeta/dias/1809/09/08/pdfs/GMD-1809-252.pdf#page=2","Abrir facsímil")</f>
        <v>Abrir facsímil</v>
      </c>
      <c r="K3325" s="3" t="s">
        <v>57</v>
      </c>
    </row>
    <row r="3326" spans="1:11" ht="42" customHeight="1">
      <c r="A3326" s="2" t="s">
        <v>8530</v>
      </c>
      <c r="B3326" s="2" t="s">
        <v>8530</v>
      </c>
      <c r="C3326" s="2" t="s">
        <v>131</v>
      </c>
      <c r="D3326" s="2" t="s">
        <v>18</v>
      </c>
      <c r="E3326" s="3" t="s">
        <v>211</v>
      </c>
      <c r="F3326" s="3" t="s">
        <v>212</v>
      </c>
      <c r="G3326" s="3" t="s">
        <v>872</v>
      </c>
      <c r="H3326" s="2" t="s">
        <v>55</v>
      </c>
      <c r="I3326" s="2" t="s">
        <v>8534</v>
      </c>
      <c r="J3326" s="3" t="str">
        <f>HYPERLINK("https://www.boe.es/gazeta/dias/1809/10/27/pdfs/GMD-1809-301.pdf#page=1","Abrir facsímil")</f>
        <v>Abrir facsímil</v>
      </c>
      <c r="K3326" s="3" t="s">
        <v>57</v>
      </c>
    </row>
    <row r="3327" spans="1:11" ht="42" customHeight="1">
      <c r="A3327" s="2" t="s">
        <v>8530</v>
      </c>
      <c r="B3327" s="2" t="s">
        <v>8530</v>
      </c>
      <c r="C3327" s="2" t="s">
        <v>25</v>
      </c>
      <c r="D3327" s="2" t="s">
        <v>26</v>
      </c>
      <c r="E3327" s="3" t="s">
        <v>211</v>
      </c>
      <c r="F3327" s="3" t="s">
        <v>212</v>
      </c>
      <c r="G3327" s="3" t="s">
        <v>467</v>
      </c>
      <c r="H3327" s="2" t="s">
        <v>55</v>
      </c>
      <c r="I3327" s="2" t="s">
        <v>8535</v>
      </c>
      <c r="J3327" s="3" t="str">
        <f>HYPERLINK("https://www.boe.es/gazeta/dias/1809/10/27/pdfs/GMD-1809-301.pdf#page=2","Abrir facsímil")</f>
        <v>Abrir facsímil</v>
      </c>
      <c r="K3327" s="3" t="s">
        <v>57</v>
      </c>
    </row>
    <row r="3328" spans="1:11" ht="42" customHeight="1">
      <c r="A3328" s="2" t="s">
        <v>8530</v>
      </c>
      <c r="B3328" s="2" t="s">
        <v>8530</v>
      </c>
      <c r="C3328" s="2" t="s">
        <v>25</v>
      </c>
      <c r="D3328" s="2" t="s">
        <v>18</v>
      </c>
      <c r="E3328" s="3" t="s">
        <v>211</v>
      </c>
      <c r="F3328" s="3" t="s">
        <v>212</v>
      </c>
      <c r="G3328" s="3" t="s">
        <v>29</v>
      </c>
      <c r="H3328" s="2" t="s">
        <v>55</v>
      </c>
      <c r="I3328" s="2" t="s">
        <v>8536</v>
      </c>
      <c r="J3328" s="3" t="str">
        <f>HYPERLINK("https://www.boe.es/gazeta/dias/1809/10/27/pdfs/GMD-1809-301.pdf#page=3","Abrir facsímil")</f>
        <v>Abrir facsímil</v>
      </c>
      <c r="K3328" s="3" t="s">
        <v>57</v>
      </c>
    </row>
    <row r="3329" spans="1:11" ht="42" customHeight="1">
      <c r="A3329" s="2" t="s">
        <v>8530</v>
      </c>
      <c r="B3329" s="2" t="s">
        <v>8530</v>
      </c>
      <c r="C3329" s="2" t="s">
        <v>25</v>
      </c>
      <c r="D3329" s="2" t="s">
        <v>26</v>
      </c>
      <c r="E3329" s="3" t="s">
        <v>211</v>
      </c>
      <c r="F3329" s="3" t="s">
        <v>212</v>
      </c>
      <c r="G3329" s="3" t="s">
        <v>213</v>
      </c>
      <c r="H3329" s="2" t="s">
        <v>55</v>
      </c>
      <c r="I3329" s="2" t="s">
        <v>8537</v>
      </c>
      <c r="J3329" s="3" t="str">
        <f>HYPERLINK("https://www.boe.es/gazeta/dias/1809/10/27/pdfs/GMD-1809-301.pdf#page=4","Abrir facsímil")</f>
        <v>Abrir facsímil</v>
      </c>
      <c r="K3329" s="3" t="s">
        <v>57</v>
      </c>
    </row>
    <row r="3330" spans="1:11" ht="42" customHeight="1">
      <c r="A3330" s="2" t="s">
        <v>8530</v>
      </c>
      <c r="B3330" s="2" t="s">
        <v>8530</v>
      </c>
      <c r="C3330" s="2" t="s">
        <v>25</v>
      </c>
      <c r="D3330" s="2" t="s">
        <v>26</v>
      </c>
      <c r="E3330" s="3" t="s">
        <v>216</v>
      </c>
      <c r="F3330" s="3" t="s">
        <v>217</v>
      </c>
      <c r="G3330" s="3" t="s">
        <v>154</v>
      </c>
      <c r="H3330" s="2" t="s">
        <v>55</v>
      </c>
      <c r="I3330" s="2" t="s">
        <v>8538</v>
      </c>
      <c r="J3330" s="3" t="str">
        <f>HYPERLINK("https://www.boe.es/gazeta/dias/1809/12/05/pdfs/GGB-H-1809-542.pdf#page=1","Abrir facsímil")</f>
        <v>Abrir facsímil</v>
      </c>
      <c r="K3330" s="3" t="s">
        <v>57</v>
      </c>
    </row>
    <row r="3331" spans="1:11" ht="42" customHeight="1">
      <c r="A3331" s="2" t="s">
        <v>8530</v>
      </c>
      <c r="B3331" s="2" t="s">
        <v>8530</v>
      </c>
      <c r="C3331" s="2" t="s">
        <v>25</v>
      </c>
      <c r="D3331" s="2" t="s">
        <v>26</v>
      </c>
      <c r="E3331" s="3" t="s">
        <v>216</v>
      </c>
      <c r="F3331" s="3" t="s">
        <v>217</v>
      </c>
      <c r="G3331" s="3" t="s">
        <v>75</v>
      </c>
      <c r="H3331" s="2" t="s">
        <v>55</v>
      </c>
      <c r="I3331" s="2" t="s">
        <v>8539</v>
      </c>
      <c r="J3331" s="3" t="str">
        <f>HYPERLINK("https://www.boe.es/gazeta/dias/1809/12/05/pdfs/GGB-H-1809-542.pdf#page=2","Abrir facsímil")</f>
        <v>Abrir facsímil</v>
      </c>
      <c r="K3331" s="3" t="s">
        <v>57</v>
      </c>
    </row>
    <row r="3332" spans="1:11" ht="42" customHeight="1">
      <c r="A3332" s="2" t="s">
        <v>8530</v>
      </c>
      <c r="B3332" s="2" t="s">
        <v>8530</v>
      </c>
      <c r="C3332" s="2" t="s">
        <v>131</v>
      </c>
      <c r="D3332" s="2" t="s">
        <v>26</v>
      </c>
      <c r="E3332" s="3" t="s">
        <v>216</v>
      </c>
      <c r="F3332" s="3" t="s">
        <v>217</v>
      </c>
      <c r="G3332" s="3" t="s">
        <v>270</v>
      </c>
      <c r="H3332" s="2" t="s">
        <v>55</v>
      </c>
      <c r="I3332" s="2" t="s">
        <v>8540</v>
      </c>
      <c r="J3332" s="3" t="str">
        <f>HYPERLINK("https://www.boe.es/gazeta/dias/1809/12/05/pdfs/GGB-H-1809-542.pdf#page=3","Abrir facsímil")</f>
        <v>Abrir facsímil</v>
      </c>
      <c r="K3332" s="3" t="s">
        <v>57</v>
      </c>
    </row>
    <row r="3333" spans="1:11" ht="42" customHeight="1">
      <c r="A3333" s="2" t="s">
        <v>8530</v>
      </c>
      <c r="B3333" s="2" t="s">
        <v>8530</v>
      </c>
      <c r="C3333" s="2" t="s">
        <v>25</v>
      </c>
      <c r="D3333" s="2" t="s">
        <v>72</v>
      </c>
      <c r="E3333" s="3" t="s">
        <v>216</v>
      </c>
      <c r="F3333" s="3" t="s">
        <v>217</v>
      </c>
      <c r="G3333" s="3" t="s">
        <v>587</v>
      </c>
      <c r="H3333" s="2" t="s">
        <v>55</v>
      </c>
      <c r="I3333" s="2" t="s">
        <v>8541</v>
      </c>
      <c r="J3333" s="3" t="str">
        <f>HYPERLINK("https://www.boe.es/gazeta/dias/1809/12/05/pdfs/GGB-H-1809-542.pdf#page=4","Abrir facsímil")</f>
        <v>Abrir facsímil</v>
      </c>
      <c r="K3333" s="3" t="s">
        <v>57</v>
      </c>
    </row>
    <row r="3334" spans="1:11" ht="42" customHeight="1">
      <c r="A3334" s="2" t="s">
        <v>8530</v>
      </c>
      <c r="B3334" s="2" t="s">
        <v>8530</v>
      </c>
      <c r="C3334" s="2" t="s">
        <v>25</v>
      </c>
      <c r="D3334" s="2" t="s">
        <v>18</v>
      </c>
      <c r="E3334" s="3" t="s">
        <v>220</v>
      </c>
      <c r="F3334" s="3" t="s">
        <v>221</v>
      </c>
      <c r="G3334" s="3" t="s">
        <v>154</v>
      </c>
      <c r="H3334" s="2" t="s">
        <v>55</v>
      </c>
      <c r="I3334" s="2" t="s">
        <v>8542</v>
      </c>
      <c r="J3334" s="3" t="str">
        <f>HYPERLINK("https://www.boe.es/gazeta/dias/1809/12/13/pdfs/GMD-1809-348.pdf#page=4","Abrir facsímil")</f>
        <v>Abrir facsímil</v>
      </c>
      <c r="K3334" s="3" t="s">
        <v>57</v>
      </c>
    </row>
    <row r="3335" spans="1:11" ht="42" customHeight="1">
      <c r="A3335" s="2" t="s">
        <v>8530</v>
      </c>
      <c r="B3335" s="2" t="s">
        <v>8530</v>
      </c>
      <c r="C3335" s="2" t="s">
        <v>25</v>
      </c>
      <c r="D3335" s="2" t="s">
        <v>107</v>
      </c>
      <c r="E3335" s="3" t="s">
        <v>223</v>
      </c>
      <c r="F3335" s="3" t="s">
        <v>224</v>
      </c>
      <c r="G3335" s="3" t="s">
        <v>225</v>
      </c>
      <c r="H3335" s="2" t="s">
        <v>55</v>
      </c>
      <c r="I3335" s="2" t="s">
        <v>8543</v>
      </c>
      <c r="J3335" s="3" t="str">
        <f>HYPERLINK("https://www.boe.es/gazeta/dias/1809/12/17/pdfs/GMD-1809-352.pdf#page=4","Abrir facsímil")</f>
        <v>Abrir facsímil</v>
      </c>
      <c r="K3335" s="3" t="s">
        <v>57</v>
      </c>
    </row>
    <row r="3336" spans="1:11" ht="42" customHeight="1">
      <c r="A3336" s="2" t="s">
        <v>8530</v>
      </c>
      <c r="B3336" s="2" t="s">
        <v>8530</v>
      </c>
      <c r="C3336" s="2" t="s">
        <v>25</v>
      </c>
      <c r="D3336" s="2" t="s">
        <v>107</v>
      </c>
      <c r="E3336" s="3" t="s">
        <v>473</v>
      </c>
      <c r="F3336" s="3" t="s">
        <v>474</v>
      </c>
      <c r="G3336" s="3" t="s">
        <v>62</v>
      </c>
      <c r="H3336" s="2" t="s">
        <v>55</v>
      </c>
      <c r="I3336" s="2" t="s">
        <v>8544</v>
      </c>
      <c r="J3336" s="3" t="str">
        <f>HYPERLINK("https://www.boe.es/gazeta/dias/1809/12/28/pdfs/GMD-1809-363.pdf#page=2","Abrir facsímil")</f>
        <v>Abrir facsímil</v>
      </c>
      <c r="K3336" s="3" t="s">
        <v>57</v>
      </c>
    </row>
    <row r="3337" spans="1:11" ht="42" customHeight="1">
      <c r="A3337" s="2" t="s">
        <v>8545</v>
      </c>
      <c r="B3337" s="2" t="s">
        <v>8546</v>
      </c>
      <c r="C3337" s="2" t="s">
        <v>17</v>
      </c>
      <c r="D3337" s="2" t="s">
        <v>18</v>
      </c>
      <c r="E3337" s="3" t="s">
        <v>33</v>
      </c>
      <c r="F3337" s="3" t="s">
        <v>34</v>
      </c>
      <c r="G3337" s="3" t="s">
        <v>35</v>
      </c>
      <c r="H3337" s="2" t="s">
        <v>55</v>
      </c>
      <c r="I3337" s="2" t="s">
        <v>8547</v>
      </c>
      <c r="J3337" s="3" t="str">
        <f>HYPERLINK("https://www.boe.es/gazeta/dias/1809/12/19/pdfs/GGB-1809-602.pdf#page=5","Abrir facsímil")</f>
        <v>Abrir facsímil</v>
      </c>
      <c r="K3337" s="3" t="s">
        <v>57</v>
      </c>
    </row>
    <row r="3338" spans="1:11" ht="42" customHeight="1">
      <c r="A3338" s="2" t="s">
        <v>8548</v>
      </c>
      <c r="B3338" s="2" t="s">
        <v>8549</v>
      </c>
      <c r="C3338" s="2" t="s">
        <v>17</v>
      </c>
      <c r="D3338" s="2" t="s">
        <v>18</v>
      </c>
      <c r="E3338" s="3" t="s">
        <v>220</v>
      </c>
      <c r="F3338" s="3" t="s">
        <v>221</v>
      </c>
      <c r="G3338" s="3" t="s">
        <v>154</v>
      </c>
      <c r="H3338" s="2" t="s">
        <v>55</v>
      </c>
      <c r="I3338" s="2" t="s">
        <v>8550</v>
      </c>
      <c r="J3338" s="3" t="str">
        <f>HYPERLINK("https://www.boe.es/gazeta/dias/1809/12/13/pdfs/GMD-1809-348.pdf#page=4","Abrir facsímil")</f>
        <v>Abrir facsímil</v>
      </c>
      <c r="K3338" s="3" t="s">
        <v>57</v>
      </c>
    </row>
    <row r="3339" spans="1:11" ht="42" customHeight="1">
      <c r="A3339" s="2" t="s">
        <v>8551</v>
      </c>
      <c r="B3339" s="2" t="s">
        <v>8552</v>
      </c>
      <c r="C3339" s="2" t="s">
        <v>39</v>
      </c>
      <c r="D3339" s="2" t="s">
        <v>18</v>
      </c>
      <c r="E3339" s="3" t="s">
        <v>2602</v>
      </c>
      <c r="F3339" s="3" t="s">
        <v>2603</v>
      </c>
      <c r="G3339" s="3" t="s">
        <v>89</v>
      </c>
      <c r="H3339" s="2" t="s">
        <v>55</v>
      </c>
      <c r="I3339" s="2" t="s">
        <v>8553</v>
      </c>
      <c r="J3339" s="3" t="str">
        <f>HYPERLINK("https://www.boe.es/gazeta/dias/1809/11/15/pdfs/GMD-1809-320.pdf#page=4","Abrir facsímil")</f>
        <v>Abrir facsímil</v>
      </c>
      <c r="K3339" s="3" t="s">
        <v>57</v>
      </c>
    </row>
    <row r="3340" spans="1:11" ht="42" customHeight="1">
      <c r="A3340" s="2" t="s">
        <v>8554</v>
      </c>
      <c r="B3340" s="2" t="s">
        <v>8554</v>
      </c>
      <c r="C3340" s="2" t="s">
        <v>47</v>
      </c>
      <c r="D3340" s="2" t="s">
        <v>40</v>
      </c>
      <c r="E3340" s="3" t="s">
        <v>268</v>
      </c>
      <c r="F3340" s="3" t="s">
        <v>2768</v>
      </c>
      <c r="G3340" s="3" t="s">
        <v>62</v>
      </c>
      <c r="H3340" s="2" t="s">
        <v>55</v>
      </c>
      <c r="I3340" s="2" t="s">
        <v>8555</v>
      </c>
      <c r="J3340" s="3" t="str">
        <f>HYPERLINK("https://www.boe.es/gazeta/dias/1809/06/05/pdfs/GGB-1809-34.pdf#page=4","Abrir facsímil")</f>
        <v>Abrir facsímil</v>
      </c>
      <c r="K3340" s="3" t="s">
        <v>57</v>
      </c>
    </row>
    <row r="3341" spans="1:11" ht="42" customHeight="1">
      <c r="A3341" s="2" t="s">
        <v>8554</v>
      </c>
      <c r="B3341" s="2" t="s">
        <v>8554</v>
      </c>
      <c r="C3341" s="2" t="s">
        <v>25</v>
      </c>
      <c r="D3341" s="2" t="s">
        <v>26</v>
      </c>
      <c r="E3341" s="3" t="s">
        <v>1126</v>
      </c>
      <c r="F3341" s="3" t="s">
        <v>1127</v>
      </c>
      <c r="G3341" s="3" t="s">
        <v>62</v>
      </c>
      <c r="H3341" s="2" t="s">
        <v>55</v>
      </c>
      <c r="I3341" s="2" t="s">
        <v>8556</v>
      </c>
      <c r="J3341" s="3" t="str">
        <f>HYPERLINK("https://www.boe.es/gazeta/dias/1809/06/30/pdfs/GMD-1809-181.pdf#page=2","Abrir facsímil")</f>
        <v>Abrir facsímil</v>
      </c>
      <c r="K3341" s="3" t="s">
        <v>57</v>
      </c>
    </row>
    <row r="3342" spans="1:11" ht="42" customHeight="1">
      <c r="A3342" s="2" t="s">
        <v>8554</v>
      </c>
      <c r="B3342" s="2" t="s">
        <v>8554</v>
      </c>
      <c r="C3342" s="2" t="s">
        <v>25</v>
      </c>
      <c r="D3342" s="2" t="s">
        <v>26</v>
      </c>
      <c r="E3342" s="3" t="s">
        <v>8557</v>
      </c>
      <c r="F3342" s="3" t="s">
        <v>8558</v>
      </c>
      <c r="G3342" s="3" t="s">
        <v>120</v>
      </c>
      <c r="H3342" s="2" t="s">
        <v>55</v>
      </c>
      <c r="I3342" s="2" t="s">
        <v>8559</v>
      </c>
      <c r="J3342" s="3" t="str">
        <f>HYPERLINK("https://www.boe.es/gazeta/dias/1809/08/09/pdfs/GMD-1809-222.pdf#page=1","Abrir facsímil")</f>
        <v>Abrir facsímil</v>
      </c>
      <c r="K3342" s="3" t="s">
        <v>57</v>
      </c>
    </row>
    <row r="3343" spans="1:11" ht="42" customHeight="1">
      <c r="A3343" s="2" t="s">
        <v>8554</v>
      </c>
      <c r="B3343" s="2" t="s">
        <v>8554</v>
      </c>
      <c r="C3343" s="2" t="s">
        <v>79</v>
      </c>
      <c r="D3343" s="2" t="s">
        <v>18</v>
      </c>
      <c r="E3343" s="3" t="s">
        <v>102</v>
      </c>
      <c r="F3343" s="3" t="s">
        <v>103</v>
      </c>
      <c r="G3343" s="3" t="s">
        <v>104</v>
      </c>
      <c r="H3343" s="2" t="s">
        <v>55</v>
      </c>
      <c r="I3343" s="2" t="s">
        <v>8560</v>
      </c>
      <c r="J3343" s="3" t="str">
        <f>HYPERLINK("https://www.boe.es/gazeta/dias/1809/09/28/pdfs/GGB-1809-252.pdf#page=8","Abrir facsímil")</f>
        <v>Abrir facsímil</v>
      </c>
      <c r="K3343" s="3" t="s">
        <v>57</v>
      </c>
    </row>
    <row r="3344" spans="1:11" ht="42" customHeight="1">
      <c r="A3344" s="2" t="s">
        <v>8554</v>
      </c>
      <c r="B3344" s="2" t="s">
        <v>8554</v>
      </c>
      <c r="C3344" s="2" t="s">
        <v>17</v>
      </c>
      <c r="D3344" s="2" t="s">
        <v>18</v>
      </c>
      <c r="E3344" s="3" t="s">
        <v>3714</v>
      </c>
      <c r="F3344" s="3" t="s">
        <v>4205</v>
      </c>
      <c r="G3344" s="3" t="s">
        <v>623</v>
      </c>
      <c r="H3344" s="2" t="s">
        <v>55</v>
      </c>
      <c r="I3344" s="2" t="s">
        <v>8561</v>
      </c>
      <c r="J3344" s="3" t="str">
        <f>HYPERLINK("https://www.boe.es/gazeta/dias/1809/12/07/pdfs/GGB-1809-552.pdf#page=6","Abrir facsímil")</f>
        <v>Abrir facsímil</v>
      </c>
      <c r="K3344" s="3" t="s">
        <v>57</v>
      </c>
    </row>
    <row r="3345" spans="1:11" ht="42" customHeight="1">
      <c r="A3345" s="2" t="s">
        <v>8562</v>
      </c>
      <c r="B3345" s="2" t="s">
        <v>8563</v>
      </c>
      <c r="C3345" s="2" t="s">
        <v>17</v>
      </c>
      <c r="D3345" s="2" t="s">
        <v>18</v>
      </c>
      <c r="E3345" s="3" t="s">
        <v>1468</v>
      </c>
      <c r="F3345" s="3" t="s">
        <v>1469</v>
      </c>
      <c r="G3345" s="3" t="s">
        <v>104</v>
      </c>
      <c r="H3345" s="2" t="s">
        <v>55</v>
      </c>
      <c r="I3345" s="2" t="s">
        <v>8564</v>
      </c>
      <c r="J3345" s="3" t="str">
        <f>HYPERLINK("https://www.boe.es/gazeta/dias/1809/02/12/pdfs/GMD-1809-43.pdf#page=6","Abrir facsímil")</f>
        <v>Abrir facsímil</v>
      </c>
      <c r="K3345" s="3" t="s">
        <v>57</v>
      </c>
    </row>
    <row r="3346" spans="1:11" ht="42" customHeight="1">
      <c r="A3346" s="2" t="s">
        <v>8565</v>
      </c>
      <c r="B3346" s="2" t="s">
        <v>8566</v>
      </c>
      <c r="C3346" s="2" t="s">
        <v>17</v>
      </c>
      <c r="D3346" s="2" t="s">
        <v>72</v>
      </c>
      <c r="E3346" s="3" t="s">
        <v>394</v>
      </c>
      <c r="F3346" s="3" t="s">
        <v>395</v>
      </c>
      <c r="G3346" s="3" t="s">
        <v>396</v>
      </c>
      <c r="H3346" s="2" t="s">
        <v>55</v>
      </c>
      <c r="I3346" s="2" t="s">
        <v>8567</v>
      </c>
      <c r="J3346" s="3" t="str">
        <f>HYPERLINK("https://www.boe.es/gazeta/dias/1809/12/14/pdfs/GGB-H-1809-582.pdf#page=2","Abrir facsímil")</f>
        <v>Abrir facsímil</v>
      </c>
      <c r="K3346" s="3" t="s">
        <v>57</v>
      </c>
    </row>
    <row r="3347" spans="1:11" ht="42" customHeight="1">
      <c r="A3347" s="2" t="s">
        <v>8568</v>
      </c>
      <c r="B3347" s="2" t="s">
        <v>8569</v>
      </c>
      <c r="C3347" s="2" t="s">
        <v>17</v>
      </c>
      <c r="D3347" s="2" t="s">
        <v>72</v>
      </c>
      <c r="E3347" s="3" t="s">
        <v>2818</v>
      </c>
      <c r="F3347" s="3" t="s">
        <v>4265</v>
      </c>
      <c r="G3347" s="3" t="s">
        <v>693</v>
      </c>
      <c r="H3347" s="2" t="s">
        <v>55</v>
      </c>
      <c r="I3347" s="2" t="s">
        <v>8570</v>
      </c>
      <c r="J3347" s="3" t="str">
        <f>HYPERLINK("https://www.boe.es/gazeta/dias/1809/02/03/pdfs/GGB-G-1809-6.pdf#page=9","Abrir facsímil")</f>
        <v>Abrir facsímil</v>
      </c>
      <c r="K3347" s="3" t="s">
        <v>57</v>
      </c>
    </row>
    <row r="3348" spans="1:11" ht="42" customHeight="1">
      <c r="A3348" s="2" t="s">
        <v>8568</v>
      </c>
      <c r="B3348" s="2" t="s">
        <v>8569</v>
      </c>
      <c r="C3348" s="2" t="s">
        <v>17</v>
      </c>
      <c r="D3348" s="2" t="s">
        <v>40</v>
      </c>
      <c r="E3348" s="3" t="s">
        <v>190</v>
      </c>
      <c r="F3348" s="3" t="s">
        <v>3505</v>
      </c>
      <c r="G3348" s="3" t="s">
        <v>1278</v>
      </c>
      <c r="H3348" s="2" t="s">
        <v>55</v>
      </c>
      <c r="I3348" s="2" t="s">
        <v>8571</v>
      </c>
      <c r="J3348" s="3" t="str">
        <f>HYPERLINK("https://www.boe.es/gazeta/dias/1809/10/14/pdfs/GGB-H-1809-322.pdf#page=6","Abrir facsímil")</f>
        <v>Abrir facsímil</v>
      </c>
      <c r="K3348" s="3" t="s">
        <v>57</v>
      </c>
    </row>
    <row r="3349" spans="1:11" ht="42" customHeight="1">
      <c r="A3349" s="2" t="s">
        <v>8572</v>
      </c>
      <c r="B3349" s="2" t="s">
        <v>8573</v>
      </c>
      <c r="C3349" s="2" t="s">
        <v>25</v>
      </c>
      <c r="D3349" s="2" t="s">
        <v>18</v>
      </c>
      <c r="E3349" s="3" t="s">
        <v>730</v>
      </c>
      <c r="F3349" s="3" t="s">
        <v>3423</v>
      </c>
      <c r="G3349" s="3" t="s">
        <v>110</v>
      </c>
      <c r="H3349" s="2" t="s">
        <v>55</v>
      </c>
      <c r="I3349" s="2" t="s">
        <v>8574</v>
      </c>
      <c r="J3349" s="3" t="str">
        <f>HYPERLINK("https://www.boe.es/gazeta/dias/1809/06/23/pdfs/GGB-1809-39.pdf#page=1","Abrir facsímil")</f>
        <v>Abrir facsímil</v>
      </c>
      <c r="K3349" s="3" t="s">
        <v>57</v>
      </c>
    </row>
    <row r="3350" spans="1:11" ht="42" customHeight="1">
      <c r="A3350" s="2" t="s">
        <v>8575</v>
      </c>
      <c r="B3350" s="2" t="s">
        <v>8576</v>
      </c>
      <c r="C3350" s="2" t="s">
        <v>25</v>
      </c>
      <c r="D3350" s="2" t="s">
        <v>26</v>
      </c>
      <c r="E3350" s="3" t="s">
        <v>211</v>
      </c>
      <c r="F3350" s="3" t="s">
        <v>212</v>
      </c>
      <c r="G3350" s="3" t="s">
        <v>213</v>
      </c>
      <c r="H3350" s="2" t="s">
        <v>55</v>
      </c>
      <c r="I3350" s="2" t="s">
        <v>8577</v>
      </c>
      <c r="J3350" s="3" t="str">
        <f>HYPERLINK("https://www.boe.es/gazeta/dias/1809/10/27/pdfs/GMD-1809-301.pdf#page=4","Abrir facsímil")</f>
        <v>Abrir facsímil</v>
      </c>
      <c r="K3350" s="3" t="s">
        <v>57</v>
      </c>
    </row>
    <row r="3351" spans="1:11" ht="42" customHeight="1">
      <c r="A3351" s="2" t="s">
        <v>8575</v>
      </c>
      <c r="B3351" s="2" t="s">
        <v>8576</v>
      </c>
      <c r="C3351" s="2" t="s">
        <v>25</v>
      </c>
      <c r="D3351" s="2" t="s">
        <v>26</v>
      </c>
      <c r="E3351" s="3" t="s">
        <v>216</v>
      </c>
      <c r="F3351" s="3" t="s">
        <v>217</v>
      </c>
      <c r="G3351" s="3" t="s">
        <v>94</v>
      </c>
      <c r="H3351" s="2" t="s">
        <v>55</v>
      </c>
      <c r="I3351" s="2" t="s">
        <v>8578</v>
      </c>
      <c r="J3351" s="3" t="str">
        <f>HYPERLINK("https://www.boe.es/gazeta/dias/1809/12/05/pdfs/GGB-H-1809-542.pdf#page=5","Abrir facsímil")</f>
        <v>Abrir facsímil</v>
      </c>
      <c r="K3351" s="3" t="s">
        <v>57</v>
      </c>
    </row>
    <row r="3352" spans="1:11" ht="42" customHeight="1">
      <c r="A3352" s="2" t="s">
        <v>8579</v>
      </c>
      <c r="B3352" s="2" t="s">
        <v>8579</v>
      </c>
      <c r="C3352" s="2" t="s">
        <v>25</v>
      </c>
      <c r="D3352" s="2" t="s">
        <v>26</v>
      </c>
      <c r="E3352" s="3" t="s">
        <v>53</v>
      </c>
      <c r="F3352" s="3" t="s">
        <v>3411</v>
      </c>
      <c r="G3352" s="3" t="s">
        <v>5805</v>
      </c>
      <c r="H3352" s="2" t="s">
        <v>55</v>
      </c>
      <c r="I3352" s="2" t="s">
        <v>8580</v>
      </c>
      <c r="J3352" s="3" t="str">
        <f>HYPERLINK("https://www.boe.es/gazeta/dias/1809/03/03/pdfs/GGB-1809-10.pdf#page=5","Abrir facsímil")</f>
        <v>Abrir facsímil</v>
      </c>
      <c r="K3352" s="3" t="s">
        <v>57</v>
      </c>
    </row>
    <row r="3353" spans="1:11" ht="42" customHeight="1">
      <c r="A3353" s="2" t="s">
        <v>8579</v>
      </c>
      <c r="B3353" s="2" t="s">
        <v>8579</v>
      </c>
      <c r="C3353" s="2" t="s">
        <v>25</v>
      </c>
      <c r="D3353" s="2" t="s">
        <v>26</v>
      </c>
      <c r="E3353" s="3" t="s">
        <v>1898</v>
      </c>
      <c r="F3353" s="3" t="s">
        <v>1899</v>
      </c>
      <c r="G3353" s="3" t="s">
        <v>1148</v>
      </c>
      <c r="H3353" s="2" t="s">
        <v>55</v>
      </c>
      <c r="I3353" s="2" t="s">
        <v>8581</v>
      </c>
      <c r="J3353" s="3" t="str">
        <f>HYPERLINK("https://www.boe.es/gazeta/dias/1809/12/02/pdfs/GGB-1809-532.pdf#page=4","Abrir facsímil")</f>
        <v>Abrir facsímil</v>
      </c>
      <c r="K3353" s="3" t="s">
        <v>57</v>
      </c>
    </row>
    <row r="3354" spans="1:11" ht="42" customHeight="1">
      <c r="A3354" s="2" t="s">
        <v>8579</v>
      </c>
      <c r="B3354" s="2" t="s">
        <v>8579</v>
      </c>
      <c r="C3354" s="2" t="s">
        <v>25</v>
      </c>
      <c r="D3354" s="2" t="s">
        <v>26</v>
      </c>
      <c r="E3354" s="3" t="s">
        <v>814</v>
      </c>
      <c r="F3354" s="3" t="s">
        <v>815</v>
      </c>
      <c r="G3354" s="3" t="s">
        <v>8582</v>
      </c>
      <c r="H3354" s="2" t="s">
        <v>55</v>
      </c>
      <c r="I3354" s="2" t="s">
        <v>8583</v>
      </c>
      <c r="J3354" s="3" t="str">
        <f>HYPERLINK("https://www.boe.es/gazeta/dias/1809/12/09/pdfs/GGB-1809-562.pdf#page=4","Abrir facsímil")</f>
        <v>Abrir facsímil</v>
      </c>
      <c r="K3354" s="3" t="s">
        <v>57</v>
      </c>
    </row>
    <row r="3355" spans="1:11" ht="42" customHeight="1">
      <c r="A3355" s="2" t="s">
        <v>8579</v>
      </c>
      <c r="B3355" s="2" t="s">
        <v>8579</v>
      </c>
      <c r="C3355" s="2" t="s">
        <v>25</v>
      </c>
      <c r="D3355" s="2" t="s">
        <v>18</v>
      </c>
      <c r="E3355" s="3" t="s">
        <v>814</v>
      </c>
      <c r="F3355" s="3" t="s">
        <v>815</v>
      </c>
      <c r="G3355" s="3" t="s">
        <v>816</v>
      </c>
      <c r="H3355" s="2" t="s">
        <v>55</v>
      </c>
      <c r="I3355" s="2" t="s">
        <v>8584</v>
      </c>
      <c r="J3355" s="3" t="str">
        <f>HYPERLINK("https://www.boe.es/gazeta/dias/1809/12/09/pdfs/GGB-1809-562.pdf#page=5","Abrir facsímil")</f>
        <v>Abrir facsímil</v>
      </c>
      <c r="K3355" s="3" t="s">
        <v>57</v>
      </c>
    </row>
    <row r="3356" spans="1:11" ht="42" customHeight="1">
      <c r="A3356" s="2" t="s">
        <v>8585</v>
      </c>
      <c r="B3356" s="2" t="s">
        <v>8586</v>
      </c>
      <c r="C3356" s="2" t="s">
        <v>131</v>
      </c>
      <c r="D3356" s="2" t="s">
        <v>26</v>
      </c>
      <c r="E3356" s="3" t="s">
        <v>515</v>
      </c>
      <c r="F3356" s="3" t="s">
        <v>516</v>
      </c>
      <c r="G3356" s="3" t="s">
        <v>1380</v>
      </c>
      <c r="H3356" s="2" t="s">
        <v>55</v>
      </c>
      <c r="I3356" s="2" t="s">
        <v>8587</v>
      </c>
      <c r="J3356" s="3" t="str">
        <f>HYPERLINK("https://www.boe.es/gazeta/dias/1809/09/02/pdfs/GMD-1809-246.pdf#page=3","Abrir facsímil")</f>
        <v>Abrir facsímil</v>
      </c>
      <c r="K3356" s="3" t="s">
        <v>57</v>
      </c>
    </row>
    <row r="3357" spans="1:11" ht="42" customHeight="1">
      <c r="A3357" s="2" t="s">
        <v>8588</v>
      </c>
      <c r="B3357" s="2" t="s">
        <v>8588</v>
      </c>
      <c r="C3357" s="2" t="s">
        <v>25</v>
      </c>
      <c r="D3357" s="2" t="s">
        <v>18</v>
      </c>
      <c r="E3357" s="3" t="s">
        <v>220</v>
      </c>
      <c r="F3357" s="3" t="s">
        <v>221</v>
      </c>
      <c r="G3357" s="3" t="s">
        <v>154</v>
      </c>
      <c r="H3357" s="2" t="s">
        <v>55</v>
      </c>
      <c r="I3357" s="2" t="s">
        <v>8589</v>
      </c>
      <c r="J3357" s="3" t="str">
        <f>HYPERLINK("https://www.boe.es/gazeta/dias/1809/12/13/pdfs/GMD-1809-348.pdf#page=4","Abrir facsímil")</f>
        <v>Abrir facsímil</v>
      </c>
      <c r="K3357" s="3" t="s">
        <v>57</v>
      </c>
    </row>
    <row r="3358" spans="1:11" ht="42" customHeight="1">
      <c r="A3358" s="2" t="s">
        <v>8590</v>
      </c>
      <c r="B3358" s="2" t="s">
        <v>8590</v>
      </c>
      <c r="C3358" s="2" t="s">
        <v>25</v>
      </c>
      <c r="D3358" s="2" t="s">
        <v>26</v>
      </c>
      <c r="E3358" s="3" t="s">
        <v>196</v>
      </c>
      <c r="F3358" s="3" t="s">
        <v>197</v>
      </c>
      <c r="G3358" s="3" t="s">
        <v>374</v>
      </c>
      <c r="H3358" s="2" t="s">
        <v>55</v>
      </c>
      <c r="I3358" s="2" t="s">
        <v>8591</v>
      </c>
      <c r="J3358" s="3" t="str">
        <f>HYPERLINK("https://www.boe.es/gazeta/dias/1809/09/04/pdfs/GMD-1809-248.pdf#page=2","Abrir facsímil")</f>
        <v>Abrir facsímil</v>
      </c>
      <c r="K3358" s="3" t="s">
        <v>57</v>
      </c>
    </row>
    <row r="3359" spans="1:11" ht="42" customHeight="1">
      <c r="A3359" s="2" t="s">
        <v>8592</v>
      </c>
      <c r="B3359" s="2" t="s">
        <v>8593</v>
      </c>
      <c r="C3359" s="2" t="s">
        <v>25</v>
      </c>
      <c r="D3359" s="2" t="s">
        <v>26</v>
      </c>
      <c r="E3359" s="3" t="s">
        <v>143</v>
      </c>
      <c r="F3359" s="3" t="s">
        <v>705</v>
      </c>
      <c r="G3359" s="3" t="s">
        <v>225</v>
      </c>
      <c r="H3359" s="2" t="s">
        <v>55</v>
      </c>
      <c r="I3359" s="2" t="s">
        <v>8594</v>
      </c>
      <c r="J3359" s="3" t="str">
        <f>HYPERLINK("https://www.boe.es/gazeta/dias/1809/11/16/pdfs/GGB-H-1809-462.pdf#page=4","Abrir facsímil")</f>
        <v>Abrir facsímil</v>
      </c>
      <c r="K3359" s="3" t="s">
        <v>57</v>
      </c>
    </row>
    <row r="3360" spans="1:11" ht="42" customHeight="1">
      <c r="A3360" s="2" t="s">
        <v>8595</v>
      </c>
      <c r="B3360" s="2" t="s">
        <v>8596</v>
      </c>
      <c r="C3360" s="2" t="s">
        <v>17</v>
      </c>
      <c r="D3360" s="2" t="s">
        <v>18</v>
      </c>
      <c r="E3360" s="3" t="s">
        <v>833</v>
      </c>
      <c r="F3360" s="3" t="s">
        <v>834</v>
      </c>
      <c r="G3360" s="3" t="s">
        <v>239</v>
      </c>
      <c r="H3360" s="2" t="s">
        <v>55</v>
      </c>
      <c r="I3360" s="2" t="s">
        <v>8597</v>
      </c>
      <c r="J3360" s="3" t="str">
        <f>HYPERLINK("https://www.boe.es/gazeta/dias/1809/01/05/pdfs/GMD-1809-5.pdf#page=3","Abrir facsímil")</f>
        <v>Abrir facsímil</v>
      </c>
      <c r="K3360" s="3" t="s">
        <v>57</v>
      </c>
    </row>
    <row r="3361" spans="1:11" ht="42" customHeight="1">
      <c r="A3361" s="2" t="s">
        <v>8598</v>
      </c>
      <c r="B3361" s="2" t="s">
        <v>8599</v>
      </c>
      <c r="C3361" s="2" t="s">
        <v>17</v>
      </c>
      <c r="D3361" s="2" t="s">
        <v>18</v>
      </c>
      <c r="E3361" s="3" t="s">
        <v>548</v>
      </c>
      <c r="F3361" s="3" t="s">
        <v>549</v>
      </c>
      <c r="G3361" s="3" t="s">
        <v>316</v>
      </c>
      <c r="H3361" s="2" t="s">
        <v>55</v>
      </c>
      <c r="I3361" s="2" t="s">
        <v>8600</v>
      </c>
      <c r="J3361" s="3" t="str">
        <f>HYPERLINK("https://www.boe.es/gazeta/dias/1809/03/12/pdfs/GMD-1809-71.pdf#page=4","Abrir facsímil")</f>
        <v>Abrir facsímil</v>
      </c>
      <c r="K3361" s="3" t="s">
        <v>57</v>
      </c>
    </row>
    <row r="3362" spans="1:11" ht="42" customHeight="1">
      <c r="A3362" s="2" t="s">
        <v>8598</v>
      </c>
      <c r="B3362" s="2" t="s">
        <v>8599</v>
      </c>
      <c r="C3362" s="2" t="s">
        <v>25</v>
      </c>
      <c r="D3362" s="2" t="s">
        <v>26</v>
      </c>
      <c r="E3362" s="3" t="s">
        <v>211</v>
      </c>
      <c r="F3362" s="3" t="s">
        <v>212</v>
      </c>
      <c r="G3362" s="3" t="s">
        <v>213</v>
      </c>
      <c r="H3362" s="2" t="s">
        <v>55</v>
      </c>
      <c r="I3362" s="2" t="s">
        <v>8601</v>
      </c>
      <c r="J3362" s="3" t="str">
        <f>HYPERLINK("https://www.boe.es/gazeta/dias/1809/10/27/pdfs/GMD-1809-301.pdf#page=4","Abrir facsímil")</f>
        <v>Abrir facsímil</v>
      </c>
      <c r="K3362" s="3" t="s">
        <v>57</v>
      </c>
    </row>
    <row r="3363" spans="1:11" ht="42" customHeight="1">
      <c r="A3363" s="2" t="s">
        <v>8598</v>
      </c>
      <c r="B3363" s="2" t="s">
        <v>8599</v>
      </c>
      <c r="C3363" s="2" t="s">
        <v>25</v>
      </c>
      <c r="D3363" s="2" t="s">
        <v>26</v>
      </c>
      <c r="E3363" s="3" t="s">
        <v>216</v>
      </c>
      <c r="F3363" s="3" t="s">
        <v>217</v>
      </c>
      <c r="G3363" s="3" t="s">
        <v>439</v>
      </c>
      <c r="H3363" s="2" t="s">
        <v>55</v>
      </c>
      <c r="I3363" s="2" t="s">
        <v>8602</v>
      </c>
      <c r="J3363" s="3" t="str">
        <f>HYPERLINK("https://www.boe.es/gazeta/dias/1809/12/05/pdfs/GGB-H-1809-542.pdf#page=7","Abrir facsímil")</f>
        <v>Abrir facsímil</v>
      </c>
      <c r="K3363" s="3" t="s">
        <v>57</v>
      </c>
    </row>
    <row r="3364" spans="1:11" ht="42" customHeight="1">
      <c r="A3364" s="2" t="s">
        <v>8603</v>
      </c>
      <c r="B3364" s="2" t="s">
        <v>8604</v>
      </c>
      <c r="C3364" s="2" t="s">
        <v>17</v>
      </c>
      <c r="D3364" s="2" t="s">
        <v>40</v>
      </c>
      <c r="E3364" s="3" t="s">
        <v>755</v>
      </c>
      <c r="F3364" s="3" t="s">
        <v>756</v>
      </c>
      <c r="G3364" s="3" t="s">
        <v>525</v>
      </c>
      <c r="H3364" s="2" t="s">
        <v>55</v>
      </c>
      <c r="I3364" s="2" t="s">
        <v>8605</v>
      </c>
      <c r="J3364" s="3" t="str">
        <f>HYPERLINK("https://www.boe.es/gazeta/dias/1809/05/20/pdfs/GMD-1809-140.pdf#page=4","Abrir facsímil")</f>
        <v>Abrir facsímil</v>
      </c>
      <c r="K3364" s="3" t="s">
        <v>57</v>
      </c>
    </row>
    <row r="3365" spans="1:11" ht="42" customHeight="1">
      <c r="A3365" s="2" t="s">
        <v>8606</v>
      </c>
      <c r="B3365" s="2" t="s">
        <v>8607</v>
      </c>
      <c r="C3365" s="2" t="s">
        <v>25</v>
      </c>
      <c r="D3365" s="2" t="s">
        <v>18</v>
      </c>
      <c r="E3365" s="3" t="s">
        <v>223</v>
      </c>
      <c r="F3365" s="3" t="s">
        <v>224</v>
      </c>
      <c r="G3365" s="3" t="s">
        <v>225</v>
      </c>
      <c r="H3365" s="2" t="s">
        <v>55</v>
      </c>
      <c r="I3365" s="2" t="s">
        <v>8608</v>
      </c>
      <c r="J3365" s="3" t="str">
        <f>HYPERLINK("https://www.boe.es/gazeta/dias/1809/12/17/pdfs/GMD-1809-352.pdf#page=4","Abrir facsímil")</f>
        <v>Abrir facsímil</v>
      </c>
      <c r="K3365" s="3" t="s">
        <v>57</v>
      </c>
    </row>
    <row r="3366" spans="1:11" ht="42" customHeight="1">
      <c r="A3366" s="2" t="s">
        <v>8609</v>
      </c>
      <c r="B3366" s="2" t="s">
        <v>8610</v>
      </c>
      <c r="C3366" s="2" t="s">
        <v>17</v>
      </c>
      <c r="D3366" s="2" t="s">
        <v>18</v>
      </c>
      <c r="E3366" s="3" t="s">
        <v>220</v>
      </c>
      <c r="F3366" s="3" t="s">
        <v>221</v>
      </c>
      <c r="G3366" s="3" t="s">
        <v>154</v>
      </c>
      <c r="H3366" s="2" t="s">
        <v>55</v>
      </c>
      <c r="I3366" s="2" t="s">
        <v>8611</v>
      </c>
      <c r="J3366" s="3" t="str">
        <f>HYPERLINK("https://www.boe.es/gazeta/dias/1809/12/13/pdfs/GMD-1809-348.pdf#page=4","Abrir facsímil")</f>
        <v>Abrir facsímil</v>
      </c>
      <c r="K3366" s="3" t="s">
        <v>57</v>
      </c>
    </row>
    <row r="3367" spans="1:11" ht="42" customHeight="1">
      <c r="A3367" s="2" t="s">
        <v>8612</v>
      </c>
      <c r="B3367" s="2" t="s">
        <v>8613</v>
      </c>
      <c r="C3367" s="2" t="s">
        <v>25</v>
      </c>
      <c r="D3367" s="2" t="s">
        <v>72</v>
      </c>
      <c r="E3367" s="3" t="s">
        <v>216</v>
      </c>
      <c r="F3367" s="3" t="s">
        <v>217</v>
      </c>
      <c r="G3367" s="3" t="s">
        <v>270</v>
      </c>
      <c r="H3367" s="2" t="s">
        <v>55</v>
      </c>
      <c r="I3367" s="2" t="s">
        <v>8614</v>
      </c>
      <c r="J3367" s="3" t="str">
        <f>HYPERLINK("https://www.boe.es/gazeta/dias/1809/12/05/pdfs/GGB-H-1809-542.pdf#page=3","Abrir facsímil")</f>
        <v>Abrir facsímil</v>
      </c>
      <c r="K3367" s="3" t="s">
        <v>57</v>
      </c>
    </row>
    <row r="3368" spans="1:11" ht="42" customHeight="1">
      <c r="A3368" s="2" t="s">
        <v>8615</v>
      </c>
      <c r="B3368" s="2" t="s">
        <v>8616</v>
      </c>
      <c r="C3368" s="2" t="s">
        <v>25</v>
      </c>
      <c r="D3368" s="2" t="s">
        <v>18</v>
      </c>
      <c r="E3368" s="3" t="s">
        <v>211</v>
      </c>
      <c r="F3368" s="3" t="s">
        <v>212</v>
      </c>
      <c r="G3368" s="3" t="s">
        <v>467</v>
      </c>
      <c r="H3368" s="2" t="s">
        <v>55</v>
      </c>
      <c r="I3368" s="2" t="s">
        <v>8617</v>
      </c>
      <c r="J3368" s="3" t="str">
        <f>HYPERLINK("https://www.boe.es/gazeta/dias/1809/10/27/pdfs/GMD-1809-301.pdf#page=2","Abrir facsímil")</f>
        <v>Abrir facsímil</v>
      </c>
      <c r="K3368" s="3" t="s">
        <v>57</v>
      </c>
    </row>
    <row r="3369" spans="1:11" ht="42" customHeight="1">
      <c r="A3369" s="2" t="s">
        <v>8615</v>
      </c>
      <c r="B3369" s="2" t="s">
        <v>8616</v>
      </c>
      <c r="C3369" s="2" t="s">
        <v>39</v>
      </c>
      <c r="D3369" s="2" t="s">
        <v>18</v>
      </c>
      <c r="E3369" s="3" t="s">
        <v>394</v>
      </c>
      <c r="F3369" s="3" t="s">
        <v>2563</v>
      </c>
      <c r="G3369" s="3" t="s">
        <v>110</v>
      </c>
      <c r="H3369" s="2" t="s">
        <v>55</v>
      </c>
      <c r="I3369" s="2" t="s">
        <v>8618</v>
      </c>
      <c r="J3369" s="3" t="str">
        <f>HYPERLINK("https://www.boe.es/gazeta/dias/1809/12/14/pdfs/GMD-1809-349.pdf#page=3","Abrir facsímil")</f>
        <v>Abrir facsímil</v>
      </c>
      <c r="K3369" s="3" t="s">
        <v>57</v>
      </c>
    </row>
    <row r="3370" spans="1:11" ht="42" customHeight="1">
      <c r="A3370" s="2" t="s">
        <v>8619</v>
      </c>
      <c r="B3370" s="2" t="s">
        <v>8620</v>
      </c>
      <c r="C3370" s="2" t="s">
        <v>17</v>
      </c>
      <c r="D3370" s="2" t="s">
        <v>18</v>
      </c>
      <c r="E3370" s="3" t="s">
        <v>27</v>
      </c>
      <c r="F3370" s="3" t="s">
        <v>254</v>
      </c>
      <c r="G3370" s="3" t="s">
        <v>239</v>
      </c>
      <c r="H3370" s="2" t="s">
        <v>55</v>
      </c>
      <c r="I3370" s="2" t="s">
        <v>8621</v>
      </c>
      <c r="J3370" s="3" t="str">
        <f>HYPERLINK("https://www.boe.es/gazeta/dias/1809/05/12/pdfs/GGB-1809-26.pdf#page=11","Abrir facsímil")</f>
        <v>Abrir facsímil</v>
      </c>
      <c r="K3370" s="3" t="s">
        <v>57</v>
      </c>
    </row>
    <row r="3371" spans="1:11" ht="42" customHeight="1">
      <c r="A3371" s="2" t="s">
        <v>8622</v>
      </c>
      <c r="B3371" s="2" t="s">
        <v>8623</v>
      </c>
      <c r="C3371" s="2" t="s">
        <v>369</v>
      </c>
      <c r="D3371" s="2" t="s">
        <v>40</v>
      </c>
      <c r="E3371" s="3" t="s">
        <v>1514</v>
      </c>
      <c r="F3371" s="3" t="s">
        <v>1840</v>
      </c>
      <c r="G3371" s="3" t="s">
        <v>21</v>
      </c>
      <c r="H3371" s="2" t="s">
        <v>55</v>
      </c>
      <c r="I3371" s="2" t="s">
        <v>8624</v>
      </c>
      <c r="J3371" s="3" t="str">
        <f>HYPERLINK("https://www.boe.es/gazeta/dias/1809/04/17/pdfs/GGB-1809-19.pdf#page=12","Abrir facsímil")</f>
        <v>Abrir facsímil</v>
      </c>
      <c r="K3371" s="3" t="s">
        <v>57</v>
      </c>
    </row>
    <row r="3372" spans="1:11" ht="42" customHeight="1">
      <c r="A3372" s="2" t="s">
        <v>8625</v>
      </c>
      <c r="B3372" s="2" t="s">
        <v>8626</v>
      </c>
      <c r="C3372" s="2" t="s">
        <v>25</v>
      </c>
      <c r="D3372" s="2" t="s">
        <v>26</v>
      </c>
      <c r="E3372" s="3" t="s">
        <v>712</v>
      </c>
      <c r="F3372" s="3" t="s">
        <v>713</v>
      </c>
      <c r="G3372" s="3" t="s">
        <v>154</v>
      </c>
      <c r="H3372" s="2" t="s">
        <v>55</v>
      </c>
      <c r="I3372" s="2" t="s">
        <v>8627</v>
      </c>
      <c r="J3372" s="3" t="str">
        <f>HYPERLINK("https://www.boe.es/gazeta/dias/1809/09/10/pdfs/GMD-1809-254.pdf#page=3","Abrir facsímil")</f>
        <v>Abrir facsímil</v>
      </c>
      <c r="K3372" s="3" t="s">
        <v>57</v>
      </c>
    </row>
    <row r="3373" spans="1:11" ht="42" customHeight="1">
      <c r="A3373" s="2" t="s">
        <v>8628</v>
      </c>
      <c r="B3373" s="2" t="s">
        <v>8629</v>
      </c>
      <c r="C3373" s="2" t="s">
        <v>25</v>
      </c>
      <c r="D3373" s="2" t="s">
        <v>26</v>
      </c>
      <c r="E3373" s="3" t="s">
        <v>216</v>
      </c>
      <c r="F3373" s="3" t="s">
        <v>217</v>
      </c>
      <c r="G3373" s="3" t="s">
        <v>439</v>
      </c>
      <c r="H3373" s="2" t="s">
        <v>55</v>
      </c>
      <c r="I3373" s="2" t="s">
        <v>8630</v>
      </c>
      <c r="J3373" s="3" t="str">
        <f>HYPERLINK("https://www.boe.es/gazeta/dias/1809/12/05/pdfs/GGB-H-1809-542.pdf#page=7","Abrir facsímil")</f>
        <v>Abrir facsímil</v>
      </c>
      <c r="K3373" s="3" t="s">
        <v>57</v>
      </c>
    </row>
    <row r="3374" spans="1:11" ht="42" customHeight="1">
      <c r="A3374" s="2" t="s">
        <v>8631</v>
      </c>
      <c r="B3374" s="2" t="s">
        <v>8632</v>
      </c>
      <c r="C3374" s="2" t="s">
        <v>131</v>
      </c>
      <c r="D3374" s="2" t="s">
        <v>26</v>
      </c>
      <c r="E3374" s="3" t="s">
        <v>190</v>
      </c>
      <c r="F3374" s="3" t="s">
        <v>3283</v>
      </c>
      <c r="G3374" s="3" t="s">
        <v>21</v>
      </c>
      <c r="H3374" s="2" t="s">
        <v>55</v>
      </c>
      <c r="I3374" s="2" t="s">
        <v>8633</v>
      </c>
      <c r="J3374" s="3" t="str">
        <f>HYPERLINK("https://www.boe.es/gazeta/dias/1809/10/14/pdfs/GMD-1809-288.pdf#page=3","Abrir facsímil")</f>
        <v>Abrir facsímil</v>
      </c>
      <c r="K3374" s="3" t="s">
        <v>57</v>
      </c>
    </row>
    <row r="3375" spans="1:11" ht="42" customHeight="1">
      <c r="A3375" s="2" t="s">
        <v>8634</v>
      </c>
      <c r="B3375" s="2" t="s">
        <v>8634</v>
      </c>
      <c r="C3375" s="2" t="s">
        <v>25</v>
      </c>
      <c r="D3375" s="2" t="s">
        <v>18</v>
      </c>
      <c r="E3375" s="3" t="s">
        <v>211</v>
      </c>
      <c r="F3375" s="3" t="s">
        <v>212</v>
      </c>
      <c r="G3375" s="3" t="s">
        <v>872</v>
      </c>
      <c r="H3375" s="2" t="s">
        <v>55</v>
      </c>
      <c r="I3375" s="2" t="s">
        <v>8635</v>
      </c>
      <c r="J3375" s="3" t="str">
        <f>HYPERLINK("https://www.boe.es/gazeta/dias/1809/10/27/pdfs/GMD-1809-301.pdf#page=1","Abrir facsímil")</f>
        <v>Abrir facsímil</v>
      </c>
      <c r="K3375" s="3" t="s">
        <v>57</v>
      </c>
    </row>
    <row r="3376" spans="1:11" ht="42" customHeight="1">
      <c r="A3376" s="2" t="s">
        <v>8634</v>
      </c>
      <c r="B3376" s="2" t="s">
        <v>8634</v>
      </c>
      <c r="C3376" s="2" t="s">
        <v>25</v>
      </c>
      <c r="D3376" s="2" t="s">
        <v>26</v>
      </c>
      <c r="E3376" s="3" t="s">
        <v>771</v>
      </c>
      <c r="F3376" s="3" t="s">
        <v>772</v>
      </c>
      <c r="G3376" s="3" t="s">
        <v>2251</v>
      </c>
      <c r="H3376" s="2" t="s">
        <v>55</v>
      </c>
      <c r="I3376" s="2" t="s">
        <v>8636</v>
      </c>
      <c r="J3376" s="3" t="str">
        <f>HYPERLINK("https://www.boe.es/gazeta/dias/1809/10/31/pdfs/GGB-1809-392.pdf#page=6","Abrir facsímil")</f>
        <v>Abrir facsímil</v>
      </c>
      <c r="K3376" s="3" t="s">
        <v>57</v>
      </c>
    </row>
    <row r="3377" spans="1:11" ht="42" customHeight="1">
      <c r="A3377" s="2" t="s">
        <v>8634</v>
      </c>
      <c r="B3377" s="2" t="s">
        <v>8634</v>
      </c>
      <c r="C3377" s="2" t="s">
        <v>25</v>
      </c>
      <c r="D3377" s="2" t="s">
        <v>26</v>
      </c>
      <c r="E3377" s="3" t="s">
        <v>216</v>
      </c>
      <c r="F3377" s="3" t="s">
        <v>217</v>
      </c>
      <c r="G3377" s="3" t="s">
        <v>154</v>
      </c>
      <c r="H3377" s="2" t="s">
        <v>55</v>
      </c>
      <c r="I3377" s="2" t="s">
        <v>8637</v>
      </c>
      <c r="J3377" s="3" t="str">
        <f>HYPERLINK("https://www.boe.es/gazeta/dias/1809/12/05/pdfs/GGB-H-1809-542.pdf#page=1","Abrir facsímil")</f>
        <v>Abrir facsímil</v>
      </c>
      <c r="K3377" s="3" t="s">
        <v>57</v>
      </c>
    </row>
    <row r="3378" spans="1:11" ht="42" customHeight="1">
      <c r="A3378" s="2" t="s">
        <v>8634</v>
      </c>
      <c r="B3378" s="2" t="s">
        <v>8634</v>
      </c>
      <c r="C3378" s="2" t="s">
        <v>25</v>
      </c>
      <c r="D3378" s="2" t="s">
        <v>18</v>
      </c>
      <c r="E3378" s="3" t="s">
        <v>223</v>
      </c>
      <c r="F3378" s="3" t="s">
        <v>224</v>
      </c>
      <c r="G3378" s="3" t="s">
        <v>75</v>
      </c>
      <c r="H3378" s="2" t="s">
        <v>55</v>
      </c>
      <c r="I3378" s="2" t="s">
        <v>8638</v>
      </c>
      <c r="J3378" s="3" t="str">
        <f>HYPERLINK("https://www.boe.es/gazeta/dias/1809/12/17/pdfs/GMD-1809-352.pdf#page=3","Abrir facsímil")</f>
        <v>Abrir facsímil</v>
      </c>
      <c r="K3378" s="3" t="s">
        <v>57</v>
      </c>
    </row>
    <row r="3379" spans="1:11" ht="42" customHeight="1">
      <c r="A3379" s="2" t="s">
        <v>8639</v>
      </c>
      <c r="B3379" s="2" t="s">
        <v>8639</v>
      </c>
      <c r="C3379" s="2" t="s">
        <v>131</v>
      </c>
      <c r="D3379" s="2" t="s">
        <v>40</v>
      </c>
      <c r="E3379" s="3" t="s">
        <v>536</v>
      </c>
      <c r="F3379" s="3" t="s">
        <v>537</v>
      </c>
      <c r="G3379" s="3" t="s">
        <v>29</v>
      </c>
      <c r="H3379" s="2" t="s">
        <v>55</v>
      </c>
      <c r="I3379" s="2" t="s">
        <v>8640</v>
      </c>
      <c r="J3379" s="3" t="str">
        <f>HYPERLINK("https://www.boe.es/gazeta/dias/1809/09/03/pdfs/GMD-1809-247.pdf#page=3","Abrir facsímil")</f>
        <v>Abrir facsímil</v>
      </c>
      <c r="K3379" s="3" t="s">
        <v>57</v>
      </c>
    </row>
    <row r="3380" spans="1:11" ht="42" customHeight="1">
      <c r="A3380" s="2" t="s">
        <v>8641</v>
      </c>
      <c r="B3380" s="2" t="s">
        <v>8642</v>
      </c>
      <c r="C3380" s="2" t="s">
        <v>17</v>
      </c>
      <c r="D3380" s="2" t="s">
        <v>80</v>
      </c>
      <c r="E3380" s="3" t="s">
        <v>5751</v>
      </c>
      <c r="F3380" s="3" t="s">
        <v>5752</v>
      </c>
      <c r="G3380" s="3" t="s">
        <v>75</v>
      </c>
      <c r="H3380" s="2" t="s">
        <v>55</v>
      </c>
      <c r="I3380" s="2" t="s">
        <v>8643</v>
      </c>
      <c r="J3380" s="3" t="str">
        <f>HYPERLINK("https://www.boe.es/gazeta/dias/1809/01/23/pdfs/GGB-1809-4E.pdf#page=4","Abrir facsímil")</f>
        <v>Abrir facsímil</v>
      </c>
      <c r="K3380" s="3" t="s">
        <v>57</v>
      </c>
    </row>
    <row r="3381" spans="1:11" ht="42" customHeight="1">
      <c r="A3381" s="2" t="s">
        <v>8644</v>
      </c>
      <c r="B3381" s="2" t="s">
        <v>8645</v>
      </c>
      <c r="C3381" s="2" t="s">
        <v>25</v>
      </c>
      <c r="D3381" s="2" t="s">
        <v>26</v>
      </c>
      <c r="E3381" s="3" t="s">
        <v>211</v>
      </c>
      <c r="F3381" s="3" t="s">
        <v>212</v>
      </c>
      <c r="G3381" s="3" t="s">
        <v>213</v>
      </c>
      <c r="H3381" s="2" t="s">
        <v>55</v>
      </c>
      <c r="I3381" s="2" t="s">
        <v>8646</v>
      </c>
      <c r="J3381" s="3" t="str">
        <f>HYPERLINK("https://www.boe.es/gazeta/dias/1809/10/27/pdfs/GMD-1809-301.pdf#page=4","Abrir facsímil")</f>
        <v>Abrir facsímil</v>
      </c>
      <c r="K3381" s="3" t="s">
        <v>57</v>
      </c>
    </row>
    <row r="3382" spans="1:11" ht="42" customHeight="1">
      <c r="A3382" s="2" t="s">
        <v>8647</v>
      </c>
      <c r="B3382" s="2" t="s">
        <v>8648</v>
      </c>
      <c r="C3382" s="2" t="s">
        <v>25</v>
      </c>
      <c r="D3382" s="2" t="s">
        <v>80</v>
      </c>
      <c r="E3382" s="3" t="s">
        <v>1700</v>
      </c>
      <c r="F3382" s="3" t="s">
        <v>1701</v>
      </c>
      <c r="G3382" s="3" t="s">
        <v>349</v>
      </c>
      <c r="H3382" s="2" t="s">
        <v>55</v>
      </c>
      <c r="I3382" s="2" t="s">
        <v>8649</v>
      </c>
      <c r="J3382" s="3" t="str">
        <f>HYPERLINK("https://www.boe.es/gazeta/dias/1809/01/16/pdfs/GGB-1809-3E.pdf#page=3","Abrir facsímil")</f>
        <v>Abrir facsímil</v>
      </c>
      <c r="K3382" s="3" t="s">
        <v>57</v>
      </c>
    </row>
    <row r="3383" spans="1:11" ht="42" customHeight="1">
      <c r="A3383" s="2" t="s">
        <v>8650</v>
      </c>
      <c r="B3383" s="2" t="s">
        <v>8650</v>
      </c>
      <c r="C3383" s="2" t="s">
        <v>25</v>
      </c>
      <c r="D3383" s="2" t="s">
        <v>26</v>
      </c>
      <c r="E3383" s="3" t="s">
        <v>883</v>
      </c>
      <c r="F3383" s="3" t="s">
        <v>5874</v>
      </c>
      <c r="G3383" s="3" t="s">
        <v>5875</v>
      </c>
      <c r="H3383" s="2" t="s">
        <v>55</v>
      </c>
      <c r="I3383" s="2" t="s">
        <v>8651</v>
      </c>
      <c r="J3383" s="3" t="str">
        <f>HYPERLINK("https://www.boe.es/gazeta/dias/1809/12/21/pdfs/GGB-1809-612.pdf#page=4","Abrir facsímil")</f>
        <v>Abrir facsímil</v>
      </c>
      <c r="K3383" s="3" t="s">
        <v>57</v>
      </c>
    </row>
    <row r="3384" spans="1:11" ht="42" customHeight="1">
      <c r="A3384" s="2" t="s">
        <v>8652</v>
      </c>
      <c r="B3384" s="2" t="s">
        <v>8652</v>
      </c>
      <c r="C3384" s="2" t="s">
        <v>25</v>
      </c>
      <c r="D3384" s="2" t="s">
        <v>18</v>
      </c>
      <c r="E3384" s="3" t="s">
        <v>211</v>
      </c>
      <c r="F3384" s="3" t="s">
        <v>212</v>
      </c>
      <c r="G3384" s="3" t="s">
        <v>467</v>
      </c>
      <c r="H3384" s="2" t="s">
        <v>55</v>
      </c>
      <c r="I3384" s="2" t="s">
        <v>8653</v>
      </c>
      <c r="J3384" s="3" t="str">
        <f>HYPERLINK("https://www.boe.es/gazeta/dias/1809/10/27/pdfs/GMD-1809-301.pdf#page=2","Abrir facsímil")</f>
        <v>Abrir facsímil</v>
      </c>
      <c r="K3384" s="3" t="s">
        <v>57</v>
      </c>
    </row>
    <row r="3385" spans="1:11" ht="42" customHeight="1">
      <c r="A3385" s="2" t="s">
        <v>8652</v>
      </c>
      <c r="B3385" s="2" t="s">
        <v>8652</v>
      </c>
      <c r="C3385" s="2" t="s">
        <v>25</v>
      </c>
      <c r="D3385" s="2" t="s">
        <v>72</v>
      </c>
      <c r="E3385" s="3" t="s">
        <v>216</v>
      </c>
      <c r="F3385" s="3" t="s">
        <v>217</v>
      </c>
      <c r="G3385" s="3" t="s">
        <v>75</v>
      </c>
      <c r="H3385" s="2" t="s">
        <v>55</v>
      </c>
      <c r="I3385" s="2" t="s">
        <v>8654</v>
      </c>
      <c r="J3385" s="3" t="str">
        <f>HYPERLINK("https://www.boe.es/gazeta/dias/1809/12/05/pdfs/GGB-H-1809-542.pdf#page=2","Abrir facsímil")</f>
        <v>Abrir facsímil</v>
      </c>
      <c r="K3385" s="3" t="s">
        <v>57</v>
      </c>
    </row>
    <row r="3386" spans="1:11" ht="42" customHeight="1">
      <c r="A3386" s="2" t="s">
        <v>8655</v>
      </c>
      <c r="B3386" s="2" t="s">
        <v>8655</v>
      </c>
      <c r="C3386" s="2" t="s">
        <v>17</v>
      </c>
      <c r="D3386" s="2" t="s">
        <v>40</v>
      </c>
      <c r="E3386" s="3" t="s">
        <v>814</v>
      </c>
      <c r="F3386" s="3" t="s">
        <v>2095</v>
      </c>
      <c r="G3386" s="3" t="s">
        <v>239</v>
      </c>
      <c r="H3386" s="2" t="s">
        <v>55</v>
      </c>
      <c r="I3386" s="2" t="s">
        <v>8656</v>
      </c>
      <c r="J3386" s="3" t="str">
        <f>HYPERLINK("https://www.boe.es/gazeta/dias/1809/12/09/pdfs/GMD-1809-344.pdf#page=1","Abrir facsímil")</f>
        <v>Abrir facsímil</v>
      </c>
      <c r="K3386" s="3" t="s">
        <v>57</v>
      </c>
    </row>
    <row r="3387" spans="1:11" ht="42" customHeight="1">
      <c r="A3387" s="2" t="s">
        <v>8657</v>
      </c>
      <c r="B3387" s="2" t="s">
        <v>8658</v>
      </c>
      <c r="C3387" s="2" t="s">
        <v>17</v>
      </c>
      <c r="D3387" s="2" t="s">
        <v>18</v>
      </c>
      <c r="E3387" s="3" t="s">
        <v>243</v>
      </c>
      <c r="F3387" s="3" t="s">
        <v>735</v>
      </c>
      <c r="G3387" s="3" t="s">
        <v>3928</v>
      </c>
      <c r="H3387" s="2" t="s">
        <v>55</v>
      </c>
      <c r="I3387" s="2" t="s">
        <v>8659</v>
      </c>
      <c r="J3387" s="3" t="str">
        <f>HYPERLINK("https://www.boe.es/gazeta/dias/1809/02/17/pdfs/GGB-1809-8.pdf#page=6","Abrir facsímil")</f>
        <v>Abrir facsímil</v>
      </c>
      <c r="K3387" s="3" t="s">
        <v>57</v>
      </c>
    </row>
    <row r="3388" spans="1:11" ht="42" customHeight="1">
      <c r="A3388" s="2" t="s">
        <v>8660</v>
      </c>
      <c r="B3388" s="2" t="s">
        <v>8660</v>
      </c>
      <c r="C3388" s="2" t="s">
        <v>25</v>
      </c>
      <c r="D3388" s="2" t="s">
        <v>107</v>
      </c>
      <c r="E3388" s="3" t="s">
        <v>113</v>
      </c>
      <c r="F3388" s="3" t="s">
        <v>3549</v>
      </c>
      <c r="G3388" s="3" t="s">
        <v>62</v>
      </c>
      <c r="H3388" s="2" t="s">
        <v>55</v>
      </c>
      <c r="I3388" s="2" t="s">
        <v>8661</v>
      </c>
      <c r="J3388" s="3" t="str">
        <f>HYPERLINK("https://www.boe.es/gazeta/dias/1809/04/24/pdfs/GGB-G-1809-21.pdf#page=1","Abrir facsímil")</f>
        <v>Abrir facsímil</v>
      </c>
      <c r="K3388" s="3" t="s">
        <v>57</v>
      </c>
    </row>
    <row r="3389" spans="1:11" ht="42" customHeight="1">
      <c r="A3389" s="2" t="s">
        <v>8660</v>
      </c>
      <c r="B3389" s="2" t="s">
        <v>8660</v>
      </c>
      <c r="C3389" s="2" t="s">
        <v>25</v>
      </c>
      <c r="D3389" s="2" t="s">
        <v>26</v>
      </c>
      <c r="E3389" s="3" t="s">
        <v>2395</v>
      </c>
      <c r="F3389" s="3" t="s">
        <v>3941</v>
      </c>
      <c r="G3389" s="3" t="s">
        <v>270</v>
      </c>
      <c r="H3389" s="2" t="s">
        <v>55</v>
      </c>
      <c r="I3389" s="2" t="s">
        <v>8662</v>
      </c>
      <c r="J3389" s="3" t="str">
        <f>HYPERLINK("https://www.boe.es/gazeta/dias/1809/07/14/pdfs/GGB-1809-45.pdf#page=6","Abrir facsímil")</f>
        <v>Abrir facsímil</v>
      </c>
      <c r="K3389" s="3" t="s">
        <v>57</v>
      </c>
    </row>
    <row r="3390" spans="1:11" ht="42" customHeight="1">
      <c r="A3390" s="2" t="s">
        <v>8660</v>
      </c>
      <c r="B3390" s="2" t="s">
        <v>8660</v>
      </c>
      <c r="C3390" s="2" t="s">
        <v>25</v>
      </c>
      <c r="D3390" s="2" t="s">
        <v>107</v>
      </c>
      <c r="E3390" s="3" t="s">
        <v>1865</v>
      </c>
      <c r="F3390" s="3" t="s">
        <v>1866</v>
      </c>
      <c r="G3390" s="3" t="s">
        <v>426</v>
      </c>
      <c r="H3390" s="2" t="s">
        <v>55</v>
      </c>
      <c r="I3390" s="2" t="s">
        <v>8663</v>
      </c>
      <c r="J3390" s="3" t="str">
        <f>HYPERLINK("https://www.boe.es/gazeta/dias/1809/08/08/pdfs/GGB-1809-32.pdf#page=1","Abrir facsímil")</f>
        <v>Abrir facsímil</v>
      </c>
      <c r="K3390" s="3" t="s">
        <v>57</v>
      </c>
    </row>
    <row r="3391" spans="1:11" ht="42" customHeight="1">
      <c r="A3391" s="2" t="s">
        <v>8660</v>
      </c>
      <c r="B3391" s="2" t="s">
        <v>8660</v>
      </c>
      <c r="C3391" s="2" t="s">
        <v>17</v>
      </c>
      <c r="D3391" s="2" t="s">
        <v>18</v>
      </c>
      <c r="E3391" s="3" t="s">
        <v>8135</v>
      </c>
      <c r="F3391" s="3" t="s">
        <v>8136</v>
      </c>
      <c r="G3391" s="3" t="s">
        <v>396</v>
      </c>
      <c r="H3391" s="2" t="s">
        <v>55</v>
      </c>
      <c r="I3391" s="2" t="s">
        <v>8664</v>
      </c>
      <c r="J3391" s="3" t="str">
        <f>HYPERLINK("https://www.boe.es/gazeta/dias/1809/11/03/pdfs/GMD-1809-308.pdf#page=3","Abrir facsímil")</f>
        <v>Abrir facsímil</v>
      </c>
      <c r="K3391" s="3" t="s">
        <v>57</v>
      </c>
    </row>
    <row r="3392" spans="1:11" ht="42" customHeight="1">
      <c r="A3392" s="2" t="s">
        <v>8660</v>
      </c>
      <c r="B3392" s="2" t="s">
        <v>8660</v>
      </c>
      <c r="C3392" s="2" t="s">
        <v>131</v>
      </c>
      <c r="D3392" s="2" t="s">
        <v>18</v>
      </c>
      <c r="E3392" s="3" t="s">
        <v>1132</v>
      </c>
      <c r="F3392" s="3" t="s">
        <v>1133</v>
      </c>
      <c r="G3392" s="3" t="s">
        <v>8398</v>
      </c>
      <c r="H3392" s="2" t="s">
        <v>55</v>
      </c>
      <c r="I3392" s="2" t="s">
        <v>8665</v>
      </c>
      <c r="J3392" s="3" t="str">
        <f>HYPERLINK("https://www.boe.es/gazeta/dias/1809/11/11/pdfs/GGB-1809-442.pdf#page=4","Abrir facsímil")</f>
        <v>Abrir facsímil</v>
      </c>
      <c r="K3392" s="3" t="s">
        <v>57</v>
      </c>
    </row>
    <row r="3393" spans="1:11" ht="42" customHeight="1">
      <c r="A3393" s="2" t="s">
        <v>8660</v>
      </c>
      <c r="B3393" s="2" t="s">
        <v>8660</v>
      </c>
      <c r="C3393" s="2" t="s">
        <v>25</v>
      </c>
      <c r="D3393" s="2" t="s">
        <v>18</v>
      </c>
      <c r="E3393" s="3" t="s">
        <v>3431</v>
      </c>
      <c r="F3393" s="3" t="s">
        <v>3432</v>
      </c>
      <c r="G3393" s="3" t="s">
        <v>416</v>
      </c>
      <c r="H3393" s="2" t="s">
        <v>55</v>
      </c>
      <c r="I3393" s="2" t="s">
        <v>8666</v>
      </c>
      <c r="J3393" s="3" t="str">
        <f>HYPERLINK("https://www.boe.es/gazeta/dias/1809/12/18/pdfs/GMD-1809-353.pdf#page=2","Abrir facsímil")</f>
        <v>Abrir facsímil</v>
      </c>
      <c r="K3393" s="3" t="s">
        <v>57</v>
      </c>
    </row>
    <row r="3394" spans="1:11" ht="42" customHeight="1">
      <c r="A3394" s="2" t="s">
        <v>8667</v>
      </c>
      <c r="B3394" s="2" t="s">
        <v>8668</v>
      </c>
      <c r="C3394" s="2" t="s">
        <v>25</v>
      </c>
      <c r="D3394" s="2" t="s">
        <v>18</v>
      </c>
      <c r="E3394" s="3" t="s">
        <v>1011</v>
      </c>
      <c r="F3394" s="3" t="s">
        <v>1012</v>
      </c>
      <c r="G3394" s="3" t="s">
        <v>693</v>
      </c>
      <c r="H3394" s="2" t="s">
        <v>55</v>
      </c>
      <c r="I3394" s="2" t="s">
        <v>8669</v>
      </c>
      <c r="J3394" s="3" t="str">
        <f>HYPERLINK("https://www.boe.es/gazeta/dias/1809/08/01/pdfs/GGB-1809-50.pdf#page=9","Abrir facsímil")</f>
        <v>Abrir facsímil</v>
      </c>
      <c r="K3394" s="3" t="s">
        <v>57</v>
      </c>
    </row>
    <row r="3395" spans="1:11" ht="42" customHeight="1">
      <c r="A3395" s="2" t="s">
        <v>8670</v>
      </c>
      <c r="B3395" s="2" t="s">
        <v>8671</v>
      </c>
      <c r="C3395" s="2" t="s">
        <v>17</v>
      </c>
      <c r="D3395" s="2" t="s">
        <v>18</v>
      </c>
      <c r="E3395" s="3" t="s">
        <v>33</v>
      </c>
      <c r="F3395" s="3" t="s">
        <v>34</v>
      </c>
      <c r="G3395" s="3" t="s">
        <v>595</v>
      </c>
      <c r="H3395" s="2" t="s">
        <v>55</v>
      </c>
      <c r="I3395" s="2" t="s">
        <v>8672</v>
      </c>
      <c r="J3395" s="3" t="str">
        <f>HYPERLINK("https://www.boe.es/gazeta/dias/1809/12/19/pdfs/GGB-1809-602.pdf#page=7","Abrir facsímil")</f>
        <v>Abrir facsímil</v>
      </c>
      <c r="K3395" s="3" t="s">
        <v>57</v>
      </c>
    </row>
    <row r="3396" spans="1:11" ht="42" customHeight="1">
      <c r="A3396" s="2" t="s">
        <v>8673</v>
      </c>
      <c r="B3396" s="2" t="s">
        <v>8674</v>
      </c>
      <c r="C3396" s="2" t="s">
        <v>39</v>
      </c>
      <c r="D3396" s="2" t="s">
        <v>72</v>
      </c>
      <c r="E3396" s="3" t="s">
        <v>635</v>
      </c>
      <c r="F3396" s="3" t="s">
        <v>2073</v>
      </c>
      <c r="G3396" s="3" t="s">
        <v>2074</v>
      </c>
      <c r="H3396" s="2" t="s">
        <v>55</v>
      </c>
      <c r="I3396" s="2" t="s">
        <v>8675</v>
      </c>
      <c r="J3396" s="3" t="str">
        <f>HYPERLINK("https://www.boe.es/gazeta/dias/1809/12/16/pdfs/GGB-H-1809-592.pdf#page=7","Abrir facsímil")</f>
        <v>Abrir facsímil</v>
      </c>
      <c r="K3396" s="3" t="s">
        <v>57</v>
      </c>
    </row>
    <row r="3397" spans="1:11" ht="42" customHeight="1">
      <c r="A3397" s="2" t="s">
        <v>8676</v>
      </c>
      <c r="B3397" s="2" t="s">
        <v>8677</v>
      </c>
      <c r="C3397" s="2" t="s">
        <v>39</v>
      </c>
      <c r="D3397" s="2" t="s">
        <v>72</v>
      </c>
      <c r="E3397" s="3" t="s">
        <v>635</v>
      </c>
      <c r="F3397" s="3" t="s">
        <v>2073</v>
      </c>
      <c r="G3397" s="3" t="s">
        <v>2074</v>
      </c>
      <c r="H3397" s="2" t="s">
        <v>55</v>
      </c>
      <c r="I3397" s="2" t="s">
        <v>8678</v>
      </c>
      <c r="J3397" s="3" t="str">
        <f>HYPERLINK("https://www.boe.es/gazeta/dias/1809/12/16/pdfs/GGB-H-1809-592.pdf#page=7","Abrir facsímil")</f>
        <v>Abrir facsímil</v>
      </c>
      <c r="K3397" s="3" t="s">
        <v>57</v>
      </c>
    </row>
    <row r="3398" spans="1:11" ht="42" customHeight="1">
      <c r="A3398" s="2" t="s">
        <v>8679</v>
      </c>
      <c r="B3398" s="2" t="s">
        <v>8680</v>
      </c>
      <c r="C3398" s="2" t="s">
        <v>17</v>
      </c>
      <c r="D3398" s="2" t="s">
        <v>72</v>
      </c>
      <c r="E3398" s="3" t="s">
        <v>695</v>
      </c>
      <c r="F3398" s="3" t="s">
        <v>1658</v>
      </c>
      <c r="G3398" s="3" t="s">
        <v>2444</v>
      </c>
      <c r="H3398" s="2" t="s">
        <v>55</v>
      </c>
      <c r="I3398" s="2" t="s">
        <v>8681</v>
      </c>
      <c r="J3398" s="3" t="str">
        <f>HYPERLINK("https://www.boe.es/gazeta/dias/1809/10/24/pdfs/GGB-H-1809-362.pdf#page=5","Abrir facsímil")</f>
        <v>Abrir facsímil</v>
      </c>
      <c r="K3398" s="3" t="s">
        <v>57</v>
      </c>
    </row>
    <row r="3399" spans="1:11" ht="42" customHeight="1">
      <c r="A3399" s="2" t="s">
        <v>8682</v>
      </c>
      <c r="B3399" s="2" t="s">
        <v>8682</v>
      </c>
      <c r="C3399" s="2" t="s">
        <v>25</v>
      </c>
      <c r="D3399" s="2" t="s">
        <v>26</v>
      </c>
      <c r="E3399" s="3" t="s">
        <v>6100</v>
      </c>
      <c r="F3399" s="3" t="s">
        <v>6101</v>
      </c>
      <c r="G3399" s="3" t="s">
        <v>2751</v>
      </c>
      <c r="H3399" s="2" t="s">
        <v>55</v>
      </c>
      <c r="I3399" s="2" t="s">
        <v>8683</v>
      </c>
      <c r="J3399" s="3" t="str">
        <f>HYPERLINK("https://www.boe.es/gazeta/dias/1809/01/21/pdfs/GMD-1809-21.pdf#page=1","Abrir facsímil")</f>
        <v>Abrir facsímil</v>
      </c>
      <c r="K3399" s="3" t="s">
        <v>57</v>
      </c>
    </row>
    <row r="3400" spans="1:11" ht="42" customHeight="1">
      <c r="A3400" s="2" t="s">
        <v>8684</v>
      </c>
      <c r="B3400" s="2" t="s">
        <v>8685</v>
      </c>
      <c r="C3400" s="2" t="s">
        <v>25</v>
      </c>
      <c r="D3400" s="2" t="s">
        <v>26</v>
      </c>
      <c r="E3400" s="3" t="s">
        <v>1226</v>
      </c>
      <c r="F3400" s="3" t="s">
        <v>1566</v>
      </c>
      <c r="G3400" s="3" t="s">
        <v>8686</v>
      </c>
      <c r="H3400" s="2" t="s">
        <v>55</v>
      </c>
      <c r="I3400" s="2" t="s">
        <v>8687</v>
      </c>
      <c r="J3400" s="3" t="str">
        <f>HYPERLINK("https://www.boe.es/gazeta/dias/1809/11/09/pdfs/GGB-1809-432.pdf#page=6","Abrir facsímil")</f>
        <v>Abrir facsímil</v>
      </c>
      <c r="K3400" s="3" t="s">
        <v>57</v>
      </c>
    </row>
    <row r="3401" spans="1:11" ht="42" customHeight="1">
      <c r="A3401" s="2" t="s">
        <v>8688</v>
      </c>
      <c r="B3401" s="2" t="s">
        <v>8689</v>
      </c>
      <c r="C3401" s="2" t="s">
        <v>17</v>
      </c>
      <c r="D3401" s="2" t="s">
        <v>18</v>
      </c>
      <c r="E3401" s="3" t="s">
        <v>712</v>
      </c>
      <c r="F3401" s="3" t="s">
        <v>713</v>
      </c>
      <c r="G3401" s="3" t="s">
        <v>154</v>
      </c>
      <c r="H3401" s="2" t="s">
        <v>55</v>
      </c>
      <c r="I3401" s="2" t="s">
        <v>8690</v>
      </c>
      <c r="J3401" s="3" t="str">
        <f>HYPERLINK("https://www.boe.es/gazeta/dias/1809/09/10/pdfs/GMD-1809-254.pdf#page=3","Abrir facsímil")</f>
        <v>Abrir facsímil</v>
      </c>
      <c r="K3401" s="3" t="s">
        <v>57</v>
      </c>
    </row>
    <row r="3402" spans="1:11" ht="42" customHeight="1">
      <c r="A3402" s="2" t="s">
        <v>8691</v>
      </c>
      <c r="B3402" s="2" t="s">
        <v>8692</v>
      </c>
      <c r="C3402" s="2" t="s">
        <v>17</v>
      </c>
      <c r="D3402" s="2" t="s">
        <v>18</v>
      </c>
      <c r="E3402" s="3" t="s">
        <v>1468</v>
      </c>
      <c r="F3402" s="3" t="s">
        <v>1469</v>
      </c>
      <c r="G3402" s="3" t="s">
        <v>595</v>
      </c>
      <c r="H3402" s="2" t="s">
        <v>55</v>
      </c>
      <c r="I3402" s="2" t="s">
        <v>8693</v>
      </c>
      <c r="J3402" s="3" t="str">
        <f>HYPERLINK("https://www.boe.es/gazeta/dias/1809/02/12/pdfs/GMD-1809-43.pdf#page=7","Abrir facsímil")</f>
        <v>Abrir facsímil</v>
      </c>
      <c r="K3402" s="3" t="s">
        <v>57</v>
      </c>
    </row>
    <row r="3403" spans="1:11" ht="42" customHeight="1">
      <c r="A3403" s="2" t="s">
        <v>8694</v>
      </c>
      <c r="B3403" s="2" t="s">
        <v>8694</v>
      </c>
      <c r="C3403" s="2" t="s">
        <v>79</v>
      </c>
      <c r="D3403" s="2" t="s">
        <v>18</v>
      </c>
      <c r="E3403" s="3" t="s">
        <v>258</v>
      </c>
      <c r="F3403" s="3" t="s">
        <v>259</v>
      </c>
      <c r="G3403" s="3" t="s">
        <v>4638</v>
      </c>
      <c r="H3403" s="2" t="s">
        <v>55</v>
      </c>
      <c r="I3403" s="2" t="s">
        <v>8695</v>
      </c>
      <c r="J3403" s="3" t="str">
        <f>HYPERLINK("https://www.boe.es/gazeta/dias/1809/03/17/pdfs/GMD-1809-76.pdf#page=4","Abrir facsímil")</f>
        <v>Abrir facsímil</v>
      </c>
      <c r="K3403" s="3" t="s">
        <v>57</v>
      </c>
    </row>
    <row r="3404" spans="1:11" ht="42" customHeight="1">
      <c r="A3404" s="2" t="s">
        <v>8694</v>
      </c>
      <c r="B3404" s="2" t="s">
        <v>8694</v>
      </c>
      <c r="C3404" s="2" t="s">
        <v>47</v>
      </c>
      <c r="D3404" s="2" t="s">
        <v>40</v>
      </c>
      <c r="E3404" s="3" t="s">
        <v>7514</v>
      </c>
      <c r="F3404" s="3" t="s">
        <v>7515</v>
      </c>
      <c r="G3404" s="3" t="s">
        <v>623</v>
      </c>
      <c r="H3404" s="2" t="s">
        <v>55</v>
      </c>
      <c r="I3404" s="2" t="s">
        <v>8696</v>
      </c>
      <c r="J3404" s="3" t="str">
        <f>HYPERLINK("https://www.boe.es/gazeta/dias/1809/10/17/pdfs/GGB-1809-332.pdf#page=6","Abrir facsímil")</f>
        <v>Abrir facsímil</v>
      </c>
      <c r="K3404" s="3" t="s">
        <v>57</v>
      </c>
    </row>
    <row r="3405" spans="1:11" ht="42" customHeight="1">
      <c r="A3405" s="2" t="s">
        <v>8694</v>
      </c>
      <c r="B3405" s="2" t="s">
        <v>8694</v>
      </c>
      <c r="C3405" s="2" t="s">
        <v>25</v>
      </c>
      <c r="D3405" s="2" t="s">
        <v>18</v>
      </c>
      <c r="E3405" s="3" t="s">
        <v>211</v>
      </c>
      <c r="F3405" s="3" t="s">
        <v>212</v>
      </c>
      <c r="G3405" s="3" t="s">
        <v>29</v>
      </c>
      <c r="H3405" s="2" t="s">
        <v>55</v>
      </c>
      <c r="I3405" s="2" t="s">
        <v>8697</v>
      </c>
      <c r="J3405" s="3" t="str">
        <f>HYPERLINK("https://www.boe.es/gazeta/dias/1809/10/27/pdfs/GMD-1809-301.pdf#page=3","Abrir facsímil")</f>
        <v>Abrir facsímil</v>
      </c>
      <c r="K3405" s="3" t="s">
        <v>57</v>
      </c>
    </row>
    <row r="3406" spans="1:11" ht="42" customHeight="1">
      <c r="A3406" s="2" t="s">
        <v>8694</v>
      </c>
      <c r="B3406" s="2" t="s">
        <v>8694</v>
      </c>
      <c r="C3406" s="2" t="s">
        <v>25</v>
      </c>
      <c r="D3406" s="2" t="s">
        <v>26</v>
      </c>
      <c r="E3406" s="3" t="s">
        <v>216</v>
      </c>
      <c r="F3406" s="3" t="s">
        <v>217</v>
      </c>
      <c r="G3406" s="3" t="s">
        <v>587</v>
      </c>
      <c r="H3406" s="2" t="s">
        <v>55</v>
      </c>
      <c r="I3406" s="2" t="s">
        <v>8698</v>
      </c>
      <c r="J3406" s="3" t="str">
        <f>HYPERLINK("https://www.boe.es/gazeta/dias/1809/12/05/pdfs/GGB-H-1809-542.pdf#page=4","Abrir facsímil")</f>
        <v>Abrir facsímil</v>
      </c>
      <c r="K3406" s="3" t="s">
        <v>57</v>
      </c>
    </row>
    <row r="3407" spans="1:11" ht="42" customHeight="1">
      <c r="A3407" s="2" t="s">
        <v>8699</v>
      </c>
      <c r="B3407" s="2" t="s">
        <v>8700</v>
      </c>
      <c r="C3407" s="2" t="s">
        <v>79</v>
      </c>
      <c r="D3407" s="2" t="s">
        <v>40</v>
      </c>
      <c r="E3407" s="3" t="s">
        <v>327</v>
      </c>
      <c r="F3407" s="3" t="s">
        <v>328</v>
      </c>
      <c r="G3407" s="3" t="s">
        <v>1765</v>
      </c>
      <c r="H3407" s="2" t="s">
        <v>55</v>
      </c>
      <c r="I3407" s="2" t="s">
        <v>8701</v>
      </c>
      <c r="J3407" s="3" t="str">
        <f>HYPERLINK("https://www.boe.es/gazeta/dias/1809/09/14/pdfs/GGB-1809-192.pdf#page=7","Abrir facsímil")</f>
        <v>Abrir facsímil</v>
      </c>
      <c r="K3407" s="3" t="s">
        <v>57</v>
      </c>
    </row>
    <row r="3408" spans="1:11" ht="42" customHeight="1">
      <c r="A3408" s="2" t="s">
        <v>8702</v>
      </c>
      <c r="B3408" s="2" t="s">
        <v>8703</v>
      </c>
      <c r="C3408" s="2" t="s">
        <v>17</v>
      </c>
      <c r="D3408" s="2" t="s">
        <v>72</v>
      </c>
      <c r="E3408" s="3" t="s">
        <v>243</v>
      </c>
      <c r="F3408" s="3" t="s">
        <v>244</v>
      </c>
      <c r="G3408" s="3" t="s">
        <v>110</v>
      </c>
      <c r="H3408" s="2" t="s">
        <v>55</v>
      </c>
      <c r="I3408" s="2" t="s">
        <v>8704</v>
      </c>
      <c r="J3408" s="3" t="str">
        <f>HYPERLINK("https://www.boe.es/gazeta/dias/1809/02/17/pdfs/GGB-G-1809-8.pdf#page=5","Abrir facsímil")</f>
        <v>Abrir facsímil</v>
      </c>
      <c r="K3408" s="3" t="s">
        <v>57</v>
      </c>
    </row>
    <row r="3409" spans="1:11" ht="42" customHeight="1">
      <c r="A3409" s="2" t="s">
        <v>8702</v>
      </c>
      <c r="B3409" s="2" t="s">
        <v>8703</v>
      </c>
      <c r="C3409" s="2" t="s">
        <v>25</v>
      </c>
      <c r="D3409" s="2" t="s">
        <v>26</v>
      </c>
      <c r="E3409" s="3" t="s">
        <v>223</v>
      </c>
      <c r="F3409" s="3" t="s">
        <v>224</v>
      </c>
      <c r="G3409" s="3" t="s">
        <v>225</v>
      </c>
      <c r="H3409" s="2" t="s">
        <v>55</v>
      </c>
      <c r="I3409" s="2" t="s">
        <v>8705</v>
      </c>
      <c r="J3409" s="3" t="str">
        <f>HYPERLINK("https://www.boe.es/gazeta/dias/1809/12/17/pdfs/GMD-1809-352.pdf#page=4","Abrir facsímil")</f>
        <v>Abrir facsímil</v>
      </c>
      <c r="K3409" s="3" t="s">
        <v>57</v>
      </c>
    </row>
    <row r="3410" spans="1:11" ht="42" customHeight="1">
      <c r="A3410" s="2" t="s">
        <v>8706</v>
      </c>
      <c r="B3410" s="2" t="s">
        <v>8707</v>
      </c>
      <c r="C3410" s="2" t="s">
        <v>17</v>
      </c>
      <c r="D3410" s="2" t="s">
        <v>18</v>
      </c>
      <c r="E3410" s="3" t="s">
        <v>1343</v>
      </c>
      <c r="F3410" s="3" t="s">
        <v>1344</v>
      </c>
      <c r="G3410" s="3" t="s">
        <v>270</v>
      </c>
      <c r="H3410" s="2" t="s">
        <v>55</v>
      </c>
      <c r="I3410" s="2" t="s">
        <v>8708</v>
      </c>
      <c r="J3410" s="3" t="str">
        <f>HYPERLINK("https://www.boe.es/gazeta/dias/1809/07/24/pdfs/GMD-1809-205.pdf#page=7","Abrir facsímil")</f>
        <v>Abrir facsímil</v>
      </c>
      <c r="K3410" s="3" t="s">
        <v>57</v>
      </c>
    </row>
    <row r="3411" spans="1:11" ht="42" customHeight="1">
      <c r="A3411" s="2" t="s">
        <v>8709</v>
      </c>
      <c r="B3411" s="2" t="s">
        <v>8710</v>
      </c>
      <c r="C3411" s="2" t="s">
        <v>17</v>
      </c>
      <c r="D3411" s="2" t="s">
        <v>72</v>
      </c>
      <c r="E3411" s="3" t="s">
        <v>243</v>
      </c>
      <c r="F3411" s="3" t="s">
        <v>244</v>
      </c>
      <c r="G3411" s="3" t="s">
        <v>110</v>
      </c>
      <c r="H3411" s="2" t="s">
        <v>55</v>
      </c>
      <c r="I3411" s="2" t="s">
        <v>8711</v>
      </c>
      <c r="J3411" s="3" t="str">
        <f>HYPERLINK("https://www.boe.es/gazeta/dias/1809/02/17/pdfs/GGB-G-1809-8.pdf#page=6","Abrir facsímil")</f>
        <v>Abrir facsímil</v>
      </c>
      <c r="K3411" s="3" t="s">
        <v>57</v>
      </c>
    </row>
    <row r="3412" spans="1:11" ht="42" customHeight="1">
      <c r="A3412" s="2" t="s">
        <v>8709</v>
      </c>
      <c r="B3412" s="2" t="s">
        <v>8710</v>
      </c>
      <c r="C3412" s="2" t="s">
        <v>25</v>
      </c>
      <c r="D3412" s="2" t="s">
        <v>18</v>
      </c>
      <c r="E3412" s="3" t="s">
        <v>2845</v>
      </c>
      <c r="F3412" s="3" t="s">
        <v>2846</v>
      </c>
      <c r="G3412" s="3" t="s">
        <v>467</v>
      </c>
      <c r="H3412" s="2" t="s">
        <v>55</v>
      </c>
      <c r="I3412" s="2" t="s">
        <v>8712</v>
      </c>
      <c r="J3412" s="3" t="str">
        <f>HYPERLINK("https://www.boe.es/gazeta/dias/1809/11/23/pdfs/GGB-1809-492.pdf#page=5","Abrir facsímil")</f>
        <v>Abrir facsímil</v>
      </c>
      <c r="K3412" s="3" t="s">
        <v>57</v>
      </c>
    </row>
    <row r="3413" spans="1:11" ht="42" customHeight="1">
      <c r="A3413" s="2" t="s">
        <v>8713</v>
      </c>
      <c r="B3413" s="2" t="s">
        <v>8714</v>
      </c>
      <c r="C3413" s="2" t="s">
        <v>2176</v>
      </c>
      <c r="D3413" s="2" t="s">
        <v>40</v>
      </c>
      <c r="E3413" s="3" t="s">
        <v>147</v>
      </c>
      <c r="F3413" s="3" t="s">
        <v>148</v>
      </c>
      <c r="G3413" s="3" t="s">
        <v>8715</v>
      </c>
      <c r="H3413" s="2" t="s">
        <v>55</v>
      </c>
      <c r="I3413" s="2" t="s">
        <v>8716</v>
      </c>
      <c r="J3413" s="3" t="str">
        <f>HYPERLINK("https://www.boe.es/gazeta/dias/1809/10/07/pdfs/GGB-1809-292.pdf#page=6","Abrir facsímil")</f>
        <v>Abrir facsímil</v>
      </c>
      <c r="K3413" s="3" t="s">
        <v>57</v>
      </c>
    </row>
    <row r="3414" spans="1:11" ht="42" customHeight="1">
      <c r="A3414" s="2" t="s">
        <v>8713</v>
      </c>
      <c r="B3414" s="2" t="s">
        <v>8714</v>
      </c>
      <c r="C3414" s="2" t="s">
        <v>17</v>
      </c>
      <c r="D3414" s="2" t="s">
        <v>18</v>
      </c>
      <c r="E3414" s="3" t="s">
        <v>449</v>
      </c>
      <c r="F3414" s="3" t="s">
        <v>450</v>
      </c>
      <c r="G3414" s="3" t="s">
        <v>154</v>
      </c>
      <c r="H3414" s="2" t="s">
        <v>55</v>
      </c>
      <c r="I3414" s="2" t="s">
        <v>8717</v>
      </c>
      <c r="J3414" s="3" t="str">
        <f>HYPERLINK("https://www.boe.es/gazeta/dias/1809/10/10/pdfs/GGB-1809-302.pdf#page=6","Abrir facsímil")</f>
        <v>Abrir facsímil</v>
      </c>
      <c r="K3414" s="3" t="s">
        <v>57</v>
      </c>
    </row>
    <row r="3415" spans="1:11" ht="42" customHeight="1">
      <c r="A3415" s="2" t="s">
        <v>8713</v>
      </c>
      <c r="B3415" s="2" t="s">
        <v>8714</v>
      </c>
      <c r="C3415" s="2" t="s">
        <v>17</v>
      </c>
      <c r="D3415" s="2" t="s">
        <v>72</v>
      </c>
      <c r="E3415" s="3" t="s">
        <v>190</v>
      </c>
      <c r="F3415" s="3" t="s">
        <v>3505</v>
      </c>
      <c r="G3415" s="3" t="s">
        <v>1278</v>
      </c>
      <c r="H3415" s="2" t="s">
        <v>55</v>
      </c>
      <c r="I3415" s="2" t="s">
        <v>8718</v>
      </c>
      <c r="J3415" s="3" t="str">
        <f>HYPERLINK("https://www.boe.es/gazeta/dias/1809/10/14/pdfs/GGB-H-1809-322.pdf#page=6","Abrir facsímil")</f>
        <v>Abrir facsímil</v>
      </c>
      <c r="K3415" s="3" t="s">
        <v>57</v>
      </c>
    </row>
    <row r="3416" spans="1:11" ht="42" customHeight="1">
      <c r="A3416" s="2" t="s">
        <v>8713</v>
      </c>
      <c r="B3416" s="2" t="s">
        <v>8714</v>
      </c>
      <c r="C3416" s="2" t="s">
        <v>25</v>
      </c>
      <c r="D3416" s="2" t="s">
        <v>26</v>
      </c>
      <c r="E3416" s="3" t="s">
        <v>7514</v>
      </c>
      <c r="F3416" s="3" t="s">
        <v>7515</v>
      </c>
      <c r="G3416" s="3" t="s">
        <v>8719</v>
      </c>
      <c r="H3416" s="2" t="s">
        <v>55</v>
      </c>
      <c r="I3416" s="2" t="s">
        <v>8720</v>
      </c>
      <c r="J3416" s="3" t="str">
        <f>HYPERLINK("https://www.boe.es/gazeta/dias/1809/10/17/pdfs/GGB-1809-332.pdf#page=4","Abrir facsímil")</f>
        <v>Abrir facsímil</v>
      </c>
      <c r="K3416" s="3" t="s">
        <v>57</v>
      </c>
    </row>
    <row r="3417" spans="1:11" ht="42" customHeight="1">
      <c r="A3417" s="2" t="s">
        <v>8713</v>
      </c>
      <c r="B3417" s="2" t="s">
        <v>8714</v>
      </c>
      <c r="C3417" s="2" t="s">
        <v>17</v>
      </c>
      <c r="D3417" s="2" t="s">
        <v>40</v>
      </c>
      <c r="E3417" s="3" t="s">
        <v>771</v>
      </c>
      <c r="F3417" s="3" t="s">
        <v>772</v>
      </c>
      <c r="G3417" s="3" t="s">
        <v>2251</v>
      </c>
      <c r="H3417" s="2" t="s">
        <v>55</v>
      </c>
      <c r="I3417" s="2" t="s">
        <v>8721</v>
      </c>
      <c r="J3417" s="3" t="str">
        <f>HYPERLINK("https://www.boe.es/gazeta/dias/1809/10/31/pdfs/GGB-1809-392.pdf#page=6","Abrir facsímil")</f>
        <v>Abrir facsímil</v>
      </c>
      <c r="K3417" s="3" t="s">
        <v>57</v>
      </c>
    </row>
    <row r="3418" spans="1:11" ht="42" customHeight="1">
      <c r="A3418" s="2" t="s">
        <v>8713</v>
      </c>
      <c r="B3418" s="2" t="s">
        <v>8714</v>
      </c>
      <c r="C3418" s="2" t="s">
        <v>17</v>
      </c>
      <c r="D3418" s="2" t="s">
        <v>18</v>
      </c>
      <c r="E3418" s="3" t="s">
        <v>771</v>
      </c>
      <c r="F3418" s="3" t="s">
        <v>772</v>
      </c>
      <c r="G3418" s="3" t="s">
        <v>154</v>
      </c>
      <c r="H3418" s="2" t="s">
        <v>55</v>
      </c>
      <c r="I3418" s="2" t="s">
        <v>8722</v>
      </c>
      <c r="J3418" s="3" t="str">
        <f>HYPERLINK("https://www.boe.es/gazeta/dias/1809/10/31/pdfs/GGB-1809-392.pdf#page=7","Abrir facsímil")</f>
        <v>Abrir facsímil</v>
      </c>
      <c r="K3418" s="3" t="s">
        <v>57</v>
      </c>
    </row>
    <row r="3419" spans="1:11" ht="42" customHeight="1">
      <c r="A3419" s="2" t="s">
        <v>8713</v>
      </c>
      <c r="B3419" s="2" t="s">
        <v>8714</v>
      </c>
      <c r="C3419" s="2" t="s">
        <v>25</v>
      </c>
      <c r="D3419" s="2" t="s">
        <v>26</v>
      </c>
      <c r="E3419" s="3" t="s">
        <v>2845</v>
      </c>
      <c r="F3419" s="3" t="s">
        <v>2846</v>
      </c>
      <c r="G3419" s="3" t="s">
        <v>21</v>
      </c>
      <c r="H3419" s="2" t="s">
        <v>55</v>
      </c>
      <c r="I3419" s="2" t="s">
        <v>8723</v>
      </c>
      <c r="J3419" s="3" t="str">
        <f>HYPERLINK("https://www.boe.es/gazeta/dias/1809/11/23/pdfs/GGB-1809-492.pdf#page=6","Abrir facsímil")</f>
        <v>Abrir facsímil</v>
      </c>
      <c r="K3419" s="3" t="s">
        <v>57</v>
      </c>
    </row>
    <row r="3420" spans="1:11" ht="42" customHeight="1">
      <c r="A3420" s="2" t="s">
        <v>8724</v>
      </c>
      <c r="B3420" s="2" t="s">
        <v>8725</v>
      </c>
      <c r="C3420" s="2" t="s">
        <v>288</v>
      </c>
      <c r="D3420" s="2" t="s">
        <v>18</v>
      </c>
      <c r="E3420" s="3" t="s">
        <v>500</v>
      </c>
      <c r="F3420" s="3" t="s">
        <v>2357</v>
      </c>
      <c r="G3420" s="3" t="s">
        <v>115</v>
      </c>
      <c r="H3420" s="2" t="s">
        <v>55</v>
      </c>
      <c r="I3420" s="2" t="s">
        <v>8726</v>
      </c>
      <c r="J3420" s="3" t="str">
        <f>HYPERLINK("https://www.boe.es/gazeta/dias/1809/03/24/pdfs/GGB-1809-13.pdf#page=6","Abrir facsímil")</f>
        <v>Abrir facsímil</v>
      </c>
      <c r="K3420" s="3" t="s">
        <v>57</v>
      </c>
    </row>
    <row r="3421" spans="1:11" ht="42" customHeight="1">
      <c r="A3421" s="2" t="s">
        <v>8727</v>
      </c>
      <c r="B3421" s="2" t="s">
        <v>8728</v>
      </c>
      <c r="C3421" s="2" t="s">
        <v>17</v>
      </c>
      <c r="D3421" s="2" t="s">
        <v>18</v>
      </c>
      <c r="E3421" s="3" t="s">
        <v>1468</v>
      </c>
      <c r="F3421" s="3" t="s">
        <v>1469</v>
      </c>
      <c r="G3421" s="3" t="s">
        <v>104</v>
      </c>
      <c r="H3421" s="2" t="s">
        <v>55</v>
      </c>
      <c r="I3421" s="2" t="s">
        <v>8729</v>
      </c>
      <c r="J3421" s="3" t="str">
        <f>HYPERLINK("https://www.boe.es/gazeta/dias/1809/02/12/pdfs/GMD-1809-43.pdf#page=6","Abrir facsímil")</f>
        <v>Abrir facsímil</v>
      </c>
      <c r="K3421" s="3" t="s">
        <v>57</v>
      </c>
    </row>
    <row r="3422" spans="1:11" ht="42" customHeight="1">
      <c r="A3422" s="2" t="s">
        <v>8730</v>
      </c>
      <c r="B3422" s="2" t="s">
        <v>8731</v>
      </c>
      <c r="C3422" s="2" t="s">
        <v>17</v>
      </c>
      <c r="D3422" s="2" t="s">
        <v>80</v>
      </c>
      <c r="E3422" s="3" t="s">
        <v>248</v>
      </c>
      <c r="F3422" s="3" t="s">
        <v>249</v>
      </c>
      <c r="G3422" s="3" t="s">
        <v>234</v>
      </c>
      <c r="H3422" s="2" t="s">
        <v>55</v>
      </c>
      <c r="I3422" s="2" t="s">
        <v>8732</v>
      </c>
      <c r="J3422" s="3" t="str">
        <f>HYPERLINK("https://www.boe.es/gazeta/dias/1809/07/26/pdfs/GGB-1809-48E.pdf#page=3","Abrir facsímil")</f>
        <v>Abrir facsímil</v>
      </c>
      <c r="K3422" s="3" t="s">
        <v>57</v>
      </c>
    </row>
    <row r="3423" spans="1:11" ht="42" customHeight="1">
      <c r="A3423" s="2" t="s">
        <v>8733</v>
      </c>
      <c r="B3423" s="2" t="s">
        <v>8734</v>
      </c>
      <c r="C3423" s="2" t="s">
        <v>17</v>
      </c>
      <c r="D3423" s="2" t="s">
        <v>72</v>
      </c>
      <c r="E3423" s="3" t="s">
        <v>243</v>
      </c>
      <c r="F3423" s="3" t="s">
        <v>244</v>
      </c>
      <c r="G3423" s="3" t="s">
        <v>110</v>
      </c>
      <c r="H3423" s="2" t="s">
        <v>55</v>
      </c>
      <c r="I3423" s="2" t="s">
        <v>8735</v>
      </c>
      <c r="J3423" s="3" t="str">
        <f>HYPERLINK("https://www.boe.es/gazeta/dias/1809/02/17/pdfs/GGB-G-1809-8.pdf#page=5","Abrir facsímil")</f>
        <v>Abrir facsímil</v>
      </c>
      <c r="K3423" s="3" t="s">
        <v>57</v>
      </c>
    </row>
    <row r="3424" spans="1:11" ht="42" customHeight="1">
      <c r="A3424" s="2" t="s">
        <v>8736</v>
      </c>
      <c r="B3424" s="2" t="s">
        <v>8737</v>
      </c>
      <c r="C3424" s="2" t="s">
        <v>17</v>
      </c>
      <c r="D3424" s="2" t="s">
        <v>72</v>
      </c>
      <c r="E3424" s="3" t="s">
        <v>163</v>
      </c>
      <c r="F3424" s="3" t="s">
        <v>164</v>
      </c>
      <c r="G3424" s="3" t="s">
        <v>21</v>
      </c>
      <c r="H3424" s="2" t="s">
        <v>55</v>
      </c>
      <c r="I3424" s="2" t="s">
        <v>8738</v>
      </c>
      <c r="J3424" s="3" t="str">
        <f>HYPERLINK("https://www.boe.es/gazeta/dias/1809/03/10/pdfs/GGB-H-1809-11.pdf#page=8","Abrir facsímil")</f>
        <v>Abrir facsímil</v>
      </c>
      <c r="K3424" s="3" t="s">
        <v>57</v>
      </c>
    </row>
    <row r="3425" spans="1:11" ht="42" customHeight="1">
      <c r="A3425" s="2" t="s">
        <v>8739</v>
      </c>
      <c r="B3425" s="2" t="s">
        <v>8739</v>
      </c>
      <c r="C3425" s="2" t="s">
        <v>25</v>
      </c>
      <c r="D3425" s="2" t="s">
        <v>26</v>
      </c>
      <c r="E3425" s="3" t="s">
        <v>776</v>
      </c>
      <c r="F3425" s="3" t="s">
        <v>1485</v>
      </c>
      <c r="G3425" s="3" t="s">
        <v>623</v>
      </c>
      <c r="H3425" s="2" t="s">
        <v>55</v>
      </c>
      <c r="I3425" s="2" t="s">
        <v>8740</v>
      </c>
      <c r="J3425" s="3" t="str">
        <f>HYPERLINK("https://www.boe.es/gazeta/dias/1809/05/28/pdfs/GGB-1809-31E2.pdf#page=6","Abrir facsímil")</f>
        <v>Abrir facsímil</v>
      </c>
      <c r="K3425" s="3" t="s">
        <v>57</v>
      </c>
    </row>
    <row r="3426" spans="1:11" ht="42" customHeight="1">
      <c r="A3426" s="2" t="s">
        <v>8741</v>
      </c>
      <c r="B3426" s="2" t="s">
        <v>8742</v>
      </c>
      <c r="C3426" s="2" t="s">
        <v>17</v>
      </c>
      <c r="D3426" s="2" t="s">
        <v>18</v>
      </c>
      <c r="E3426" s="3" t="s">
        <v>442</v>
      </c>
      <c r="F3426" s="3" t="s">
        <v>2171</v>
      </c>
      <c r="G3426" s="3" t="s">
        <v>2172</v>
      </c>
      <c r="H3426" s="2" t="s">
        <v>55</v>
      </c>
      <c r="I3426" s="2" t="s">
        <v>8743</v>
      </c>
      <c r="J3426" s="3" t="str">
        <f>HYPERLINK("https://www.boe.es/gazeta/dias/1809/09/05/pdfs/GMD-1809-249.pdf#page=4","Abrir facsímil")</f>
        <v>Abrir facsímil</v>
      </c>
      <c r="K3426" s="3" t="s">
        <v>57</v>
      </c>
    </row>
    <row r="3427" spans="1:11" ht="42" customHeight="1">
      <c r="A3427" s="2" t="s">
        <v>8744</v>
      </c>
      <c r="B3427" s="2" t="s">
        <v>8745</v>
      </c>
      <c r="C3427" s="2" t="s">
        <v>369</v>
      </c>
      <c r="D3427" s="2" t="s">
        <v>18</v>
      </c>
      <c r="E3427" s="3" t="s">
        <v>1586</v>
      </c>
      <c r="F3427" s="3" t="s">
        <v>1587</v>
      </c>
      <c r="G3427" s="3" t="s">
        <v>1909</v>
      </c>
      <c r="H3427" s="2" t="s">
        <v>55</v>
      </c>
      <c r="I3427" s="2" t="s">
        <v>8746</v>
      </c>
      <c r="J3427" s="3" t="str">
        <f>HYPERLINK("https://www.boe.es/gazeta/dias/1809/02/20/pdfs/GMD-1809-51.pdf#page=4","Abrir facsímil")</f>
        <v>Abrir facsímil</v>
      </c>
      <c r="K3427" s="3" t="s">
        <v>57</v>
      </c>
    </row>
    <row r="3428" spans="1:11" ht="42" customHeight="1">
      <c r="A3428" s="2" t="s">
        <v>8747</v>
      </c>
      <c r="B3428" s="2" t="s">
        <v>8748</v>
      </c>
      <c r="C3428" s="2" t="s">
        <v>25</v>
      </c>
      <c r="D3428" s="2" t="s">
        <v>80</v>
      </c>
      <c r="E3428" s="3" t="s">
        <v>179</v>
      </c>
      <c r="F3428" s="3" t="s">
        <v>180</v>
      </c>
      <c r="G3428" s="3" t="s">
        <v>966</v>
      </c>
      <c r="H3428" s="2" t="s">
        <v>55</v>
      </c>
      <c r="I3428" s="2" t="s">
        <v>8749</v>
      </c>
      <c r="J3428" s="3" t="str">
        <f>HYPERLINK("https://www.boe.es/gazeta/dias/1809/12/08/pdfs/GGB-1809-552E.pdf#page=3","Abrir facsímil")</f>
        <v>Abrir facsímil</v>
      </c>
      <c r="K3428" s="3" t="s">
        <v>57</v>
      </c>
    </row>
    <row r="3429" spans="1:11" ht="42" customHeight="1">
      <c r="A3429" s="2" t="s">
        <v>8750</v>
      </c>
      <c r="B3429" s="2" t="s">
        <v>8751</v>
      </c>
      <c r="C3429" s="2" t="s">
        <v>17</v>
      </c>
      <c r="D3429" s="2" t="s">
        <v>72</v>
      </c>
      <c r="E3429" s="3" t="s">
        <v>243</v>
      </c>
      <c r="F3429" s="3" t="s">
        <v>244</v>
      </c>
      <c r="G3429" s="3" t="s">
        <v>525</v>
      </c>
      <c r="H3429" s="2" t="s">
        <v>55</v>
      </c>
      <c r="I3429" s="2" t="s">
        <v>8752</v>
      </c>
      <c r="J3429" s="3" t="str">
        <f>HYPERLINK("https://www.boe.es/gazeta/dias/1809/02/17/pdfs/GGB-G-1809-8.pdf#page=4","Abrir facsímil")</f>
        <v>Abrir facsímil</v>
      </c>
      <c r="K3429" s="3" t="s">
        <v>57</v>
      </c>
    </row>
    <row r="3430" spans="1:11" ht="42" customHeight="1">
      <c r="A3430" s="2" t="s">
        <v>8753</v>
      </c>
      <c r="B3430" s="2" t="s">
        <v>8754</v>
      </c>
      <c r="C3430" s="2" t="s">
        <v>369</v>
      </c>
      <c r="D3430" s="2" t="s">
        <v>40</v>
      </c>
      <c r="E3430" s="3" t="s">
        <v>102</v>
      </c>
      <c r="F3430" s="3" t="s">
        <v>103</v>
      </c>
      <c r="G3430" s="3" t="s">
        <v>104</v>
      </c>
      <c r="H3430" s="2" t="s">
        <v>55</v>
      </c>
      <c r="I3430" s="2" t="s">
        <v>8755</v>
      </c>
      <c r="J3430" s="3" t="str">
        <f>HYPERLINK("https://www.boe.es/gazeta/dias/1809/09/28/pdfs/GGB-1809-252.pdf#page=8","Abrir facsímil")</f>
        <v>Abrir facsímil</v>
      </c>
      <c r="K3430" s="3" t="s">
        <v>57</v>
      </c>
    </row>
    <row r="3431" spans="1:11" ht="42" customHeight="1">
      <c r="A3431" s="2" t="s">
        <v>8756</v>
      </c>
      <c r="B3431" s="2" t="s">
        <v>8757</v>
      </c>
      <c r="C3431" s="2" t="s">
        <v>17</v>
      </c>
      <c r="D3431" s="2" t="s">
        <v>18</v>
      </c>
      <c r="E3431" s="3" t="s">
        <v>60</v>
      </c>
      <c r="F3431" s="3" t="s">
        <v>61</v>
      </c>
      <c r="G3431" s="3" t="s">
        <v>29</v>
      </c>
      <c r="H3431" s="2" t="s">
        <v>55</v>
      </c>
      <c r="I3431" s="2" t="s">
        <v>8758</v>
      </c>
      <c r="J3431" s="3" t="str">
        <f>HYPERLINK("https://www.boe.es/gazeta/dias/1809/02/07/pdfs/GMD-1809-38.pdf#page=3","Abrir facsímil")</f>
        <v>Abrir facsímil</v>
      </c>
      <c r="K3431" s="3" t="s">
        <v>57</v>
      </c>
    </row>
    <row r="3432" spans="1:11" ht="42" customHeight="1">
      <c r="A3432" s="2" t="s">
        <v>8759</v>
      </c>
      <c r="B3432" s="2" t="s">
        <v>8760</v>
      </c>
      <c r="C3432" s="2" t="s">
        <v>25</v>
      </c>
      <c r="D3432" s="2" t="s">
        <v>72</v>
      </c>
      <c r="E3432" s="3" t="s">
        <v>473</v>
      </c>
      <c r="F3432" s="3" t="s">
        <v>1199</v>
      </c>
      <c r="G3432" s="3" t="s">
        <v>75</v>
      </c>
      <c r="H3432" s="2" t="s">
        <v>55</v>
      </c>
      <c r="I3432" s="2" t="s">
        <v>8761</v>
      </c>
      <c r="J3432" s="3" t="str">
        <f>HYPERLINK("https://www.boe.es/gazeta/dias/1809/12/28/pdfs/GGB-H-1809-642.pdf#page=4","Abrir facsímil")</f>
        <v>Abrir facsímil</v>
      </c>
      <c r="K3432" s="3" t="s">
        <v>57</v>
      </c>
    </row>
    <row r="3433" spans="1:11" ht="42" customHeight="1">
      <c r="A3433" s="2" t="s">
        <v>8762</v>
      </c>
      <c r="B3433" s="2" t="s">
        <v>8763</v>
      </c>
      <c r="C3433" s="2" t="s">
        <v>25</v>
      </c>
      <c r="D3433" s="2" t="s">
        <v>26</v>
      </c>
      <c r="E3433" s="3" t="s">
        <v>864</v>
      </c>
      <c r="F3433" s="3" t="s">
        <v>2684</v>
      </c>
      <c r="G3433" s="3" t="s">
        <v>906</v>
      </c>
      <c r="H3433" s="2" t="s">
        <v>55</v>
      </c>
      <c r="I3433" s="2" t="s">
        <v>8764</v>
      </c>
      <c r="J3433" s="3" t="str">
        <f>HYPERLINK("https://www.boe.es/gazeta/dias/1809/08/31/pdfs/GGB-1809-132.pdf#page=8","Abrir facsímil")</f>
        <v>Abrir facsímil</v>
      </c>
      <c r="K3433" s="3" t="s">
        <v>57</v>
      </c>
    </row>
    <row r="3434" spans="1:11" ht="42" customHeight="1">
      <c r="A3434" s="2" t="s">
        <v>8762</v>
      </c>
      <c r="B3434" s="2" t="s">
        <v>8763</v>
      </c>
      <c r="C3434" s="2" t="s">
        <v>17</v>
      </c>
      <c r="D3434" s="2" t="s">
        <v>18</v>
      </c>
      <c r="E3434" s="3" t="s">
        <v>33</v>
      </c>
      <c r="F3434" s="3" t="s">
        <v>34</v>
      </c>
      <c r="G3434" s="3" t="s">
        <v>595</v>
      </c>
      <c r="H3434" s="2" t="s">
        <v>55</v>
      </c>
      <c r="I3434" s="2" t="s">
        <v>8765</v>
      </c>
      <c r="J3434" s="3" t="str">
        <f>HYPERLINK("https://www.boe.es/gazeta/dias/1809/12/19/pdfs/GGB-1809-602.pdf#page=7","Abrir facsímil")</f>
        <v>Abrir facsímil</v>
      </c>
      <c r="K3434" s="3" t="s">
        <v>57</v>
      </c>
    </row>
    <row r="3435" spans="1:11" ht="42" customHeight="1">
      <c r="A3435" s="2" t="s">
        <v>8762</v>
      </c>
      <c r="B3435" s="2" t="s">
        <v>8763</v>
      </c>
      <c r="C3435" s="2" t="s">
        <v>25</v>
      </c>
      <c r="D3435" s="2" t="s">
        <v>72</v>
      </c>
      <c r="E3435" s="3" t="s">
        <v>473</v>
      </c>
      <c r="F3435" s="3" t="s">
        <v>1199</v>
      </c>
      <c r="G3435" s="3" t="s">
        <v>75</v>
      </c>
      <c r="H3435" s="2" t="s">
        <v>55</v>
      </c>
      <c r="I3435" s="2" t="s">
        <v>8766</v>
      </c>
      <c r="J3435" s="3" t="str">
        <f>HYPERLINK("https://www.boe.es/gazeta/dias/1809/12/28/pdfs/GGB-H-1809-642.pdf#page=7","Abrir facsímil")</f>
        <v>Abrir facsímil</v>
      </c>
      <c r="K3435" s="3" t="s">
        <v>57</v>
      </c>
    </row>
    <row r="3436" spans="1:11" ht="42" customHeight="1">
      <c r="A3436" s="2" t="s">
        <v>8767</v>
      </c>
      <c r="B3436" s="2" t="s">
        <v>8768</v>
      </c>
      <c r="C3436" s="2" t="s">
        <v>131</v>
      </c>
      <c r="D3436" s="2" t="s">
        <v>26</v>
      </c>
      <c r="E3436" s="3" t="s">
        <v>515</v>
      </c>
      <c r="F3436" s="3" t="s">
        <v>516</v>
      </c>
      <c r="G3436" s="3" t="s">
        <v>1380</v>
      </c>
      <c r="H3436" s="2" t="s">
        <v>55</v>
      </c>
      <c r="I3436" s="2" t="s">
        <v>8769</v>
      </c>
      <c r="J3436" s="3" t="str">
        <f>HYPERLINK("https://www.boe.es/gazeta/dias/1809/09/02/pdfs/GMD-1809-246.pdf#page=3","Abrir facsímil")</f>
        <v>Abrir facsímil</v>
      </c>
      <c r="K3436" s="3" t="s">
        <v>57</v>
      </c>
    </row>
    <row r="3437" spans="1:11" ht="42" customHeight="1">
      <c r="A3437" s="2" t="s">
        <v>8770</v>
      </c>
      <c r="B3437" s="2" t="s">
        <v>8771</v>
      </c>
      <c r="C3437" s="2" t="s">
        <v>17</v>
      </c>
      <c r="D3437" s="2" t="s">
        <v>72</v>
      </c>
      <c r="E3437" s="3" t="s">
        <v>243</v>
      </c>
      <c r="F3437" s="3" t="s">
        <v>244</v>
      </c>
      <c r="G3437" s="3" t="s">
        <v>110</v>
      </c>
      <c r="H3437" s="2" t="s">
        <v>55</v>
      </c>
      <c r="I3437" s="2" t="s">
        <v>8772</v>
      </c>
      <c r="J3437" s="3" t="str">
        <f>HYPERLINK("https://www.boe.es/gazeta/dias/1809/02/17/pdfs/GGB-G-1809-8.pdf#page=5","Abrir facsímil")</f>
        <v>Abrir facsímil</v>
      </c>
      <c r="K3437" s="3" t="s">
        <v>57</v>
      </c>
    </row>
    <row r="3438" spans="1:11" ht="42" customHeight="1">
      <c r="A3438" s="2" t="s">
        <v>8773</v>
      </c>
      <c r="B3438" s="2" t="s">
        <v>8774</v>
      </c>
      <c r="C3438" s="2" t="s">
        <v>25</v>
      </c>
      <c r="D3438" s="2" t="s">
        <v>72</v>
      </c>
      <c r="E3438" s="3" t="s">
        <v>143</v>
      </c>
      <c r="F3438" s="3" t="s">
        <v>705</v>
      </c>
      <c r="G3438" s="3" t="s">
        <v>260</v>
      </c>
      <c r="H3438" s="2" t="s">
        <v>55</v>
      </c>
      <c r="I3438" s="2" t="s">
        <v>8775</v>
      </c>
      <c r="J3438" s="3" t="str">
        <f>HYPERLINK("https://www.boe.es/gazeta/dias/1809/11/16/pdfs/GGB-H-1809-462.pdf#page=7","Abrir facsímil")</f>
        <v>Abrir facsímil</v>
      </c>
      <c r="K3438" s="3" t="s">
        <v>57</v>
      </c>
    </row>
    <row r="3439" spans="1:11" ht="42" customHeight="1">
      <c r="A3439" s="2" t="s">
        <v>8776</v>
      </c>
      <c r="B3439" s="2" t="s">
        <v>8776</v>
      </c>
      <c r="C3439" s="2" t="s">
        <v>25</v>
      </c>
      <c r="D3439" s="2" t="s">
        <v>26</v>
      </c>
      <c r="E3439" s="3" t="s">
        <v>5732</v>
      </c>
      <c r="F3439" s="3" t="s">
        <v>5733</v>
      </c>
      <c r="G3439" s="3" t="s">
        <v>110</v>
      </c>
      <c r="H3439" s="2" t="s">
        <v>55</v>
      </c>
      <c r="I3439" s="2" t="s">
        <v>8777</v>
      </c>
      <c r="J3439" s="3" t="str">
        <f>HYPERLINK("https://www.boe.es/gazeta/dias/1809/07/09/pdfs/GMD-1809-190.pdf#page=2","Abrir facsímil")</f>
        <v>Abrir facsímil</v>
      </c>
      <c r="K3439" s="3" t="s">
        <v>57</v>
      </c>
    </row>
    <row r="3440" spans="1:11" ht="42" customHeight="1">
      <c r="A3440" s="2" t="s">
        <v>8778</v>
      </c>
      <c r="B3440" s="2" t="s">
        <v>8778</v>
      </c>
      <c r="C3440" s="2" t="s">
        <v>25</v>
      </c>
      <c r="D3440" s="2" t="s">
        <v>107</v>
      </c>
      <c r="E3440" s="3" t="s">
        <v>1141</v>
      </c>
      <c r="F3440" s="3" t="s">
        <v>1142</v>
      </c>
      <c r="G3440" s="3" t="s">
        <v>21</v>
      </c>
      <c r="H3440" s="2" t="s">
        <v>55</v>
      </c>
      <c r="I3440" s="2" t="s">
        <v>8779</v>
      </c>
      <c r="J3440" s="3" t="str">
        <f>HYPERLINK("https://www.boe.es/gazeta/dias/1809/03/02/pdfs/GMD-1809-61.pdf#page=1","Abrir facsímil")</f>
        <v>Abrir facsímil</v>
      </c>
      <c r="K3440" s="3" t="s">
        <v>57</v>
      </c>
    </row>
    <row r="3441" spans="1:11" ht="42" customHeight="1">
      <c r="A3441" s="2" t="s">
        <v>8780</v>
      </c>
      <c r="B3441" s="2" t="s">
        <v>8780</v>
      </c>
      <c r="C3441" s="2" t="s">
        <v>17</v>
      </c>
      <c r="D3441" s="2" t="s">
        <v>18</v>
      </c>
      <c r="E3441" s="3" t="s">
        <v>1123</v>
      </c>
      <c r="F3441" s="3" t="s">
        <v>1124</v>
      </c>
      <c r="G3441" s="3" t="s">
        <v>154</v>
      </c>
      <c r="H3441" s="2" t="s">
        <v>55</v>
      </c>
      <c r="I3441" s="2" t="s">
        <v>8781</v>
      </c>
      <c r="J3441" s="3" t="str">
        <f>HYPERLINK("https://www.boe.es/gazeta/dias/1809/01/08/pdfs/GMD-1809-8.pdf#page=2","Abrir facsímil")</f>
        <v>Abrir facsímil</v>
      </c>
      <c r="K3441" s="3" t="s">
        <v>57</v>
      </c>
    </row>
    <row r="3442" spans="1:11" ht="42" customHeight="1">
      <c r="A3442" s="2" t="s">
        <v>8782</v>
      </c>
      <c r="B3442" s="2" t="s">
        <v>8783</v>
      </c>
      <c r="C3442" s="2" t="s">
        <v>25</v>
      </c>
      <c r="D3442" s="2" t="s">
        <v>72</v>
      </c>
      <c r="E3442" s="3" t="s">
        <v>143</v>
      </c>
      <c r="F3442" s="3" t="s">
        <v>705</v>
      </c>
      <c r="G3442" s="3" t="s">
        <v>225</v>
      </c>
      <c r="H3442" s="2" t="s">
        <v>55</v>
      </c>
      <c r="I3442" s="2" t="s">
        <v>8784</v>
      </c>
      <c r="J3442" s="3" t="str">
        <f>HYPERLINK("https://www.boe.es/gazeta/dias/1809/11/16/pdfs/GGB-H-1809-462.pdf#page=4","Abrir facsímil")</f>
        <v>Abrir facsímil</v>
      </c>
      <c r="K3442" s="3" t="s">
        <v>57</v>
      </c>
    </row>
    <row r="3443" spans="1:11" ht="42" customHeight="1">
      <c r="A3443" s="2" t="s">
        <v>8785</v>
      </c>
      <c r="B3443" s="2" t="s">
        <v>8785</v>
      </c>
      <c r="C3443" s="2" t="s">
        <v>17</v>
      </c>
      <c r="D3443" s="2" t="s">
        <v>18</v>
      </c>
      <c r="E3443" s="3" t="s">
        <v>1608</v>
      </c>
      <c r="F3443" s="3" t="s">
        <v>2350</v>
      </c>
      <c r="G3443" s="3" t="s">
        <v>270</v>
      </c>
      <c r="H3443" s="2" t="s">
        <v>55</v>
      </c>
      <c r="I3443" s="2" t="s">
        <v>8786</v>
      </c>
      <c r="J3443" s="3" t="str">
        <f>HYPERLINK("https://www.boe.es/gazeta/dias/1809/04/15/pdfs/GMD-1809-105.pdf#page=3","Abrir facsímil")</f>
        <v>Abrir facsímil</v>
      </c>
      <c r="K3443" s="3" t="s">
        <v>57</v>
      </c>
    </row>
    <row r="3444" spans="1:11" ht="42" customHeight="1">
      <c r="A3444" s="2" t="s">
        <v>8785</v>
      </c>
      <c r="B3444" s="2" t="s">
        <v>8785</v>
      </c>
      <c r="C3444" s="2" t="s">
        <v>25</v>
      </c>
      <c r="D3444" s="2" t="s">
        <v>26</v>
      </c>
      <c r="E3444" s="3" t="s">
        <v>776</v>
      </c>
      <c r="F3444" s="3" t="s">
        <v>1485</v>
      </c>
      <c r="G3444" s="3" t="s">
        <v>239</v>
      </c>
      <c r="H3444" s="2" t="s">
        <v>55</v>
      </c>
      <c r="I3444" s="2" t="s">
        <v>8787</v>
      </c>
      <c r="J3444" s="3" t="str">
        <f>HYPERLINK("https://www.boe.es/gazeta/dias/1809/05/28/pdfs/GGB-1809-31E2.pdf#page=3","Abrir facsímil")</f>
        <v>Abrir facsímil</v>
      </c>
      <c r="K3444" s="3" t="s">
        <v>57</v>
      </c>
    </row>
    <row r="3445" spans="1:11" ht="42" customHeight="1">
      <c r="A3445" s="2" t="s">
        <v>8785</v>
      </c>
      <c r="B3445" s="2" t="s">
        <v>8785</v>
      </c>
      <c r="C3445" s="2" t="s">
        <v>17</v>
      </c>
      <c r="D3445" s="2" t="s">
        <v>18</v>
      </c>
      <c r="E3445" s="3" t="s">
        <v>656</v>
      </c>
      <c r="F3445" s="3" t="s">
        <v>657</v>
      </c>
      <c r="G3445" s="3" t="s">
        <v>239</v>
      </c>
      <c r="H3445" s="2" t="s">
        <v>55</v>
      </c>
      <c r="I3445" s="2" t="s">
        <v>8788</v>
      </c>
      <c r="J3445" s="3" t="str">
        <f>HYPERLINK("https://www.boe.es/gazeta/dias/1809/07/22/pdfs/GMD-1809-203.pdf#page=1","Abrir facsímil")</f>
        <v>Abrir facsímil</v>
      </c>
      <c r="K3445" s="3" t="s">
        <v>57</v>
      </c>
    </row>
    <row r="3446" spans="1:11" ht="42" customHeight="1">
      <c r="A3446" s="2" t="s">
        <v>8785</v>
      </c>
      <c r="B3446" s="2" t="s">
        <v>8785</v>
      </c>
      <c r="C3446" s="2" t="s">
        <v>25</v>
      </c>
      <c r="D3446" s="2" t="s">
        <v>26</v>
      </c>
      <c r="E3446" s="3" t="s">
        <v>445</v>
      </c>
      <c r="F3446" s="3" t="s">
        <v>446</v>
      </c>
      <c r="G3446" s="3" t="s">
        <v>62</v>
      </c>
      <c r="H3446" s="2" t="s">
        <v>55</v>
      </c>
      <c r="I3446" s="2" t="s">
        <v>8789</v>
      </c>
      <c r="J3446" s="3" t="str">
        <f>HYPERLINK("https://www.boe.es/gazeta/dias/1809/10/01/pdfs/GMD-1809-275.pdf#page=2","Abrir facsímil")</f>
        <v>Abrir facsímil</v>
      </c>
      <c r="K3446" s="3" t="s">
        <v>57</v>
      </c>
    </row>
    <row r="3447" spans="1:11" ht="42" customHeight="1">
      <c r="A3447" s="2" t="s">
        <v>8785</v>
      </c>
      <c r="B3447" s="2" t="s">
        <v>8785</v>
      </c>
      <c r="C3447" s="2" t="s">
        <v>79</v>
      </c>
      <c r="D3447" s="2" t="s">
        <v>26</v>
      </c>
      <c r="E3447" s="3" t="s">
        <v>1396</v>
      </c>
      <c r="F3447" s="3" t="s">
        <v>2912</v>
      </c>
      <c r="G3447" s="3" t="s">
        <v>129</v>
      </c>
      <c r="H3447" s="2" t="s">
        <v>55</v>
      </c>
      <c r="I3447" s="2" t="s">
        <v>8790</v>
      </c>
      <c r="J3447" s="3" t="str">
        <f>HYPERLINK("https://www.boe.es/gazeta/dias/1809/11/28/pdfs/GMD-1809-333.pdf#page=2","Abrir facsímil")</f>
        <v>Abrir facsímil</v>
      </c>
      <c r="K3447" s="3" t="s">
        <v>57</v>
      </c>
    </row>
    <row r="3448" spans="1:11" ht="42" customHeight="1">
      <c r="A3448" s="2" t="s">
        <v>8785</v>
      </c>
      <c r="B3448" s="2" t="s">
        <v>8785</v>
      </c>
      <c r="C3448" s="2" t="s">
        <v>17</v>
      </c>
      <c r="D3448" s="2" t="s">
        <v>18</v>
      </c>
      <c r="E3448" s="3" t="s">
        <v>883</v>
      </c>
      <c r="F3448" s="3" t="s">
        <v>5874</v>
      </c>
      <c r="G3448" s="3" t="s">
        <v>8791</v>
      </c>
      <c r="H3448" s="2" t="s">
        <v>55</v>
      </c>
      <c r="I3448" s="2" t="s">
        <v>8792</v>
      </c>
      <c r="J3448" s="3" t="str">
        <f>HYPERLINK("https://www.boe.es/gazeta/dias/1809/12/21/pdfs/GGB-1809-612.pdf#page=1","Abrir facsímil")</f>
        <v>Abrir facsímil</v>
      </c>
      <c r="K3448" s="3" t="s">
        <v>57</v>
      </c>
    </row>
    <row r="3449" spans="1:11" ht="42" customHeight="1">
      <c r="A3449" s="2" t="s">
        <v>8793</v>
      </c>
      <c r="B3449" s="2" t="s">
        <v>8793</v>
      </c>
      <c r="C3449" s="2" t="s">
        <v>25</v>
      </c>
      <c r="D3449" s="2" t="s">
        <v>26</v>
      </c>
      <c r="E3449" s="3" t="s">
        <v>1141</v>
      </c>
      <c r="F3449" s="3" t="s">
        <v>1142</v>
      </c>
      <c r="G3449" s="3" t="s">
        <v>21</v>
      </c>
      <c r="H3449" s="2" t="s">
        <v>55</v>
      </c>
      <c r="I3449" s="2" t="s">
        <v>8794</v>
      </c>
      <c r="J3449" s="3" t="str">
        <f>HYPERLINK("https://www.boe.es/gazeta/dias/1809/03/02/pdfs/GMD-1809-61.pdf#page=1","Abrir facsímil")</f>
        <v>Abrir facsímil</v>
      </c>
      <c r="K3449" s="3" t="s">
        <v>57</v>
      </c>
    </row>
    <row r="3450" spans="1:11" ht="42" customHeight="1">
      <c r="A3450" s="2" t="s">
        <v>8795</v>
      </c>
      <c r="B3450" s="2" t="s">
        <v>8796</v>
      </c>
      <c r="C3450" s="2" t="s">
        <v>17</v>
      </c>
      <c r="D3450" s="2" t="s">
        <v>18</v>
      </c>
      <c r="E3450" s="3" t="s">
        <v>158</v>
      </c>
      <c r="F3450" s="3" t="s">
        <v>159</v>
      </c>
      <c r="G3450" s="3" t="s">
        <v>120</v>
      </c>
      <c r="H3450" s="2" t="s">
        <v>55</v>
      </c>
      <c r="I3450" s="2" t="s">
        <v>8797</v>
      </c>
      <c r="J3450" s="3" t="str">
        <f>HYPERLINK("https://www.boe.es/gazeta/dias/1809/02/10/pdfs/GGB-1809-7.pdf#page=9","Abrir facsímil")</f>
        <v>Abrir facsímil</v>
      </c>
      <c r="K3450" s="3" t="s">
        <v>57</v>
      </c>
    </row>
    <row r="3451" spans="1:11" ht="42" customHeight="1">
      <c r="A3451" s="2" t="s">
        <v>8798</v>
      </c>
      <c r="B3451" s="2" t="s">
        <v>8798</v>
      </c>
      <c r="C3451" s="2" t="s">
        <v>25</v>
      </c>
      <c r="D3451" s="2" t="s">
        <v>26</v>
      </c>
      <c r="E3451" s="3" t="s">
        <v>1898</v>
      </c>
      <c r="F3451" s="3" t="s">
        <v>1899</v>
      </c>
      <c r="G3451" s="3" t="s">
        <v>239</v>
      </c>
      <c r="H3451" s="2" t="s">
        <v>55</v>
      </c>
      <c r="I3451" s="2" t="s">
        <v>8799</v>
      </c>
      <c r="J3451" s="3" t="str">
        <f>HYPERLINK("https://www.boe.es/gazeta/dias/1809/12/02/pdfs/GGB-1809-532.pdf#page=5","Abrir facsímil")</f>
        <v>Abrir facsímil</v>
      </c>
      <c r="K3451" s="3" t="s">
        <v>57</v>
      </c>
    </row>
    <row r="3452" spans="1:11" ht="42" customHeight="1">
      <c r="A3452" s="2" t="s">
        <v>8800</v>
      </c>
      <c r="B3452" s="2" t="s">
        <v>8801</v>
      </c>
      <c r="C3452" s="2" t="s">
        <v>25</v>
      </c>
      <c r="D3452" s="2" t="s">
        <v>80</v>
      </c>
      <c r="E3452" s="3" t="s">
        <v>248</v>
      </c>
      <c r="F3452" s="3" t="s">
        <v>249</v>
      </c>
      <c r="G3452" s="3" t="s">
        <v>192</v>
      </c>
      <c r="H3452" s="2" t="s">
        <v>55</v>
      </c>
      <c r="I3452" s="2" t="s">
        <v>8802</v>
      </c>
      <c r="J3452" s="3" t="str">
        <f>HYPERLINK("https://www.boe.es/gazeta/dias/1809/07/26/pdfs/GGB-1809-48E.pdf#page=6","Abrir facsímil")</f>
        <v>Abrir facsímil</v>
      </c>
      <c r="K3452" s="3" t="s">
        <v>57</v>
      </c>
    </row>
    <row r="3453" spans="1:11" ht="42" customHeight="1">
      <c r="A3453" s="2" t="s">
        <v>8803</v>
      </c>
      <c r="B3453" s="2" t="s">
        <v>8803</v>
      </c>
      <c r="C3453" s="2" t="s">
        <v>17</v>
      </c>
      <c r="D3453" s="2" t="s">
        <v>18</v>
      </c>
      <c r="E3453" s="3" t="s">
        <v>609</v>
      </c>
      <c r="F3453" s="3" t="s">
        <v>610</v>
      </c>
      <c r="G3453" s="3" t="s">
        <v>2010</v>
      </c>
      <c r="H3453" s="2" t="s">
        <v>55</v>
      </c>
      <c r="I3453" s="2" t="s">
        <v>8804</v>
      </c>
      <c r="J3453" s="3" t="str">
        <f>HYPERLINK("https://www.boe.es/gazeta/dias/1809/11/25/pdfs/GGB-1809-502.pdf#page=1","Abrir facsímil")</f>
        <v>Abrir facsímil</v>
      </c>
      <c r="K3453" s="3" t="s">
        <v>57</v>
      </c>
    </row>
    <row r="3454" spans="1:11" ht="42" customHeight="1">
      <c r="A3454" s="2" t="s">
        <v>8805</v>
      </c>
      <c r="B3454" s="2" t="s">
        <v>8806</v>
      </c>
      <c r="C3454" s="2" t="s">
        <v>25</v>
      </c>
      <c r="D3454" s="2" t="s">
        <v>72</v>
      </c>
      <c r="E3454" s="3" t="s">
        <v>190</v>
      </c>
      <c r="F3454" s="3" t="s">
        <v>3505</v>
      </c>
      <c r="G3454" s="3" t="s">
        <v>120</v>
      </c>
      <c r="H3454" s="2" t="s">
        <v>55</v>
      </c>
      <c r="I3454" s="2" t="s">
        <v>8807</v>
      </c>
      <c r="J3454" s="3" t="str">
        <f>HYPERLINK("https://www.boe.es/gazeta/dias/1809/10/14/pdfs/GGB-H-1809-322.pdf#page=7","Abrir facsímil")</f>
        <v>Abrir facsímil</v>
      </c>
      <c r="K3454" s="3" t="s">
        <v>57</v>
      </c>
    </row>
    <row r="3455" spans="1:11" ht="42" customHeight="1">
      <c r="A3455" s="2" t="s">
        <v>8808</v>
      </c>
      <c r="B3455" s="2" t="s">
        <v>8808</v>
      </c>
      <c r="C3455" s="2" t="s">
        <v>79</v>
      </c>
      <c r="D3455" s="2" t="s">
        <v>18</v>
      </c>
      <c r="E3455" s="3" t="s">
        <v>53</v>
      </c>
      <c r="F3455" s="3" t="s">
        <v>54</v>
      </c>
      <c r="G3455" s="3" t="s">
        <v>29</v>
      </c>
      <c r="H3455" s="2" t="s">
        <v>55</v>
      </c>
      <c r="I3455" s="2" t="s">
        <v>8809</v>
      </c>
      <c r="J3455" s="3" t="str">
        <f>HYPERLINK("https://www.boe.es/gazeta/dias/1809/03/03/pdfs/GMD-1809-62.pdf#page=3","Abrir facsímil")</f>
        <v>Abrir facsímil</v>
      </c>
      <c r="K3455" s="3" t="s">
        <v>57</v>
      </c>
    </row>
    <row r="3456" spans="1:11" ht="42" customHeight="1">
      <c r="A3456" s="2" t="s">
        <v>8810</v>
      </c>
      <c r="B3456" s="2" t="s">
        <v>8810</v>
      </c>
      <c r="C3456" s="2" t="s">
        <v>25</v>
      </c>
      <c r="D3456" s="2" t="s">
        <v>26</v>
      </c>
      <c r="E3456" s="3" t="s">
        <v>3949</v>
      </c>
      <c r="F3456" s="3" t="s">
        <v>3950</v>
      </c>
      <c r="G3456" s="3" t="s">
        <v>816</v>
      </c>
      <c r="H3456" s="2" t="s">
        <v>55</v>
      </c>
      <c r="I3456" s="2" t="s">
        <v>8811</v>
      </c>
      <c r="J3456" s="3" t="str">
        <f>HYPERLINK("https://www.boe.es/gazeta/dias/1809/09/09/pdfs/GGB-1809-172.pdf#page=7","Abrir facsímil")</f>
        <v>Abrir facsímil</v>
      </c>
      <c r="K3456" s="3" t="s">
        <v>57</v>
      </c>
    </row>
    <row r="3457" spans="1:11" ht="42" customHeight="1">
      <c r="A3457" s="2" t="s">
        <v>8812</v>
      </c>
      <c r="B3457" s="2" t="s">
        <v>8813</v>
      </c>
      <c r="C3457" s="2" t="s">
        <v>17</v>
      </c>
      <c r="D3457" s="2" t="s">
        <v>18</v>
      </c>
      <c r="E3457" s="3" t="s">
        <v>3397</v>
      </c>
      <c r="F3457" s="3" t="s">
        <v>3398</v>
      </c>
      <c r="G3457" s="3" t="s">
        <v>225</v>
      </c>
      <c r="H3457" s="2" t="s">
        <v>55</v>
      </c>
      <c r="I3457" s="2" t="s">
        <v>8814</v>
      </c>
      <c r="J3457" s="3" t="str">
        <f>HYPERLINK("https://www.boe.es/gazeta/dias/1809/02/08/pdfs/GMD-1809-39.pdf#page=4","Abrir facsímil")</f>
        <v>Abrir facsímil</v>
      </c>
      <c r="K3457" s="3" t="s">
        <v>57</v>
      </c>
    </row>
    <row r="3458" spans="1:11" ht="42" customHeight="1">
      <c r="A3458" s="2" t="s">
        <v>8815</v>
      </c>
      <c r="B3458" s="2" t="s">
        <v>8816</v>
      </c>
      <c r="C3458" s="2" t="s">
        <v>25</v>
      </c>
      <c r="D3458" s="2" t="s">
        <v>18</v>
      </c>
      <c r="E3458" s="3" t="s">
        <v>7139</v>
      </c>
      <c r="F3458" s="3" t="s">
        <v>7140</v>
      </c>
      <c r="G3458" s="3" t="s">
        <v>8817</v>
      </c>
      <c r="H3458" s="2" t="s">
        <v>55</v>
      </c>
      <c r="I3458" s="2" t="s">
        <v>8818</v>
      </c>
      <c r="J3458" s="3" t="str">
        <f>HYPERLINK("https://www.boe.es/gazeta/dias/1809/01/24/pdfs/GMD-1809-24.pdf#page=4","Abrir facsímil")</f>
        <v>Abrir facsímil</v>
      </c>
      <c r="K3458" s="3" t="s">
        <v>57</v>
      </c>
    </row>
    <row r="3459" spans="1:11" ht="42" customHeight="1">
      <c r="A3459" s="2" t="s">
        <v>8815</v>
      </c>
      <c r="B3459" s="2" t="s">
        <v>8816</v>
      </c>
      <c r="C3459" s="2" t="s">
        <v>25</v>
      </c>
      <c r="D3459" s="2" t="s">
        <v>18</v>
      </c>
      <c r="E3459" s="3" t="s">
        <v>283</v>
      </c>
      <c r="F3459" s="3" t="s">
        <v>284</v>
      </c>
      <c r="G3459" s="3" t="s">
        <v>21</v>
      </c>
      <c r="H3459" s="2" t="s">
        <v>55</v>
      </c>
      <c r="I3459" s="2" t="s">
        <v>8819</v>
      </c>
      <c r="J3459" s="3" t="str">
        <f>HYPERLINK("https://www.boe.es/gazeta/dias/1809/02/09/pdfs/GMD-1809-40.pdf#page=1","Abrir facsímil")</f>
        <v>Abrir facsímil</v>
      </c>
      <c r="K3459" s="3" t="s">
        <v>57</v>
      </c>
    </row>
    <row r="3460" spans="1:11" ht="42" customHeight="1">
      <c r="A3460" s="2" t="s">
        <v>8815</v>
      </c>
      <c r="B3460" s="2" t="s">
        <v>8816</v>
      </c>
      <c r="C3460" s="2" t="s">
        <v>25</v>
      </c>
      <c r="D3460" s="2" t="s">
        <v>72</v>
      </c>
      <c r="E3460" s="3" t="s">
        <v>118</v>
      </c>
      <c r="F3460" s="3" t="s">
        <v>819</v>
      </c>
      <c r="G3460" s="3" t="s">
        <v>270</v>
      </c>
      <c r="H3460" s="2" t="s">
        <v>55</v>
      </c>
      <c r="I3460" s="2" t="s">
        <v>8820</v>
      </c>
      <c r="J3460" s="3" t="str">
        <f>HYPERLINK("https://www.boe.es/gazeta/dias/1809/09/07/pdfs/GGB-H-1809-162.pdf#page=1","Abrir facsímil")</f>
        <v>Abrir facsímil</v>
      </c>
      <c r="K3460" s="3" t="s">
        <v>57</v>
      </c>
    </row>
    <row r="3461" spans="1:11" ht="42" customHeight="1">
      <c r="A3461" s="2" t="s">
        <v>8821</v>
      </c>
      <c r="B3461" s="2" t="s">
        <v>8821</v>
      </c>
      <c r="C3461" s="2" t="s">
        <v>25</v>
      </c>
      <c r="D3461" s="2" t="s">
        <v>18</v>
      </c>
      <c r="E3461" s="3" t="s">
        <v>814</v>
      </c>
      <c r="F3461" s="3" t="s">
        <v>815</v>
      </c>
      <c r="G3461" s="3" t="s">
        <v>8582</v>
      </c>
      <c r="H3461" s="2" t="s">
        <v>55</v>
      </c>
      <c r="I3461" s="2" t="s">
        <v>8822</v>
      </c>
      <c r="J3461" s="3" t="str">
        <f>HYPERLINK("https://www.boe.es/gazeta/dias/1809/12/09/pdfs/GGB-1809-562.pdf#page=4","Abrir facsímil")</f>
        <v>Abrir facsímil</v>
      </c>
      <c r="K3461" s="3" t="s">
        <v>57</v>
      </c>
    </row>
    <row r="3462" spans="1:11" ht="42" customHeight="1">
      <c r="A3462" s="2" t="s">
        <v>8823</v>
      </c>
      <c r="B3462" s="2" t="s">
        <v>8823</v>
      </c>
      <c r="C3462" s="2" t="s">
        <v>25</v>
      </c>
      <c r="D3462" s="2" t="s">
        <v>107</v>
      </c>
      <c r="E3462" s="3" t="s">
        <v>1667</v>
      </c>
      <c r="F3462" s="3" t="s">
        <v>1668</v>
      </c>
      <c r="G3462" s="3" t="s">
        <v>239</v>
      </c>
      <c r="H3462" s="2" t="s">
        <v>55</v>
      </c>
      <c r="I3462" s="2" t="s">
        <v>8824</v>
      </c>
      <c r="J3462" s="3" t="str">
        <f>HYPERLINK("https://www.boe.es/gazeta/dias/1809/02/21/pdfs/GMD-1809-52.pdf#page=6","Abrir facsímil")</f>
        <v>Abrir facsímil</v>
      </c>
      <c r="K3462" s="3" t="s">
        <v>57</v>
      </c>
    </row>
    <row r="3463" spans="1:11" ht="42" customHeight="1">
      <c r="A3463" s="2" t="s">
        <v>8825</v>
      </c>
      <c r="B3463" s="2" t="s">
        <v>8825</v>
      </c>
      <c r="C3463" s="2" t="s">
        <v>25</v>
      </c>
      <c r="D3463" s="2" t="s">
        <v>18</v>
      </c>
      <c r="E3463" s="3" t="s">
        <v>1616</v>
      </c>
      <c r="F3463" s="3" t="s">
        <v>2656</v>
      </c>
      <c r="G3463" s="3" t="s">
        <v>8826</v>
      </c>
      <c r="H3463" s="2" t="s">
        <v>55</v>
      </c>
      <c r="I3463" s="2" t="s">
        <v>8827</v>
      </c>
      <c r="J3463" s="3" t="str">
        <f>HYPERLINK("https://www.boe.es/gazeta/dias/1809/01/14/pdfs/GMD-1809-14.pdf#page=4","Abrir facsímil")</f>
        <v>Abrir facsímil</v>
      </c>
      <c r="K3463" s="3" t="s">
        <v>57</v>
      </c>
    </row>
    <row r="3464" spans="1:11" ht="42" customHeight="1">
      <c r="A3464" s="2" t="s">
        <v>8828</v>
      </c>
      <c r="B3464" s="2" t="s">
        <v>8829</v>
      </c>
      <c r="C3464" s="2" t="s">
        <v>131</v>
      </c>
      <c r="D3464" s="2" t="s">
        <v>18</v>
      </c>
      <c r="E3464" s="3" t="s">
        <v>102</v>
      </c>
      <c r="F3464" s="3" t="s">
        <v>103</v>
      </c>
      <c r="G3464" s="3" t="s">
        <v>1706</v>
      </c>
      <c r="H3464" s="2" t="s">
        <v>55</v>
      </c>
      <c r="I3464" s="2" t="s">
        <v>8830</v>
      </c>
      <c r="J3464" s="3" t="str">
        <f>HYPERLINK("https://www.boe.es/gazeta/dias/1809/09/28/pdfs/GGB-1809-252.pdf#page=5","Abrir facsímil")</f>
        <v>Abrir facsímil</v>
      </c>
      <c r="K3464" s="3" t="s">
        <v>57</v>
      </c>
    </row>
    <row r="3465" spans="1:11" ht="42" customHeight="1">
      <c r="A3465" s="2" t="s">
        <v>8831</v>
      </c>
      <c r="B3465" s="2" t="s">
        <v>8832</v>
      </c>
      <c r="C3465" s="2" t="s">
        <v>39</v>
      </c>
      <c r="D3465" s="2" t="s">
        <v>18</v>
      </c>
      <c r="E3465" s="3" t="s">
        <v>712</v>
      </c>
      <c r="F3465" s="3" t="s">
        <v>713</v>
      </c>
      <c r="G3465" s="3" t="s">
        <v>120</v>
      </c>
      <c r="H3465" s="2" t="s">
        <v>55</v>
      </c>
      <c r="I3465" s="2" t="s">
        <v>8833</v>
      </c>
      <c r="J3465" s="3" t="str">
        <f>HYPERLINK("https://www.boe.es/gazeta/dias/1809/09/10/pdfs/GMD-1809-254.pdf#page=2","Abrir facsímil")</f>
        <v>Abrir facsímil</v>
      </c>
      <c r="K3465" s="3" t="s">
        <v>57</v>
      </c>
    </row>
    <row r="3466" spans="1:11" ht="42" customHeight="1">
      <c r="A3466" s="2" t="s">
        <v>8834</v>
      </c>
      <c r="B3466" s="2" t="s">
        <v>8834</v>
      </c>
      <c r="C3466" s="2" t="s">
        <v>17</v>
      </c>
      <c r="D3466" s="2" t="s">
        <v>107</v>
      </c>
      <c r="E3466" s="3" t="s">
        <v>3366</v>
      </c>
      <c r="F3466" s="3" t="s">
        <v>8835</v>
      </c>
      <c r="G3466" s="3" t="s">
        <v>861</v>
      </c>
      <c r="H3466" s="2" t="s">
        <v>55</v>
      </c>
      <c r="I3466" s="2" t="s">
        <v>8836</v>
      </c>
      <c r="J3466" s="3" t="str">
        <f>HYPERLINK("https://www.boe.es/gazeta/dias/1809/04/10/pdfs/GMD-1809-100.pdf#page=1","Abrir facsímil")</f>
        <v>Abrir facsímil</v>
      </c>
      <c r="K3466" s="3" t="s">
        <v>57</v>
      </c>
    </row>
    <row r="3467" spans="1:11" ht="42" customHeight="1">
      <c r="A3467" s="2" t="s">
        <v>8837</v>
      </c>
      <c r="B3467" s="2" t="s">
        <v>8837</v>
      </c>
      <c r="C3467" s="2" t="s">
        <v>25</v>
      </c>
      <c r="D3467" s="2" t="s">
        <v>72</v>
      </c>
      <c r="E3467" s="3" t="s">
        <v>289</v>
      </c>
      <c r="F3467" s="3" t="s">
        <v>2328</v>
      </c>
      <c r="G3467" s="3" t="s">
        <v>186</v>
      </c>
      <c r="H3467" s="2" t="s">
        <v>55</v>
      </c>
      <c r="I3467" s="2" t="s">
        <v>8838</v>
      </c>
      <c r="J3467" s="3" t="str">
        <f>HYPERLINK("https://www.boe.es/gazeta/dias/1809/05/15/pdfs/GGB-G-1809-27.pdf#page=2","Abrir facsímil")</f>
        <v>Abrir facsímil</v>
      </c>
      <c r="K3467" s="3" t="s">
        <v>57</v>
      </c>
    </row>
    <row r="3468" spans="1:11" ht="42" customHeight="1">
      <c r="A3468" s="2" t="s">
        <v>8839</v>
      </c>
      <c r="B3468" s="2" t="s">
        <v>8840</v>
      </c>
      <c r="C3468" s="2" t="s">
        <v>17</v>
      </c>
      <c r="D3468" s="2" t="s">
        <v>18</v>
      </c>
      <c r="E3468" s="3" t="s">
        <v>2060</v>
      </c>
      <c r="F3468" s="3" t="s">
        <v>2061</v>
      </c>
      <c r="G3468" s="3" t="s">
        <v>239</v>
      </c>
      <c r="H3468" s="2" t="s">
        <v>55</v>
      </c>
      <c r="I3468" s="2" t="s">
        <v>8841</v>
      </c>
      <c r="J3468" s="3" t="str">
        <f>HYPERLINK("https://www.boe.es/gazeta/dias/1809/07/18/pdfs/GGB-1809-46.pdf#page=11","Abrir facsímil")</f>
        <v>Abrir facsímil</v>
      </c>
      <c r="K3468" s="3" t="s">
        <v>57</v>
      </c>
    </row>
    <row r="3469" spans="1:11" ht="42" customHeight="1">
      <c r="A3469" s="2" t="s">
        <v>8842</v>
      </c>
      <c r="B3469" s="2" t="s">
        <v>8842</v>
      </c>
      <c r="C3469" s="2" t="s">
        <v>25</v>
      </c>
      <c r="D3469" s="2" t="s">
        <v>107</v>
      </c>
      <c r="E3469" s="3" t="s">
        <v>179</v>
      </c>
      <c r="F3469" s="3" t="s">
        <v>2418</v>
      </c>
      <c r="G3469" s="3" t="s">
        <v>129</v>
      </c>
      <c r="H3469" s="2" t="s">
        <v>55</v>
      </c>
      <c r="I3469" s="2" t="s">
        <v>8843</v>
      </c>
      <c r="J3469" s="3" t="str">
        <f>HYPERLINK("https://www.boe.es/gazeta/dias/1809/12/08/pdfs/GMD-1809-343.pdf#page=2","Abrir facsímil")</f>
        <v>Abrir facsímil</v>
      </c>
      <c r="K3469" s="3" t="s">
        <v>57</v>
      </c>
    </row>
    <row r="3470" spans="1:11" ht="42" customHeight="1">
      <c r="A3470" s="2" t="s">
        <v>8842</v>
      </c>
      <c r="B3470" s="2" t="s">
        <v>8842</v>
      </c>
      <c r="C3470" s="2" t="s">
        <v>25</v>
      </c>
      <c r="D3470" s="2" t="s">
        <v>18</v>
      </c>
      <c r="E3470" s="3" t="s">
        <v>1213</v>
      </c>
      <c r="F3470" s="3" t="s">
        <v>1214</v>
      </c>
      <c r="G3470" s="3" t="s">
        <v>110</v>
      </c>
      <c r="H3470" s="2" t="s">
        <v>55</v>
      </c>
      <c r="I3470" s="2" t="s">
        <v>8844</v>
      </c>
      <c r="J3470" s="3" t="str">
        <f>HYPERLINK("https://www.boe.es/gazeta/dias/1809/12/20/pdfs/GMD-1809-355.pdf#page=2","Abrir facsímil")</f>
        <v>Abrir facsímil</v>
      </c>
      <c r="K3470" s="3" t="s">
        <v>57</v>
      </c>
    </row>
    <row r="3471" spans="1:11" ht="42" customHeight="1">
      <c r="A3471" s="2" t="s">
        <v>8845</v>
      </c>
      <c r="B3471" s="2" t="s">
        <v>8845</v>
      </c>
      <c r="C3471" s="2" t="s">
        <v>17</v>
      </c>
      <c r="D3471" s="2" t="s">
        <v>40</v>
      </c>
      <c r="E3471" s="3" t="s">
        <v>3521</v>
      </c>
      <c r="F3471" s="3" t="s">
        <v>3522</v>
      </c>
      <c r="G3471" s="3" t="s">
        <v>75</v>
      </c>
      <c r="H3471" s="2" t="s">
        <v>55</v>
      </c>
      <c r="I3471" s="2" t="s">
        <v>8846</v>
      </c>
      <c r="J3471" s="3" t="str">
        <f>HYPERLINK("https://www.boe.es/gazeta/dias/1809/02/24/pdfs/GGB-1809-9.pdf#page=8","Abrir facsímil")</f>
        <v>Abrir facsímil</v>
      </c>
      <c r="K3471" s="3" t="s">
        <v>57</v>
      </c>
    </row>
    <row r="3472" spans="1:11" ht="42" customHeight="1">
      <c r="A3472" s="2" t="s">
        <v>8845</v>
      </c>
      <c r="B3472" s="2" t="s">
        <v>8845</v>
      </c>
      <c r="C3472" s="2" t="s">
        <v>17</v>
      </c>
      <c r="D3472" s="2" t="s">
        <v>18</v>
      </c>
      <c r="E3472" s="3" t="s">
        <v>27</v>
      </c>
      <c r="F3472" s="3" t="s">
        <v>254</v>
      </c>
      <c r="G3472" s="3" t="s">
        <v>255</v>
      </c>
      <c r="H3472" s="2" t="s">
        <v>55</v>
      </c>
      <c r="I3472" s="2" t="s">
        <v>8847</v>
      </c>
      <c r="J3472" s="3" t="str">
        <f>HYPERLINK("https://www.boe.es/gazeta/dias/1809/05/12/pdfs/GGB-1809-26.pdf#page=8","Abrir facsímil")</f>
        <v>Abrir facsímil</v>
      </c>
      <c r="K3472" s="3" t="s">
        <v>57</v>
      </c>
    </row>
    <row r="3473" spans="1:11" ht="42" customHeight="1">
      <c r="A3473" s="2" t="s">
        <v>8848</v>
      </c>
      <c r="B3473" s="2" t="s">
        <v>8849</v>
      </c>
      <c r="C3473" s="2" t="s">
        <v>39</v>
      </c>
      <c r="D3473" s="2" t="s">
        <v>18</v>
      </c>
      <c r="E3473" s="3" t="s">
        <v>6100</v>
      </c>
      <c r="F3473" s="3" t="s">
        <v>6101</v>
      </c>
      <c r="G3473" s="3" t="s">
        <v>29</v>
      </c>
      <c r="H3473" s="2" t="s">
        <v>55</v>
      </c>
      <c r="I3473" s="2" t="s">
        <v>8850</v>
      </c>
      <c r="J3473" s="3" t="str">
        <f>HYPERLINK("https://www.boe.es/gazeta/dias/1809/01/21/pdfs/GMD-1809-21.pdf#page=3","Abrir facsímil")</f>
        <v>Abrir facsímil</v>
      </c>
      <c r="K3473" s="3" t="s">
        <v>57</v>
      </c>
    </row>
    <row r="3474" spans="1:11" ht="42" customHeight="1">
      <c r="A3474" s="2" t="s">
        <v>8851</v>
      </c>
      <c r="B3474" s="2" t="s">
        <v>8852</v>
      </c>
      <c r="C3474" s="2" t="s">
        <v>17</v>
      </c>
      <c r="D3474" s="2" t="s">
        <v>18</v>
      </c>
      <c r="E3474" s="3" t="s">
        <v>299</v>
      </c>
      <c r="F3474" s="3" t="s">
        <v>300</v>
      </c>
      <c r="G3474" s="3" t="s">
        <v>693</v>
      </c>
      <c r="H3474" s="2" t="s">
        <v>55</v>
      </c>
      <c r="I3474" s="2" t="s">
        <v>8853</v>
      </c>
      <c r="J3474" s="3" t="str">
        <f>HYPERLINK("https://www.boe.es/gazeta/dias/1809/05/26/pdfs/GGB-1809-31.pdf#page=9","Abrir facsímil")</f>
        <v>Abrir facsímil</v>
      </c>
      <c r="K3474" s="3" t="s">
        <v>57</v>
      </c>
    </row>
    <row r="3475" spans="1:11" ht="42" customHeight="1">
      <c r="A3475" s="2" t="s">
        <v>8854</v>
      </c>
      <c r="B3475" s="2" t="s">
        <v>8855</v>
      </c>
      <c r="C3475" s="2" t="s">
        <v>79</v>
      </c>
      <c r="D3475" s="2" t="s">
        <v>18</v>
      </c>
      <c r="E3475" s="3" t="s">
        <v>390</v>
      </c>
      <c r="F3475" s="3" t="s">
        <v>391</v>
      </c>
      <c r="G3475" s="3" t="s">
        <v>340</v>
      </c>
      <c r="H3475" s="2" t="s">
        <v>55</v>
      </c>
      <c r="I3475" s="2" t="s">
        <v>8856</v>
      </c>
      <c r="J3475" s="3" t="str">
        <f>HYPERLINK("https://www.boe.es/gazeta/dias/1809/10/19/pdfs/GGB-1809-342.pdf#page=6","Abrir facsímil")</f>
        <v>Abrir facsímil</v>
      </c>
      <c r="K3475" s="3" t="s">
        <v>57</v>
      </c>
    </row>
    <row r="3476" spans="1:11" ht="42" customHeight="1">
      <c r="A3476" s="2" t="s">
        <v>8857</v>
      </c>
      <c r="B3476" s="2" t="s">
        <v>8857</v>
      </c>
      <c r="C3476" s="2" t="s">
        <v>25</v>
      </c>
      <c r="D3476" s="2" t="s">
        <v>18</v>
      </c>
      <c r="E3476" s="3" t="s">
        <v>147</v>
      </c>
      <c r="F3476" s="3" t="s">
        <v>148</v>
      </c>
      <c r="G3476" s="3" t="s">
        <v>110</v>
      </c>
      <c r="H3476" s="2" t="s">
        <v>55</v>
      </c>
      <c r="I3476" s="2" t="s">
        <v>8858</v>
      </c>
      <c r="J3476" s="3" t="str">
        <f>HYPERLINK("https://www.boe.es/gazeta/dias/1809/10/07/pdfs/GGB-1809-292.pdf#page=3","Abrir facsímil")</f>
        <v>Abrir facsímil</v>
      </c>
      <c r="K3476" s="3" t="s">
        <v>57</v>
      </c>
    </row>
    <row r="3477" spans="1:11" ht="42" customHeight="1">
      <c r="A3477" s="2" t="s">
        <v>8859</v>
      </c>
      <c r="B3477" s="2" t="s">
        <v>8860</v>
      </c>
      <c r="C3477" s="2" t="s">
        <v>25</v>
      </c>
      <c r="D3477" s="2" t="s">
        <v>26</v>
      </c>
      <c r="E3477" s="3" t="s">
        <v>66</v>
      </c>
      <c r="F3477" s="3" t="s">
        <v>793</v>
      </c>
      <c r="G3477" s="3" t="s">
        <v>239</v>
      </c>
      <c r="H3477" s="2" t="s">
        <v>55</v>
      </c>
      <c r="I3477" s="2" t="s">
        <v>8861</v>
      </c>
      <c r="J3477" s="3" t="str">
        <f>HYPERLINK("https://www.boe.es/gazeta/dias/1809/12/30/pdfs/GMD-1809-365.pdf#page=4","Abrir facsímil")</f>
        <v>Abrir facsímil</v>
      </c>
      <c r="K3477" s="3" t="s">
        <v>57</v>
      </c>
    </row>
    <row r="3478" spans="1:11" ht="42" customHeight="1">
      <c r="A3478" s="2" t="s">
        <v>8862</v>
      </c>
      <c r="B3478" s="2" t="s">
        <v>8863</v>
      </c>
      <c r="C3478" s="2" t="s">
        <v>131</v>
      </c>
      <c r="D3478" s="2" t="s">
        <v>26</v>
      </c>
      <c r="E3478" s="3" t="s">
        <v>515</v>
      </c>
      <c r="F3478" s="3" t="s">
        <v>516</v>
      </c>
      <c r="G3478" s="3" t="s">
        <v>1380</v>
      </c>
      <c r="H3478" s="2" t="s">
        <v>55</v>
      </c>
      <c r="I3478" s="2" t="s">
        <v>8864</v>
      </c>
      <c r="J3478" s="3" t="str">
        <f>HYPERLINK("https://www.boe.es/gazeta/dias/1809/09/02/pdfs/GMD-1809-246.pdf#page=3","Abrir facsímil")</f>
        <v>Abrir facsímil</v>
      </c>
      <c r="K3478" s="3" t="s">
        <v>57</v>
      </c>
    </row>
    <row r="3479" spans="1:11" ht="42" customHeight="1">
      <c r="A3479" s="2" t="s">
        <v>8865</v>
      </c>
      <c r="B3479" s="2" t="s">
        <v>8866</v>
      </c>
      <c r="C3479" s="2" t="s">
        <v>25</v>
      </c>
      <c r="D3479" s="2" t="s">
        <v>18</v>
      </c>
      <c r="E3479" s="3" t="s">
        <v>3397</v>
      </c>
      <c r="F3479" s="3" t="s">
        <v>3398</v>
      </c>
      <c r="G3479" s="3" t="s">
        <v>4342</v>
      </c>
      <c r="H3479" s="2" t="s">
        <v>22</v>
      </c>
      <c r="I3479" s="2" t="s">
        <v>8867</v>
      </c>
      <c r="J3479" s="3" t="str">
        <f>HYPERLINK("https://www.boe.es/gazeta/dias/1809/02/08/pdfs/GMD-1809-39.pdf#page=3","Abrir facsímil")</f>
        <v>Abrir facsímil</v>
      </c>
      <c r="K3479" s="3" t="s">
        <v>24</v>
      </c>
    </row>
    <row r="3480" spans="1:11" ht="42" customHeight="1">
      <c r="A3480" s="2" t="s">
        <v>8868</v>
      </c>
      <c r="B3480" s="2" t="s">
        <v>8869</v>
      </c>
      <c r="C3480" s="2" t="s">
        <v>17</v>
      </c>
      <c r="D3480" s="2" t="s">
        <v>18</v>
      </c>
      <c r="E3480" s="3" t="s">
        <v>864</v>
      </c>
      <c r="F3480" s="3" t="s">
        <v>2684</v>
      </c>
      <c r="G3480" s="3" t="s">
        <v>89</v>
      </c>
      <c r="H3480" s="2" t="s">
        <v>55</v>
      </c>
      <c r="I3480" s="2" t="s">
        <v>8870</v>
      </c>
      <c r="J3480" s="3" t="str">
        <f>HYPERLINK("https://www.boe.es/gazeta/dias/1809/08/31/pdfs/GGB-1809-132.pdf#page=2","Abrir facsímil")</f>
        <v>Abrir facsímil</v>
      </c>
      <c r="K3480" s="3" t="s">
        <v>57</v>
      </c>
    </row>
    <row r="3481" spans="1:11" ht="42" customHeight="1">
      <c r="A3481" s="2" t="s">
        <v>8871</v>
      </c>
      <c r="B3481" s="2" t="s">
        <v>8872</v>
      </c>
      <c r="C3481" s="2" t="s">
        <v>25</v>
      </c>
      <c r="D3481" s="2" t="s">
        <v>18</v>
      </c>
      <c r="E3481" s="3" t="s">
        <v>299</v>
      </c>
      <c r="F3481" s="3" t="s">
        <v>300</v>
      </c>
      <c r="G3481" s="3" t="s">
        <v>1319</v>
      </c>
      <c r="H3481" s="2" t="s">
        <v>55</v>
      </c>
      <c r="I3481" s="2" t="s">
        <v>8873</v>
      </c>
      <c r="J3481" s="3" t="str">
        <f>HYPERLINK("https://www.boe.es/gazeta/dias/1809/05/26/pdfs/GGB-1809-31.pdf#page=11","Abrir facsímil")</f>
        <v>Abrir facsímil</v>
      </c>
      <c r="K3481" s="3" t="s">
        <v>57</v>
      </c>
    </row>
    <row r="3482" spans="1:11" ht="42" customHeight="1">
      <c r="A3482" s="2" t="s">
        <v>8874</v>
      </c>
      <c r="B3482" s="2" t="s">
        <v>8875</v>
      </c>
      <c r="C3482" s="2" t="s">
        <v>2176</v>
      </c>
      <c r="D3482" s="2" t="s">
        <v>18</v>
      </c>
      <c r="E3482" s="3" t="s">
        <v>4361</v>
      </c>
      <c r="F3482" s="3" t="s">
        <v>4362</v>
      </c>
      <c r="G3482" s="3" t="s">
        <v>75</v>
      </c>
      <c r="H3482" s="2" t="s">
        <v>55</v>
      </c>
      <c r="I3482" s="2" t="s">
        <v>8876</v>
      </c>
      <c r="J3482" s="3" t="str">
        <f>HYPERLINK("https://www.boe.es/gazeta/dias/1809/01/28/pdfs/GMD-1809-28.pdf#page=3","Abrir facsímil")</f>
        <v>Abrir facsímil</v>
      </c>
      <c r="K3482" s="3" t="s">
        <v>57</v>
      </c>
    </row>
    <row r="3483" spans="1:11" ht="42" customHeight="1">
      <c r="A3483" s="2" t="s">
        <v>8877</v>
      </c>
      <c r="B3483" s="2" t="s">
        <v>8877</v>
      </c>
      <c r="C3483" s="2" t="s">
        <v>25</v>
      </c>
      <c r="D3483" s="2" t="s">
        <v>18</v>
      </c>
      <c r="E3483" s="3" t="s">
        <v>1736</v>
      </c>
      <c r="F3483" s="3" t="s">
        <v>1737</v>
      </c>
      <c r="G3483" s="3" t="s">
        <v>1293</v>
      </c>
      <c r="H3483" s="2" t="s">
        <v>55</v>
      </c>
      <c r="I3483" s="2" t="s">
        <v>8878</v>
      </c>
      <c r="J3483" s="3" t="str">
        <f>HYPERLINK("https://www.boe.es/gazeta/dias/1809/02/28/pdfs/GMD-1809-59.pdf#page=2","Abrir facsímil")</f>
        <v>Abrir facsímil</v>
      </c>
      <c r="K3483" s="3" t="s">
        <v>57</v>
      </c>
    </row>
    <row r="3484" spans="1:11" ht="42" customHeight="1">
      <c r="A3484" s="2" t="s">
        <v>8879</v>
      </c>
      <c r="B3484" s="2" t="s">
        <v>8880</v>
      </c>
      <c r="C3484" s="2" t="s">
        <v>17</v>
      </c>
      <c r="D3484" s="2" t="s">
        <v>18</v>
      </c>
      <c r="E3484" s="3" t="s">
        <v>1468</v>
      </c>
      <c r="F3484" s="3" t="s">
        <v>1469</v>
      </c>
      <c r="G3484" s="3" t="s">
        <v>104</v>
      </c>
      <c r="H3484" s="2" t="s">
        <v>55</v>
      </c>
      <c r="I3484" s="2" t="s">
        <v>8881</v>
      </c>
      <c r="J3484" s="3" t="str">
        <f>HYPERLINK("https://www.boe.es/gazeta/dias/1809/02/12/pdfs/GMD-1809-43.pdf#page=6","Abrir facsímil")</f>
        <v>Abrir facsímil</v>
      </c>
      <c r="K3484" s="3" t="s">
        <v>57</v>
      </c>
    </row>
    <row r="3485" spans="1:11" ht="42" customHeight="1">
      <c r="A3485" s="2" t="s">
        <v>8882</v>
      </c>
      <c r="B3485" s="2" t="s">
        <v>8883</v>
      </c>
      <c r="C3485" s="2" t="s">
        <v>17</v>
      </c>
      <c r="D3485" s="2" t="s">
        <v>18</v>
      </c>
      <c r="E3485" s="3" t="s">
        <v>243</v>
      </c>
      <c r="F3485" s="3" t="s">
        <v>735</v>
      </c>
      <c r="G3485" s="3" t="s">
        <v>736</v>
      </c>
      <c r="H3485" s="2" t="s">
        <v>55</v>
      </c>
      <c r="I3485" s="2" t="s">
        <v>8884</v>
      </c>
      <c r="J3485" s="3" t="str">
        <f>HYPERLINK("https://www.boe.es/gazeta/dias/1809/02/17/pdfs/GGB-1809-8.pdf#page=8","Abrir facsímil")</f>
        <v>Abrir facsímil</v>
      </c>
      <c r="K3485" s="3" t="s">
        <v>57</v>
      </c>
    </row>
    <row r="3486" spans="1:11" ht="42" customHeight="1">
      <c r="A3486" s="2" t="s">
        <v>8885</v>
      </c>
      <c r="B3486" s="2" t="s">
        <v>8885</v>
      </c>
      <c r="C3486" s="2" t="s">
        <v>25</v>
      </c>
      <c r="D3486" s="2" t="s">
        <v>107</v>
      </c>
      <c r="E3486" s="3" t="s">
        <v>1773</v>
      </c>
      <c r="F3486" s="3" t="s">
        <v>1774</v>
      </c>
      <c r="G3486" s="3" t="s">
        <v>525</v>
      </c>
      <c r="H3486" s="2" t="s">
        <v>55</v>
      </c>
      <c r="I3486" s="2" t="s">
        <v>8886</v>
      </c>
      <c r="J3486" s="3" t="str">
        <f>HYPERLINK("https://www.boe.es/gazeta/dias/1809/12/04/pdfs/GMD-1809-339.pdf#page=2","Abrir facsímil")</f>
        <v>Abrir facsímil</v>
      </c>
      <c r="K3486" s="3" t="s">
        <v>57</v>
      </c>
    </row>
    <row r="3487" spans="1:11" ht="42" customHeight="1">
      <c r="A3487" s="2" t="s">
        <v>8887</v>
      </c>
      <c r="B3487" s="2" t="s">
        <v>8888</v>
      </c>
      <c r="C3487" s="2" t="s">
        <v>39</v>
      </c>
      <c r="D3487" s="2" t="s">
        <v>18</v>
      </c>
      <c r="E3487" s="3" t="s">
        <v>158</v>
      </c>
      <c r="F3487" s="3" t="s">
        <v>159</v>
      </c>
      <c r="G3487" s="3" t="s">
        <v>120</v>
      </c>
      <c r="H3487" s="2" t="s">
        <v>55</v>
      </c>
      <c r="I3487" s="2" t="s">
        <v>8889</v>
      </c>
      <c r="J3487" s="3" t="str">
        <f>HYPERLINK("https://www.boe.es/gazeta/dias/1809/02/10/pdfs/GGB-1809-7.pdf#page=9","Abrir facsímil")</f>
        <v>Abrir facsímil</v>
      </c>
      <c r="K3487" s="3" t="s">
        <v>57</v>
      </c>
    </row>
    <row r="3488" spans="1:11" ht="42" customHeight="1">
      <c r="A3488" s="2" t="s">
        <v>8890</v>
      </c>
      <c r="B3488" s="2" t="s">
        <v>8890</v>
      </c>
      <c r="C3488" s="2" t="s">
        <v>288</v>
      </c>
      <c r="D3488" s="2" t="s">
        <v>72</v>
      </c>
      <c r="E3488" s="3" t="s">
        <v>113</v>
      </c>
      <c r="F3488" s="3" t="s">
        <v>3549</v>
      </c>
      <c r="G3488" s="3" t="s">
        <v>1878</v>
      </c>
      <c r="H3488" s="2" t="s">
        <v>55</v>
      </c>
      <c r="I3488" s="2" t="s">
        <v>8891</v>
      </c>
      <c r="J3488" s="3" t="str">
        <f>HYPERLINK("https://www.boe.es/gazeta/dias/1809/04/24/pdfs/GGB-G-1809-21.pdf#page=3","Abrir facsímil")</f>
        <v>Abrir facsímil</v>
      </c>
      <c r="K3488" s="3" t="s">
        <v>57</v>
      </c>
    </row>
    <row r="3489" spans="1:11" ht="42" customHeight="1">
      <c r="A3489" s="2" t="s">
        <v>8892</v>
      </c>
      <c r="B3489" s="2" t="s">
        <v>8893</v>
      </c>
      <c r="C3489" s="2" t="s">
        <v>17</v>
      </c>
      <c r="D3489" s="2" t="s">
        <v>40</v>
      </c>
      <c r="E3489" s="3" t="s">
        <v>776</v>
      </c>
      <c r="F3489" s="3" t="s">
        <v>777</v>
      </c>
      <c r="G3489" s="3" t="s">
        <v>736</v>
      </c>
      <c r="H3489" s="2" t="s">
        <v>55</v>
      </c>
      <c r="I3489" s="2" t="s">
        <v>8894</v>
      </c>
      <c r="J3489" s="3" t="str">
        <f>HYPERLINK("https://www.boe.es/gazeta/dias/1809/05/28/pdfs/GMD-E-1809-148.pdf#page=1","Abrir facsímil")</f>
        <v>Abrir facsímil</v>
      </c>
      <c r="K3489" s="3" t="s">
        <v>57</v>
      </c>
    </row>
    <row r="3490" spans="1:11" ht="42" customHeight="1">
      <c r="A3490" s="2" t="s">
        <v>8895</v>
      </c>
      <c r="B3490" s="2" t="s">
        <v>8895</v>
      </c>
      <c r="C3490" s="2" t="s">
        <v>25</v>
      </c>
      <c r="D3490" s="2" t="s">
        <v>18</v>
      </c>
      <c r="E3490" s="3" t="s">
        <v>1276</v>
      </c>
      <c r="F3490" s="3" t="s">
        <v>1277</v>
      </c>
      <c r="G3490" s="3" t="s">
        <v>75</v>
      </c>
      <c r="H3490" s="2" t="s">
        <v>55</v>
      </c>
      <c r="I3490" s="2" t="s">
        <v>8896</v>
      </c>
      <c r="J3490" s="3" t="str">
        <f>HYPERLINK("https://www.boe.es/gazeta/dias/1809/01/03/pdfs/GMS-1809-63.pdf#page=2","Abrir facsímil")</f>
        <v>Abrir facsímil</v>
      </c>
      <c r="K3490" s="3" t="s">
        <v>57</v>
      </c>
    </row>
    <row r="3491" spans="1:11" ht="42" customHeight="1">
      <c r="A3491" s="2" t="s">
        <v>8897</v>
      </c>
      <c r="B3491" s="2" t="s">
        <v>8898</v>
      </c>
      <c r="C3491" s="2" t="s">
        <v>17</v>
      </c>
      <c r="D3491" s="2" t="s">
        <v>40</v>
      </c>
      <c r="E3491" s="3" t="s">
        <v>5172</v>
      </c>
      <c r="F3491" s="3" t="s">
        <v>5173</v>
      </c>
      <c r="G3491" s="3" t="s">
        <v>5174</v>
      </c>
      <c r="H3491" s="2" t="s">
        <v>55</v>
      </c>
      <c r="I3491" s="2" t="s">
        <v>8899</v>
      </c>
      <c r="J3491" s="3" t="str">
        <f>HYPERLINK("https://www.boe.es/gazeta/dias/1809/03/06/pdfs/GMD-1809-65.pdf#page=4","Abrir facsímil")</f>
        <v>Abrir facsímil</v>
      </c>
      <c r="K3491" s="3" t="s">
        <v>57</v>
      </c>
    </row>
    <row r="3492" spans="1:11" ht="42" customHeight="1">
      <c r="A3492" s="2" t="s">
        <v>8900</v>
      </c>
      <c r="B3492" s="2" t="s">
        <v>8900</v>
      </c>
      <c r="C3492" s="2" t="s">
        <v>131</v>
      </c>
      <c r="D3492" s="2" t="s">
        <v>26</v>
      </c>
      <c r="E3492" s="3" t="s">
        <v>190</v>
      </c>
      <c r="F3492" s="3" t="s">
        <v>191</v>
      </c>
      <c r="G3492" s="3" t="s">
        <v>8901</v>
      </c>
      <c r="H3492" s="2" t="s">
        <v>55</v>
      </c>
      <c r="I3492" s="2" t="s">
        <v>8902</v>
      </c>
      <c r="J3492" s="3" t="str">
        <f>HYPERLINK("https://www.boe.es/gazeta/dias/1809/10/14/pdfs/GGB-1809-322.pdf#page=5","Abrir facsímil")</f>
        <v>Abrir facsímil</v>
      </c>
      <c r="K3492" s="3" t="s">
        <v>57</v>
      </c>
    </row>
    <row r="3493" spans="1:11" ht="42" customHeight="1">
      <c r="A3493" s="2" t="s">
        <v>8903</v>
      </c>
      <c r="B3493" s="2" t="s">
        <v>8904</v>
      </c>
      <c r="C3493" s="2" t="s">
        <v>17</v>
      </c>
      <c r="D3493" s="2" t="s">
        <v>18</v>
      </c>
      <c r="E3493" s="3" t="s">
        <v>357</v>
      </c>
      <c r="F3493" s="3" t="s">
        <v>358</v>
      </c>
      <c r="G3493" s="3" t="s">
        <v>225</v>
      </c>
      <c r="H3493" s="2" t="s">
        <v>55</v>
      </c>
      <c r="I3493" s="2" t="s">
        <v>8905</v>
      </c>
      <c r="J3493" s="3" t="str">
        <f>HYPERLINK("https://www.boe.es/gazeta/dias/1809/03/20/pdfs/GMD-1809-79.pdf#page=4","Abrir facsímil")</f>
        <v>Abrir facsímil</v>
      </c>
      <c r="K3493" s="3" t="s">
        <v>57</v>
      </c>
    </row>
    <row r="3494" spans="1:11" ht="42" customHeight="1">
      <c r="A3494" s="2" t="s">
        <v>8903</v>
      </c>
      <c r="B3494" s="2" t="s">
        <v>8904</v>
      </c>
      <c r="C3494" s="2" t="s">
        <v>17</v>
      </c>
      <c r="D3494" s="2" t="s">
        <v>18</v>
      </c>
      <c r="E3494" s="3" t="s">
        <v>278</v>
      </c>
      <c r="F3494" s="3" t="s">
        <v>279</v>
      </c>
      <c r="G3494" s="3" t="s">
        <v>1680</v>
      </c>
      <c r="H3494" s="2" t="s">
        <v>55</v>
      </c>
      <c r="I3494" s="2" t="s">
        <v>8906</v>
      </c>
      <c r="J3494" s="3" t="str">
        <f>HYPERLINK("https://www.boe.es/gazeta/dias/1809/03/26/pdfs/GMD-1809-85.pdf#page=4","Abrir facsímil")</f>
        <v>Abrir facsímil</v>
      </c>
      <c r="K3494" s="3" t="s">
        <v>57</v>
      </c>
    </row>
    <row r="3495" spans="1:11" ht="42" customHeight="1">
      <c r="A3495" s="2" t="s">
        <v>8907</v>
      </c>
      <c r="B3495" s="2" t="s">
        <v>8908</v>
      </c>
      <c r="C3495" s="2" t="s">
        <v>17</v>
      </c>
      <c r="D3495" s="2" t="s">
        <v>18</v>
      </c>
      <c r="E3495" s="3" t="s">
        <v>666</v>
      </c>
      <c r="F3495" s="3" t="s">
        <v>667</v>
      </c>
      <c r="G3495" s="3" t="s">
        <v>1448</v>
      </c>
      <c r="H3495" s="2" t="s">
        <v>55</v>
      </c>
      <c r="I3495" s="2" t="s">
        <v>8909</v>
      </c>
      <c r="J3495" s="3" t="str">
        <f>HYPERLINK("https://www.boe.es/gazeta/dias/1809/08/29/pdfs/GGB-1809-122.pdf#page=7","Abrir facsímil")</f>
        <v>Abrir facsímil</v>
      </c>
      <c r="K3495" s="3" t="s">
        <v>57</v>
      </c>
    </row>
    <row r="3496" spans="1:11" ht="42" customHeight="1">
      <c r="A3496" s="2" t="s">
        <v>8907</v>
      </c>
      <c r="B3496" s="2" t="s">
        <v>8908</v>
      </c>
      <c r="C3496" s="2" t="s">
        <v>17</v>
      </c>
      <c r="D3496" s="2" t="s">
        <v>18</v>
      </c>
      <c r="E3496" s="3" t="s">
        <v>33</v>
      </c>
      <c r="F3496" s="3" t="s">
        <v>34</v>
      </c>
      <c r="G3496" s="3" t="s">
        <v>493</v>
      </c>
      <c r="H3496" s="2" t="s">
        <v>55</v>
      </c>
      <c r="I3496" s="2" t="s">
        <v>8910</v>
      </c>
      <c r="J3496" s="3" t="str">
        <f>HYPERLINK("https://www.boe.es/gazeta/dias/1809/12/19/pdfs/GGB-1809-602.pdf#page=6","Abrir facsímil")</f>
        <v>Abrir facsímil</v>
      </c>
      <c r="K3496" s="3" t="s">
        <v>57</v>
      </c>
    </row>
    <row r="3497" spans="1:11" ht="42" customHeight="1">
      <c r="A3497" s="2" t="s">
        <v>8911</v>
      </c>
      <c r="B3497" s="2" t="s">
        <v>8912</v>
      </c>
      <c r="C3497" s="2" t="s">
        <v>25</v>
      </c>
      <c r="D3497" s="2" t="s">
        <v>80</v>
      </c>
      <c r="E3497" s="3" t="s">
        <v>179</v>
      </c>
      <c r="F3497" s="3" t="s">
        <v>180</v>
      </c>
      <c r="G3497" s="3" t="s">
        <v>239</v>
      </c>
      <c r="H3497" s="2" t="s">
        <v>55</v>
      </c>
      <c r="I3497" s="2" t="s">
        <v>8913</v>
      </c>
      <c r="J3497" s="3" t="str">
        <f>HYPERLINK("https://www.boe.es/gazeta/dias/1809/12/08/pdfs/GGB-1809-552E.pdf#page=2","Abrir facsímil")</f>
        <v>Abrir facsímil</v>
      </c>
      <c r="K3497" s="3" t="s">
        <v>57</v>
      </c>
    </row>
    <row r="3498" spans="1:11" ht="42" customHeight="1">
      <c r="A3498" s="2" t="s">
        <v>8914</v>
      </c>
      <c r="B3498" s="2" t="s">
        <v>8915</v>
      </c>
      <c r="C3498" s="2" t="s">
        <v>17</v>
      </c>
      <c r="D3498" s="2" t="s">
        <v>18</v>
      </c>
      <c r="E3498" s="3" t="s">
        <v>1898</v>
      </c>
      <c r="F3498" s="3" t="s">
        <v>1970</v>
      </c>
      <c r="G3498" s="3" t="s">
        <v>154</v>
      </c>
      <c r="H3498" s="2" t="s">
        <v>55</v>
      </c>
      <c r="I3498" s="2" t="s">
        <v>8916</v>
      </c>
      <c r="J3498" s="3" t="str">
        <f>HYPERLINK("https://www.boe.es/gazeta/dias/1809/12/02/pdfs/GMD-1809-337.pdf#page=4","Abrir facsímil")</f>
        <v>Abrir facsímil</v>
      </c>
      <c r="K3498" s="3" t="s">
        <v>57</v>
      </c>
    </row>
    <row r="3499" spans="1:11" ht="42" customHeight="1">
      <c r="A3499" s="2" t="s">
        <v>8917</v>
      </c>
      <c r="B3499" s="2" t="s">
        <v>8918</v>
      </c>
      <c r="C3499" s="2" t="s">
        <v>17</v>
      </c>
      <c r="D3499" s="2" t="s">
        <v>72</v>
      </c>
      <c r="E3499" s="3" t="s">
        <v>243</v>
      </c>
      <c r="F3499" s="3" t="s">
        <v>244</v>
      </c>
      <c r="G3499" s="3" t="s">
        <v>582</v>
      </c>
      <c r="H3499" s="2" t="s">
        <v>55</v>
      </c>
      <c r="I3499" s="2" t="s">
        <v>8919</v>
      </c>
      <c r="J3499" s="3" t="str">
        <f>HYPERLINK("https://www.boe.es/gazeta/dias/1809/02/17/pdfs/GGB-G-1809-8.pdf#page=7","Abrir facsímil")</f>
        <v>Abrir facsímil</v>
      </c>
      <c r="K3499" s="3" t="s">
        <v>57</v>
      </c>
    </row>
    <row r="3500" spans="1:11" ht="42" customHeight="1">
      <c r="A3500" s="2" t="s">
        <v>8920</v>
      </c>
      <c r="B3500" s="2" t="s">
        <v>8921</v>
      </c>
      <c r="C3500" s="2" t="s">
        <v>25</v>
      </c>
      <c r="D3500" s="2" t="s">
        <v>18</v>
      </c>
      <c r="E3500" s="3" t="s">
        <v>3714</v>
      </c>
      <c r="F3500" s="3" t="s">
        <v>4205</v>
      </c>
      <c r="G3500" s="3" t="s">
        <v>623</v>
      </c>
      <c r="H3500" s="2" t="s">
        <v>55</v>
      </c>
      <c r="I3500" s="2" t="s">
        <v>8922</v>
      </c>
      <c r="J3500" s="3" t="str">
        <f>HYPERLINK("https://www.boe.es/gazeta/dias/1809/12/07/pdfs/GGB-1809-552.pdf#page=6","Abrir facsímil")</f>
        <v>Abrir facsímil</v>
      </c>
      <c r="K3500" s="3" t="s">
        <v>57</v>
      </c>
    </row>
    <row r="3501" spans="1:11" ht="42" customHeight="1">
      <c r="A3501" s="2" t="s">
        <v>8923</v>
      </c>
      <c r="B3501" s="2" t="s">
        <v>8924</v>
      </c>
      <c r="C3501" s="2" t="s">
        <v>25</v>
      </c>
      <c r="D3501" s="2" t="s">
        <v>40</v>
      </c>
      <c r="E3501" s="3" t="s">
        <v>1237</v>
      </c>
      <c r="F3501" s="3" t="s">
        <v>1238</v>
      </c>
      <c r="G3501" s="3" t="s">
        <v>3291</v>
      </c>
      <c r="H3501" s="2" t="s">
        <v>55</v>
      </c>
      <c r="I3501" s="2" t="s">
        <v>8925</v>
      </c>
      <c r="J3501" s="3" t="str">
        <f>HYPERLINK("https://www.boe.es/gazeta/dias/1809/12/26/pdfs/GGB-1809-632.pdf#page=5","Abrir facsímil")</f>
        <v>Abrir facsímil</v>
      </c>
      <c r="K3501" s="3" t="s">
        <v>57</v>
      </c>
    </row>
    <row r="3502" spans="1:11" ht="42" customHeight="1">
      <c r="A3502" s="2" t="s">
        <v>8926</v>
      </c>
      <c r="B3502" s="2" t="s">
        <v>8927</v>
      </c>
      <c r="C3502" s="2" t="s">
        <v>25</v>
      </c>
      <c r="D3502" s="2" t="s">
        <v>18</v>
      </c>
      <c r="E3502" s="3" t="s">
        <v>3031</v>
      </c>
      <c r="F3502" s="3" t="s">
        <v>3032</v>
      </c>
      <c r="G3502" s="3" t="s">
        <v>225</v>
      </c>
      <c r="H3502" s="2" t="s">
        <v>55</v>
      </c>
      <c r="I3502" s="2" t="s">
        <v>8928</v>
      </c>
      <c r="J3502" s="3" t="str">
        <f>HYPERLINK("https://www.boe.es/gazeta/dias/1809/08/18/pdfs/GMD-1809-231.pdf#page=4","Abrir facsímil")</f>
        <v>Abrir facsímil</v>
      </c>
      <c r="K3502" s="3" t="s">
        <v>57</v>
      </c>
    </row>
    <row r="3503" spans="1:11" ht="42" customHeight="1">
      <c r="A3503" s="2" t="s">
        <v>8929</v>
      </c>
      <c r="B3503" s="2" t="s">
        <v>8930</v>
      </c>
      <c r="C3503" s="2" t="s">
        <v>17</v>
      </c>
      <c r="D3503" s="2" t="s">
        <v>18</v>
      </c>
      <c r="E3503" s="3" t="s">
        <v>196</v>
      </c>
      <c r="F3503" s="3" t="s">
        <v>197</v>
      </c>
      <c r="G3503" s="3" t="s">
        <v>198</v>
      </c>
      <c r="H3503" s="2" t="s">
        <v>55</v>
      </c>
      <c r="I3503" s="2" t="s">
        <v>8931</v>
      </c>
      <c r="J3503" s="3" t="str">
        <f>HYPERLINK("https://www.boe.es/gazeta/dias/1809/09/04/pdfs/GMD-1809-248.pdf#page=3","Abrir facsímil")</f>
        <v>Abrir facsímil</v>
      </c>
      <c r="K3503" s="3" t="s">
        <v>57</v>
      </c>
    </row>
    <row r="3504" spans="1:11" ht="42" customHeight="1">
      <c r="A3504" s="2" t="s">
        <v>8932</v>
      </c>
      <c r="B3504" s="2" t="s">
        <v>8932</v>
      </c>
      <c r="C3504" s="2" t="s">
        <v>25</v>
      </c>
      <c r="D3504" s="2" t="s">
        <v>18</v>
      </c>
      <c r="E3504" s="3" t="s">
        <v>2818</v>
      </c>
      <c r="F3504" s="3" t="s">
        <v>2819</v>
      </c>
      <c r="G3504" s="3" t="s">
        <v>120</v>
      </c>
      <c r="H3504" s="2" t="s">
        <v>55</v>
      </c>
      <c r="I3504" s="2" t="s">
        <v>8933</v>
      </c>
      <c r="J3504" s="3" t="str">
        <f>HYPERLINK("https://www.boe.es/gazeta/dias/1809/02/03/pdfs/GMD-1809-34.pdf#page=1","Abrir facsímil")</f>
        <v>Abrir facsímil</v>
      </c>
      <c r="K3504" s="3" t="s">
        <v>57</v>
      </c>
    </row>
    <row r="3505" spans="1:11" ht="42" customHeight="1">
      <c r="A3505" s="2" t="s">
        <v>8932</v>
      </c>
      <c r="B3505" s="2" t="s">
        <v>8932</v>
      </c>
      <c r="C3505" s="2" t="s">
        <v>25</v>
      </c>
      <c r="D3505" s="2" t="s">
        <v>26</v>
      </c>
      <c r="E3505" s="3" t="s">
        <v>19</v>
      </c>
      <c r="F3505" s="3" t="s">
        <v>20</v>
      </c>
      <c r="G3505" s="3" t="s">
        <v>21</v>
      </c>
      <c r="H3505" s="2" t="s">
        <v>55</v>
      </c>
      <c r="I3505" s="2" t="s">
        <v>8934</v>
      </c>
      <c r="J3505" s="3" t="str">
        <f>HYPERLINK("https://www.boe.es/gazeta/dias/1809/02/11/pdfs/GMD-1809-42.pdf#page=4","Abrir facsímil")</f>
        <v>Abrir facsímil</v>
      </c>
      <c r="K3505" s="3" t="s">
        <v>57</v>
      </c>
    </row>
    <row r="3506" spans="1:11" ht="42" customHeight="1">
      <c r="A3506" s="2" t="s">
        <v>8935</v>
      </c>
      <c r="B3506" s="2" t="s">
        <v>8935</v>
      </c>
      <c r="C3506" s="2" t="s">
        <v>25</v>
      </c>
      <c r="D3506" s="2" t="s">
        <v>72</v>
      </c>
      <c r="E3506" s="3" t="s">
        <v>3521</v>
      </c>
      <c r="F3506" s="3" t="s">
        <v>5399</v>
      </c>
      <c r="G3506" s="3" t="s">
        <v>1516</v>
      </c>
      <c r="H3506" s="2" t="s">
        <v>55</v>
      </c>
      <c r="I3506" s="2" t="s">
        <v>8936</v>
      </c>
      <c r="J3506" s="3" t="str">
        <f>HYPERLINK("https://www.boe.es/gazeta/dias/1809/02/24/pdfs/GGB-G-1809-9.pdf#page=5","Abrir facsímil")</f>
        <v>Abrir facsímil</v>
      </c>
      <c r="K3506" s="3" t="s">
        <v>57</v>
      </c>
    </row>
    <row r="3507" spans="1:11" ht="42" customHeight="1">
      <c r="A3507" s="2" t="s">
        <v>8937</v>
      </c>
      <c r="B3507" s="2" t="s">
        <v>8937</v>
      </c>
      <c r="C3507" s="2" t="s">
        <v>25</v>
      </c>
      <c r="D3507" s="2" t="s">
        <v>18</v>
      </c>
      <c r="E3507" s="3" t="s">
        <v>1736</v>
      </c>
      <c r="F3507" s="3" t="s">
        <v>1737</v>
      </c>
      <c r="G3507" s="3" t="s">
        <v>1293</v>
      </c>
      <c r="H3507" s="2" t="s">
        <v>55</v>
      </c>
      <c r="I3507" s="2" t="s">
        <v>8938</v>
      </c>
      <c r="J3507" s="3" t="str">
        <f>HYPERLINK("https://www.boe.es/gazeta/dias/1809/02/28/pdfs/GMD-1809-59.pdf#page=2","Abrir facsímil")</f>
        <v>Abrir facsímil</v>
      </c>
      <c r="K3507" s="3" t="s">
        <v>57</v>
      </c>
    </row>
    <row r="3508" spans="1:11" ht="42" customHeight="1">
      <c r="A3508" s="2" t="s">
        <v>8937</v>
      </c>
      <c r="B3508" s="2" t="s">
        <v>8937</v>
      </c>
      <c r="C3508" s="2" t="s">
        <v>25</v>
      </c>
      <c r="D3508" s="2" t="s">
        <v>18</v>
      </c>
      <c r="E3508" s="3" t="s">
        <v>6250</v>
      </c>
      <c r="F3508" s="3" t="s">
        <v>6251</v>
      </c>
      <c r="G3508" s="3" t="s">
        <v>29</v>
      </c>
      <c r="H3508" s="2" t="s">
        <v>55</v>
      </c>
      <c r="I3508" s="2" t="s">
        <v>8939</v>
      </c>
      <c r="J3508" s="3" t="str">
        <f>HYPERLINK("https://www.boe.es/gazeta/dias/1809/03/15/pdfs/GMD-1809-74.pdf#page=3","Abrir facsímil")</f>
        <v>Abrir facsímil</v>
      </c>
      <c r="K3508" s="3" t="s">
        <v>57</v>
      </c>
    </row>
    <row r="3509" spans="1:11" ht="42" customHeight="1">
      <c r="A3509" s="2" t="s">
        <v>8940</v>
      </c>
      <c r="B3509" s="2" t="s">
        <v>8941</v>
      </c>
      <c r="C3509" s="2" t="s">
        <v>288</v>
      </c>
      <c r="D3509" s="2" t="s">
        <v>18</v>
      </c>
      <c r="E3509" s="3" t="s">
        <v>4361</v>
      </c>
      <c r="F3509" s="3" t="s">
        <v>4362</v>
      </c>
      <c r="G3509" s="3" t="s">
        <v>918</v>
      </c>
      <c r="H3509" s="2" t="s">
        <v>55</v>
      </c>
      <c r="I3509" s="2" t="s">
        <v>8942</v>
      </c>
      <c r="J3509" s="3" t="str">
        <f>HYPERLINK("https://www.boe.es/gazeta/dias/1809/01/28/pdfs/GMD-1809-28.pdf#page=4","Abrir facsímil")</f>
        <v>Abrir facsímil</v>
      </c>
      <c r="K3509" s="3" t="s">
        <v>57</v>
      </c>
    </row>
    <row r="3510" spans="1:11" ht="42" customHeight="1">
      <c r="A3510" s="2" t="s">
        <v>8943</v>
      </c>
      <c r="B3510" s="2" t="s">
        <v>8943</v>
      </c>
      <c r="C3510" s="2" t="s">
        <v>17</v>
      </c>
      <c r="D3510" s="2" t="s">
        <v>18</v>
      </c>
      <c r="E3510" s="3" t="s">
        <v>1226</v>
      </c>
      <c r="F3510" s="3" t="s">
        <v>1566</v>
      </c>
      <c r="G3510" s="3" t="s">
        <v>1567</v>
      </c>
      <c r="H3510" s="2" t="s">
        <v>55</v>
      </c>
      <c r="I3510" s="2" t="s">
        <v>8944</v>
      </c>
      <c r="J3510" s="3" t="str">
        <f>HYPERLINK("https://www.boe.es/gazeta/dias/1809/11/09/pdfs/GGB-1809-432.pdf#page=5","Abrir facsímil")</f>
        <v>Abrir facsímil</v>
      </c>
      <c r="K3510" s="3" t="s">
        <v>57</v>
      </c>
    </row>
    <row r="3511" spans="1:11" ht="42" customHeight="1">
      <c r="A3511" s="2" t="s">
        <v>8945</v>
      </c>
      <c r="B3511" s="2" t="s">
        <v>8945</v>
      </c>
      <c r="C3511" s="2" t="s">
        <v>25</v>
      </c>
      <c r="D3511" s="2" t="s">
        <v>26</v>
      </c>
      <c r="E3511" s="3" t="s">
        <v>2341</v>
      </c>
      <c r="F3511" s="3" t="s">
        <v>2342</v>
      </c>
      <c r="G3511" s="3" t="s">
        <v>8946</v>
      </c>
      <c r="H3511" s="2" t="s">
        <v>55</v>
      </c>
      <c r="I3511" s="2" t="s">
        <v>8947</v>
      </c>
      <c r="J3511" s="3" t="str">
        <f>HYPERLINK("https://www.boe.es/gazeta/dias/1809/03/09/pdfs/GMD-1809-68.pdf#page=2","Abrir facsímil")</f>
        <v>Abrir facsímil</v>
      </c>
      <c r="K3511" s="3" t="s">
        <v>57</v>
      </c>
    </row>
    <row r="3512" spans="1:11" ht="42" customHeight="1">
      <c r="A3512" s="2" t="s">
        <v>8945</v>
      </c>
      <c r="B3512" s="2" t="s">
        <v>8945</v>
      </c>
      <c r="C3512" s="2" t="s">
        <v>25</v>
      </c>
      <c r="D3512" s="2" t="s">
        <v>26</v>
      </c>
      <c r="E3512" s="3" t="s">
        <v>278</v>
      </c>
      <c r="F3512" s="3" t="s">
        <v>279</v>
      </c>
      <c r="G3512" s="3" t="s">
        <v>280</v>
      </c>
      <c r="H3512" s="2" t="s">
        <v>55</v>
      </c>
      <c r="I3512" s="2" t="s">
        <v>8948</v>
      </c>
      <c r="J3512" s="3" t="str">
        <f>HYPERLINK("https://www.boe.es/gazeta/dias/1809/03/26/pdfs/GMD-1809-85.pdf#page=1","Abrir facsímil")</f>
        <v>Abrir facsímil</v>
      </c>
      <c r="K3512" s="3" t="s">
        <v>57</v>
      </c>
    </row>
    <row r="3513" spans="1:11" ht="42" customHeight="1">
      <c r="A3513" s="2" t="s">
        <v>8945</v>
      </c>
      <c r="B3513" s="2" t="s">
        <v>8945</v>
      </c>
      <c r="C3513" s="2" t="s">
        <v>25</v>
      </c>
      <c r="D3513" s="2" t="s">
        <v>107</v>
      </c>
      <c r="E3513" s="3" t="s">
        <v>1226</v>
      </c>
      <c r="F3513" s="3" t="s">
        <v>1566</v>
      </c>
      <c r="G3513" s="3" t="s">
        <v>1567</v>
      </c>
      <c r="H3513" s="2" t="s">
        <v>55</v>
      </c>
      <c r="I3513" s="2" t="s">
        <v>8949</v>
      </c>
      <c r="J3513" s="3" t="str">
        <f>HYPERLINK("https://www.boe.es/gazeta/dias/1809/11/09/pdfs/GGB-1809-432.pdf#page=5","Abrir facsímil")</f>
        <v>Abrir facsímil</v>
      </c>
      <c r="K3513" s="3" t="s">
        <v>57</v>
      </c>
    </row>
    <row r="3514" spans="1:11" ht="42" customHeight="1">
      <c r="A3514" s="2" t="s">
        <v>8945</v>
      </c>
      <c r="B3514" s="2" t="s">
        <v>8945</v>
      </c>
      <c r="C3514" s="2" t="s">
        <v>25</v>
      </c>
      <c r="D3514" s="2" t="s">
        <v>18</v>
      </c>
      <c r="E3514" s="3" t="s">
        <v>263</v>
      </c>
      <c r="F3514" s="3" t="s">
        <v>264</v>
      </c>
      <c r="G3514" s="3" t="s">
        <v>2056</v>
      </c>
      <c r="H3514" s="2" t="s">
        <v>55</v>
      </c>
      <c r="I3514" s="2" t="s">
        <v>8950</v>
      </c>
      <c r="J3514" s="3" t="str">
        <f>HYPERLINK("https://www.boe.es/gazeta/dias/1809/11/21/pdfs/GGB-1809-482.pdf#page=3","Abrir facsímil")</f>
        <v>Abrir facsímil</v>
      </c>
      <c r="K3514" s="3" t="s">
        <v>57</v>
      </c>
    </row>
    <row r="3515" spans="1:11" ht="42" customHeight="1">
      <c r="A3515" s="2" t="s">
        <v>8951</v>
      </c>
      <c r="B3515" s="2" t="s">
        <v>8952</v>
      </c>
      <c r="C3515" s="2" t="s">
        <v>25</v>
      </c>
      <c r="D3515" s="2" t="s">
        <v>26</v>
      </c>
      <c r="E3515" s="3" t="s">
        <v>5751</v>
      </c>
      <c r="F3515" s="3" t="s">
        <v>5752</v>
      </c>
      <c r="G3515" s="3" t="s">
        <v>62</v>
      </c>
      <c r="H3515" s="2" t="s">
        <v>55</v>
      </c>
      <c r="I3515" s="2" t="s">
        <v>8953</v>
      </c>
      <c r="J3515" s="3" t="str">
        <f>HYPERLINK("https://www.boe.es/gazeta/dias/1809/01/23/pdfs/GGB-1809-4E.pdf#page=2","Abrir facsímil")</f>
        <v>Abrir facsímil</v>
      </c>
      <c r="K3515" s="3" t="s">
        <v>57</v>
      </c>
    </row>
    <row r="3516" spans="1:11" ht="42" customHeight="1">
      <c r="A3516" s="2" t="s">
        <v>8954</v>
      </c>
      <c r="B3516" s="2" t="s">
        <v>8955</v>
      </c>
      <c r="C3516" s="2" t="s">
        <v>25</v>
      </c>
      <c r="D3516" s="2" t="s">
        <v>18</v>
      </c>
      <c r="E3516" s="3" t="s">
        <v>1011</v>
      </c>
      <c r="F3516" s="3" t="s">
        <v>1012</v>
      </c>
      <c r="G3516" s="3" t="s">
        <v>62</v>
      </c>
      <c r="H3516" s="2" t="s">
        <v>55</v>
      </c>
      <c r="I3516" s="2" t="s">
        <v>8956</v>
      </c>
      <c r="J3516" s="3" t="str">
        <f>HYPERLINK("https://www.boe.es/gazeta/dias/1809/08/01/pdfs/GGB-1809-50.pdf#page=7","Abrir facsímil")</f>
        <v>Abrir facsímil</v>
      </c>
      <c r="K3516" s="3" t="s">
        <v>57</v>
      </c>
    </row>
    <row r="3517" spans="1:11" ht="42" customHeight="1">
      <c r="A3517" s="2" t="s">
        <v>8957</v>
      </c>
      <c r="B3517" s="2" t="s">
        <v>8958</v>
      </c>
      <c r="C3517" s="2" t="s">
        <v>17</v>
      </c>
      <c r="D3517" s="2" t="s">
        <v>72</v>
      </c>
      <c r="E3517" s="3" t="s">
        <v>1206</v>
      </c>
      <c r="F3517" s="3" t="s">
        <v>1207</v>
      </c>
      <c r="G3517" s="3" t="s">
        <v>3149</v>
      </c>
      <c r="H3517" s="2" t="s">
        <v>55</v>
      </c>
      <c r="I3517" s="2" t="s">
        <v>8959</v>
      </c>
      <c r="J3517" s="3" t="str">
        <f>HYPERLINK("https://www.boe.es/gazeta/dias/1809/09/23/pdfs/GGB-H-1809-232.pdf#page=2","Abrir facsímil")</f>
        <v>Abrir facsímil</v>
      </c>
      <c r="K3517" s="3" t="s">
        <v>57</v>
      </c>
    </row>
    <row r="3518" spans="1:11" ht="42" customHeight="1">
      <c r="A3518" s="2" t="s">
        <v>8960</v>
      </c>
      <c r="B3518" s="2" t="s">
        <v>8960</v>
      </c>
      <c r="C3518" s="2" t="s">
        <v>25</v>
      </c>
      <c r="D3518" s="2" t="s">
        <v>18</v>
      </c>
      <c r="E3518" s="3" t="s">
        <v>299</v>
      </c>
      <c r="F3518" s="3" t="s">
        <v>300</v>
      </c>
      <c r="G3518" s="3" t="s">
        <v>1319</v>
      </c>
      <c r="H3518" s="2" t="s">
        <v>55</v>
      </c>
      <c r="I3518" s="2" t="s">
        <v>8961</v>
      </c>
      <c r="J3518" s="3" t="str">
        <f>HYPERLINK("https://www.boe.es/gazeta/dias/1809/05/26/pdfs/GGB-1809-31.pdf#page=11","Abrir facsímil")</f>
        <v>Abrir facsímil</v>
      </c>
      <c r="K3518" s="3" t="s">
        <v>57</v>
      </c>
    </row>
    <row r="3519" spans="1:11" ht="42" customHeight="1">
      <c r="A3519" s="2" t="s">
        <v>8962</v>
      </c>
      <c r="B3519" s="2" t="s">
        <v>8962</v>
      </c>
      <c r="C3519" s="2" t="s">
        <v>25</v>
      </c>
      <c r="D3519" s="2" t="s">
        <v>18</v>
      </c>
      <c r="E3519" s="3" t="s">
        <v>390</v>
      </c>
      <c r="F3519" s="3" t="s">
        <v>391</v>
      </c>
      <c r="G3519" s="3" t="s">
        <v>3729</v>
      </c>
      <c r="H3519" s="2" t="s">
        <v>55</v>
      </c>
      <c r="I3519" s="2" t="s">
        <v>8963</v>
      </c>
      <c r="J3519" s="3" t="str">
        <f>HYPERLINK("https://www.boe.es/gazeta/dias/1809/10/19/pdfs/GGB-1809-342.pdf#page=7","Abrir facsímil")</f>
        <v>Abrir facsímil</v>
      </c>
      <c r="K3519" s="3" t="s">
        <v>57</v>
      </c>
    </row>
    <row r="3520" spans="1:11" ht="42" customHeight="1">
      <c r="A3520" s="2" t="s">
        <v>8962</v>
      </c>
      <c r="B3520" s="2" t="s">
        <v>8962</v>
      </c>
      <c r="C3520" s="2" t="s">
        <v>25</v>
      </c>
      <c r="D3520" s="2" t="s">
        <v>26</v>
      </c>
      <c r="E3520" s="3" t="s">
        <v>211</v>
      </c>
      <c r="F3520" s="3" t="s">
        <v>212</v>
      </c>
      <c r="G3520" s="3" t="s">
        <v>467</v>
      </c>
      <c r="H3520" s="2" t="s">
        <v>55</v>
      </c>
      <c r="I3520" s="2" t="s">
        <v>8964</v>
      </c>
      <c r="J3520" s="3" t="str">
        <f>HYPERLINK("https://www.boe.es/gazeta/dias/1809/10/27/pdfs/GMD-1809-301.pdf#page=2","Abrir facsímil")</f>
        <v>Abrir facsímil</v>
      </c>
      <c r="K3520" s="3" t="s">
        <v>57</v>
      </c>
    </row>
    <row r="3521" spans="1:11" ht="42" customHeight="1">
      <c r="A3521" s="2" t="s">
        <v>8962</v>
      </c>
      <c r="B3521" s="2" t="s">
        <v>8962</v>
      </c>
      <c r="C3521" s="2" t="s">
        <v>25</v>
      </c>
      <c r="D3521" s="2" t="s">
        <v>26</v>
      </c>
      <c r="E3521" s="3" t="s">
        <v>216</v>
      </c>
      <c r="F3521" s="3" t="s">
        <v>217</v>
      </c>
      <c r="G3521" s="3" t="s">
        <v>75</v>
      </c>
      <c r="H3521" s="2" t="s">
        <v>55</v>
      </c>
      <c r="I3521" s="2" t="s">
        <v>8965</v>
      </c>
      <c r="J3521" s="3" t="str">
        <f>HYPERLINK("https://www.boe.es/gazeta/dias/1809/12/05/pdfs/GGB-H-1809-542.pdf#page=2","Abrir facsímil")</f>
        <v>Abrir facsímil</v>
      </c>
      <c r="K3521" s="3" t="s">
        <v>57</v>
      </c>
    </row>
    <row r="3522" spans="1:11" ht="42" customHeight="1">
      <c r="A3522" s="2" t="s">
        <v>8962</v>
      </c>
      <c r="B3522" s="2" t="s">
        <v>8962</v>
      </c>
      <c r="C3522" s="2" t="s">
        <v>17</v>
      </c>
      <c r="D3522" s="2" t="s">
        <v>18</v>
      </c>
      <c r="E3522" s="3" t="s">
        <v>223</v>
      </c>
      <c r="F3522" s="3" t="s">
        <v>224</v>
      </c>
      <c r="G3522" s="3" t="s">
        <v>75</v>
      </c>
      <c r="H3522" s="2" t="s">
        <v>55</v>
      </c>
      <c r="I3522" s="2" t="s">
        <v>8966</v>
      </c>
      <c r="J3522" s="3" t="str">
        <f>HYPERLINK("https://www.boe.es/gazeta/dias/1809/12/17/pdfs/GMD-1809-352.pdf#page=3","Abrir facsímil")</f>
        <v>Abrir facsímil</v>
      </c>
      <c r="K3522" s="3" t="s">
        <v>57</v>
      </c>
    </row>
    <row r="3523" spans="1:11" ht="42" customHeight="1">
      <c r="A3523" s="2" t="s">
        <v>8962</v>
      </c>
      <c r="B3523" s="2" t="s">
        <v>8962</v>
      </c>
      <c r="C3523" s="2" t="s">
        <v>17</v>
      </c>
      <c r="D3523" s="2" t="s">
        <v>18</v>
      </c>
      <c r="E3523" s="3" t="s">
        <v>4598</v>
      </c>
      <c r="F3523" s="3" t="s">
        <v>4599</v>
      </c>
      <c r="G3523" s="3" t="s">
        <v>120</v>
      </c>
      <c r="H3523" s="2" t="s">
        <v>55</v>
      </c>
      <c r="I3523" s="2" t="s">
        <v>8967</v>
      </c>
      <c r="J3523" s="3" t="str">
        <f>HYPERLINK("https://www.boe.es/gazeta/dias/1809/12/29/pdfs/GMD-1809-364.pdf#page=4","Abrir facsímil")</f>
        <v>Abrir facsímil</v>
      </c>
      <c r="K3523" s="3" t="s">
        <v>57</v>
      </c>
    </row>
    <row r="3524" spans="1:11" ht="42" customHeight="1">
      <c r="A3524" s="2" t="s">
        <v>8968</v>
      </c>
      <c r="B3524" s="2" t="s">
        <v>8969</v>
      </c>
      <c r="C3524" s="2" t="s">
        <v>25</v>
      </c>
      <c r="D3524" s="2" t="s">
        <v>26</v>
      </c>
      <c r="E3524" s="3" t="s">
        <v>147</v>
      </c>
      <c r="F3524" s="3" t="s">
        <v>562</v>
      </c>
      <c r="G3524" s="3" t="s">
        <v>563</v>
      </c>
      <c r="H3524" s="2" t="s">
        <v>55</v>
      </c>
      <c r="I3524" s="2" t="s">
        <v>8970</v>
      </c>
      <c r="J3524" s="3" t="str">
        <f>HYPERLINK("https://www.boe.es/gazeta/dias/1809/10/07/pdfs/GGB-H-1809-292.pdf#page=8","Abrir facsímil")</f>
        <v>Abrir facsímil</v>
      </c>
      <c r="K3524" s="3" t="s">
        <v>57</v>
      </c>
    </row>
    <row r="3525" spans="1:11" ht="42" customHeight="1">
      <c r="A3525" s="2" t="s">
        <v>8971</v>
      </c>
      <c r="B3525" s="2" t="s">
        <v>8972</v>
      </c>
      <c r="C3525" s="2" t="s">
        <v>17</v>
      </c>
      <c r="D3525" s="2" t="s">
        <v>40</v>
      </c>
      <c r="E3525" s="3" t="s">
        <v>864</v>
      </c>
      <c r="F3525" s="3" t="s">
        <v>2291</v>
      </c>
      <c r="G3525" s="3" t="s">
        <v>2292</v>
      </c>
      <c r="H3525" s="2" t="s">
        <v>22</v>
      </c>
      <c r="I3525" s="2" t="s">
        <v>8973</v>
      </c>
      <c r="J3525" s="3" t="str">
        <f>HYPERLINK("https://www.boe.es/gazeta/dias/1809/08/31/pdfs/GGB-H-1809-132.pdf#page=3","Abrir facsímil")</f>
        <v>Abrir facsímil</v>
      </c>
      <c r="K3525" s="3" t="s">
        <v>24</v>
      </c>
    </row>
    <row r="3526" spans="1:11" ht="42" customHeight="1">
      <c r="A3526" s="2" t="s">
        <v>8974</v>
      </c>
      <c r="B3526" s="2" t="s">
        <v>8975</v>
      </c>
      <c r="C3526" s="2" t="s">
        <v>17</v>
      </c>
      <c r="D3526" s="2" t="s">
        <v>18</v>
      </c>
      <c r="E3526" s="3" t="s">
        <v>3167</v>
      </c>
      <c r="F3526" s="3" t="s">
        <v>5463</v>
      </c>
      <c r="G3526" s="3" t="s">
        <v>316</v>
      </c>
      <c r="H3526" s="2" t="s">
        <v>55</v>
      </c>
      <c r="I3526" s="2" t="s">
        <v>8976</v>
      </c>
      <c r="J3526" s="3" t="str">
        <f>HYPERLINK("https://www.boe.es/gazeta/dias/1809/04/07/pdfs/GMD-1809-97.pdf#page=3","Abrir facsímil")</f>
        <v>Abrir facsímil</v>
      </c>
      <c r="K3526" s="3" t="s">
        <v>57</v>
      </c>
    </row>
    <row r="3527" spans="1:11" ht="42" customHeight="1">
      <c r="A3527" s="2" t="s">
        <v>8977</v>
      </c>
      <c r="B3527" s="2" t="s">
        <v>8977</v>
      </c>
      <c r="C3527" s="2" t="s">
        <v>25</v>
      </c>
      <c r="D3527" s="2" t="s">
        <v>26</v>
      </c>
      <c r="E3527" s="3" t="s">
        <v>1300</v>
      </c>
      <c r="F3527" s="3" t="s">
        <v>1301</v>
      </c>
      <c r="G3527" s="3" t="s">
        <v>1302</v>
      </c>
      <c r="H3527" s="2" t="s">
        <v>55</v>
      </c>
      <c r="I3527" s="2" t="s">
        <v>8978</v>
      </c>
      <c r="J3527" s="3" t="str">
        <f>HYPERLINK("https://www.boe.es/gazeta/dias/1809/12/27/pdfs/GMD-1809-362.pdf#page=4","Abrir facsímil")</f>
        <v>Abrir facsímil</v>
      </c>
      <c r="K3527" s="3" t="s">
        <v>57</v>
      </c>
    </row>
    <row r="3528" spans="1:11" ht="42" customHeight="1">
      <c r="A3528" s="2" t="s">
        <v>8979</v>
      </c>
      <c r="B3528" s="2" t="s">
        <v>8980</v>
      </c>
      <c r="C3528" s="2" t="s">
        <v>25</v>
      </c>
      <c r="D3528" s="2" t="s">
        <v>18</v>
      </c>
      <c r="E3528" s="3" t="s">
        <v>1598</v>
      </c>
      <c r="F3528" s="3" t="s">
        <v>1599</v>
      </c>
      <c r="G3528" s="3" t="s">
        <v>623</v>
      </c>
      <c r="H3528" s="2" t="s">
        <v>55</v>
      </c>
      <c r="I3528" s="2" t="s">
        <v>8981</v>
      </c>
      <c r="J3528" s="3" t="str">
        <f>HYPERLINK("https://www.boe.es/gazeta/dias/1809/01/10/pdfs/GMS-1809-65.pdf#page=6","Abrir facsímil")</f>
        <v>Abrir facsímil</v>
      </c>
      <c r="K3528" s="3" t="s">
        <v>57</v>
      </c>
    </row>
    <row r="3529" spans="1:11" ht="42" customHeight="1">
      <c r="A3529" s="2" t="s">
        <v>8982</v>
      </c>
      <c r="B3529" s="2" t="s">
        <v>8983</v>
      </c>
      <c r="C3529" s="2" t="s">
        <v>25</v>
      </c>
      <c r="D3529" s="2" t="s">
        <v>26</v>
      </c>
      <c r="E3529" s="3" t="s">
        <v>1598</v>
      </c>
      <c r="F3529" s="3" t="s">
        <v>1599</v>
      </c>
      <c r="G3529" s="3" t="s">
        <v>623</v>
      </c>
      <c r="H3529" s="2" t="s">
        <v>55</v>
      </c>
      <c r="I3529" s="2" t="s">
        <v>8984</v>
      </c>
      <c r="J3529" s="3" t="str">
        <f>HYPERLINK("https://www.boe.es/gazeta/dias/1809/01/10/pdfs/GMS-1809-65.pdf#page=6","Abrir facsímil")</f>
        <v>Abrir facsímil</v>
      </c>
      <c r="K3529" s="3" t="s">
        <v>57</v>
      </c>
    </row>
    <row r="3530" spans="1:11" ht="42" customHeight="1">
      <c r="A3530" s="2" t="s">
        <v>8985</v>
      </c>
      <c r="B3530" s="2" t="s">
        <v>8985</v>
      </c>
      <c r="C3530" s="2" t="s">
        <v>25</v>
      </c>
      <c r="D3530" s="2" t="s">
        <v>18</v>
      </c>
      <c r="E3530" s="3" t="s">
        <v>1269</v>
      </c>
      <c r="F3530" s="3" t="s">
        <v>3272</v>
      </c>
      <c r="G3530" s="3" t="s">
        <v>89</v>
      </c>
      <c r="H3530" s="2" t="s">
        <v>55</v>
      </c>
      <c r="I3530" s="2" t="s">
        <v>8986</v>
      </c>
      <c r="J3530" s="3" t="str">
        <f>HYPERLINK("https://www.boe.es/gazeta/dias/1809/08/12/pdfs/GMD-1809-225.pdf#page=2","Abrir facsímil")</f>
        <v>Abrir facsímil</v>
      </c>
      <c r="K3530" s="3" t="s">
        <v>57</v>
      </c>
    </row>
    <row r="3531" spans="1:11" ht="42" customHeight="1">
      <c r="A3531" s="2" t="s">
        <v>8985</v>
      </c>
      <c r="B3531" s="2" t="s">
        <v>8985</v>
      </c>
      <c r="C3531" s="2" t="s">
        <v>25</v>
      </c>
      <c r="D3531" s="2" t="s">
        <v>18</v>
      </c>
      <c r="E3531" s="3" t="s">
        <v>1300</v>
      </c>
      <c r="F3531" s="3" t="s">
        <v>1301</v>
      </c>
      <c r="G3531" s="3" t="s">
        <v>1302</v>
      </c>
      <c r="H3531" s="2" t="s">
        <v>55</v>
      </c>
      <c r="I3531" s="2" t="s">
        <v>8987</v>
      </c>
      <c r="J3531" s="3" t="str">
        <f>HYPERLINK("https://www.boe.es/gazeta/dias/1809/12/27/pdfs/GMD-1809-362.pdf#page=4","Abrir facsímil")</f>
        <v>Abrir facsímil</v>
      </c>
      <c r="K3531" s="3" t="s">
        <v>57</v>
      </c>
    </row>
    <row r="3532" spans="1:11" ht="42" customHeight="1">
      <c r="A3532" s="2" t="s">
        <v>8988</v>
      </c>
      <c r="B3532" s="2" t="s">
        <v>8988</v>
      </c>
      <c r="C3532" s="2" t="s">
        <v>25</v>
      </c>
      <c r="D3532" s="2" t="s">
        <v>80</v>
      </c>
      <c r="E3532" s="3" t="s">
        <v>248</v>
      </c>
      <c r="F3532" s="3" t="s">
        <v>249</v>
      </c>
      <c r="G3532" s="3" t="s">
        <v>94</v>
      </c>
      <c r="H3532" s="2" t="s">
        <v>55</v>
      </c>
      <c r="I3532" s="2" t="s">
        <v>8989</v>
      </c>
      <c r="J3532" s="3" t="str">
        <f>HYPERLINK("https://www.boe.es/gazeta/dias/1809/07/26/pdfs/GGB-1809-48E.pdf#page=5","Abrir facsímil")</f>
        <v>Abrir facsímil</v>
      </c>
      <c r="K3532" s="3" t="s">
        <v>57</v>
      </c>
    </row>
    <row r="3533" spans="1:11" ht="42" customHeight="1">
      <c r="A3533" s="2" t="s">
        <v>8990</v>
      </c>
      <c r="B3533" s="2" t="s">
        <v>8991</v>
      </c>
      <c r="C3533" s="2" t="s">
        <v>25</v>
      </c>
      <c r="D3533" s="2" t="s">
        <v>80</v>
      </c>
      <c r="E3533" s="3" t="s">
        <v>248</v>
      </c>
      <c r="F3533" s="3" t="s">
        <v>249</v>
      </c>
      <c r="G3533" s="3" t="s">
        <v>340</v>
      </c>
      <c r="H3533" s="2" t="s">
        <v>22</v>
      </c>
      <c r="I3533" s="2" t="s">
        <v>8992</v>
      </c>
      <c r="J3533" s="3" t="str">
        <f>HYPERLINK("https://www.boe.es/gazeta/dias/1809/07/26/pdfs/GGB-1809-48E.pdf#page=7","Abrir facsímil")</f>
        <v>Abrir facsímil</v>
      </c>
      <c r="K3533" s="3" t="s">
        <v>24</v>
      </c>
    </row>
    <row r="3534" spans="1:11" ht="42" customHeight="1">
      <c r="A3534" s="2" t="s">
        <v>8993</v>
      </c>
      <c r="B3534" s="2" t="s">
        <v>8994</v>
      </c>
      <c r="C3534" s="2" t="s">
        <v>25</v>
      </c>
      <c r="D3534" s="2" t="s">
        <v>26</v>
      </c>
      <c r="E3534" s="3" t="s">
        <v>3714</v>
      </c>
      <c r="F3534" s="3" t="s">
        <v>4205</v>
      </c>
      <c r="G3534" s="3" t="s">
        <v>141</v>
      </c>
      <c r="H3534" s="2" t="s">
        <v>55</v>
      </c>
      <c r="I3534" s="2" t="s">
        <v>8995</v>
      </c>
      <c r="J3534" s="3" t="str">
        <f>HYPERLINK("https://www.boe.es/gazeta/dias/1809/12/07/pdfs/GGB-1809-552.pdf#page=2","Abrir facsímil")</f>
        <v>Abrir facsímil</v>
      </c>
      <c r="K3534" s="3" t="s">
        <v>57</v>
      </c>
    </row>
    <row r="3535" spans="1:11" ht="42" customHeight="1">
      <c r="A3535" s="2" t="s">
        <v>8996</v>
      </c>
      <c r="B3535" s="2" t="s">
        <v>8996</v>
      </c>
      <c r="C3535" s="2" t="s">
        <v>25</v>
      </c>
      <c r="D3535" s="2" t="s">
        <v>18</v>
      </c>
      <c r="E3535" s="3" t="s">
        <v>487</v>
      </c>
      <c r="F3535" s="3" t="s">
        <v>488</v>
      </c>
      <c r="G3535" s="3" t="s">
        <v>489</v>
      </c>
      <c r="H3535" s="2" t="s">
        <v>55</v>
      </c>
      <c r="I3535" s="2" t="s">
        <v>8997</v>
      </c>
      <c r="J3535" s="3" t="str">
        <f>HYPERLINK("https://www.boe.es/gazeta/dias/1809/10/21/pdfs/GGB-1809-352.pdf#page=4","Abrir facsímil")</f>
        <v>Abrir facsímil</v>
      </c>
      <c r="K3535" s="3" t="s">
        <v>57</v>
      </c>
    </row>
    <row r="3536" spans="1:11" ht="42" customHeight="1">
      <c r="A3536" s="2" t="s">
        <v>8998</v>
      </c>
      <c r="B3536" s="2" t="s">
        <v>8998</v>
      </c>
      <c r="C3536" s="2" t="s">
        <v>25</v>
      </c>
      <c r="D3536" s="2" t="s">
        <v>18</v>
      </c>
      <c r="E3536" s="3" t="s">
        <v>1598</v>
      </c>
      <c r="F3536" s="3" t="s">
        <v>1599</v>
      </c>
      <c r="G3536" s="3" t="s">
        <v>3808</v>
      </c>
      <c r="H3536" s="2" t="s">
        <v>55</v>
      </c>
      <c r="I3536" s="2" t="s">
        <v>8999</v>
      </c>
      <c r="J3536" s="3" t="str">
        <f>HYPERLINK("https://www.boe.es/gazeta/dias/1809/01/10/pdfs/GMS-1809-65.pdf#page=3","Abrir facsímil")</f>
        <v>Abrir facsímil</v>
      </c>
      <c r="K3536" s="3" t="s">
        <v>57</v>
      </c>
    </row>
    <row r="3537" spans="1:11" ht="42" customHeight="1">
      <c r="A3537" s="2" t="s">
        <v>9000</v>
      </c>
      <c r="B3537" s="2" t="s">
        <v>9001</v>
      </c>
      <c r="C3537" s="2" t="s">
        <v>17</v>
      </c>
      <c r="D3537" s="2" t="s">
        <v>18</v>
      </c>
      <c r="E3537" s="3" t="s">
        <v>243</v>
      </c>
      <c r="F3537" s="3" t="s">
        <v>735</v>
      </c>
      <c r="G3537" s="3" t="s">
        <v>736</v>
      </c>
      <c r="H3537" s="2" t="s">
        <v>55</v>
      </c>
      <c r="I3537" s="2" t="s">
        <v>9002</v>
      </c>
      <c r="J3537" s="3" t="str">
        <f>HYPERLINK("https://www.boe.es/gazeta/dias/1809/02/17/pdfs/GGB-1809-8.pdf#page=8","Abrir facsímil")</f>
        <v>Abrir facsímil</v>
      </c>
      <c r="K3537" s="3" t="s">
        <v>57</v>
      </c>
    </row>
    <row r="3538" spans="1:11" ht="42" customHeight="1">
      <c r="A3538" s="2" t="s">
        <v>9003</v>
      </c>
      <c r="B3538" s="2" t="s">
        <v>9004</v>
      </c>
      <c r="C3538" s="2" t="s">
        <v>131</v>
      </c>
      <c r="D3538" s="2" t="s">
        <v>18</v>
      </c>
      <c r="E3538" s="3" t="s">
        <v>515</v>
      </c>
      <c r="F3538" s="3" t="s">
        <v>516</v>
      </c>
      <c r="G3538" s="3" t="s">
        <v>1380</v>
      </c>
      <c r="H3538" s="2" t="s">
        <v>55</v>
      </c>
      <c r="I3538" s="2" t="s">
        <v>9005</v>
      </c>
      <c r="J3538" s="3" t="str">
        <f>HYPERLINK("https://www.boe.es/gazeta/dias/1809/09/02/pdfs/GMD-1809-246.pdf#page=3","Abrir facsímil")</f>
        <v>Abrir facsímil</v>
      </c>
      <c r="K3538" s="3" t="s">
        <v>57</v>
      </c>
    </row>
    <row r="3539" spans="1:11" ht="42" customHeight="1">
      <c r="A3539" s="2" t="s">
        <v>9006</v>
      </c>
      <c r="B3539" s="2" t="s">
        <v>9006</v>
      </c>
      <c r="C3539" s="2" t="s">
        <v>25</v>
      </c>
      <c r="D3539" s="2" t="s">
        <v>18</v>
      </c>
      <c r="E3539" s="3" t="s">
        <v>567</v>
      </c>
      <c r="F3539" s="3" t="s">
        <v>568</v>
      </c>
      <c r="G3539" s="3" t="s">
        <v>120</v>
      </c>
      <c r="H3539" s="2" t="s">
        <v>55</v>
      </c>
      <c r="I3539" s="2" t="s">
        <v>9007</v>
      </c>
      <c r="J3539" s="3" t="str">
        <f>HYPERLINK("https://www.boe.es/gazeta/dias/1809/06/03/pdfs/GMD-1809-154.pdf#page=1","Abrir facsímil")</f>
        <v>Abrir facsímil</v>
      </c>
      <c r="K3539" s="3" t="s">
        <v>57</v>
      </c>
    </row>
    <row r="3540" spans="1:11" ht="42" customHeight="1">
      <c r="A3540" s="2" t="s">
        <v>9008</v>
      </c>
      <c r="B3540" s="2" t="s">
        <v>9008</v>
      </c>
      <c r="C3540" s="2" t="s">
        <v>25</v>
      </c>
      <c r="D3540" s="2" t="s">
        <v>26</v>
      </c>
      <c r="E3540" s="3" t="s">
        <v>2230</v>
      </c>
      <c r="F3540" s="3" t="s">
        <v>2231</v>
      </c>
      <c r="G3540" s="3" t="s">
        <v>9009</v>
      </c>
      <c r="H3540" s="2" t="s">
        <v>55</v>
      </c>
      <c r="I3540" s="2" t="s">
        <v>9010</v>
      </c>
      <c r="J3540" s="3" t="str">
        <f>HYPERLINK("https://www.boe.es/gazeta/dias/1809/12/10/pdfs/GMD-1809-345.pdf#page=1","Abrir facsímil")</f>
        <v>Abrir facsímil</v>
      </c>
      <c r="K3540" s="3" t="s">
        <v>57</v>
      </c>
    </row>
    <row r="3541" spans="1:11" ht="42" customHeight="1">
      <c r="A3541" s="2" t="s">
        <v>9008</v>
      </c>
      <c r="B3541" s="2" t="s">
        <v>9008</v>
      </c>
      <c r="C3541" s="2" t="s">
        <v>25</v>
      </c>
      <c r="D3541" s="2" t="s">
        <v>26</v>
      </c>
      <c r="E3541" s="3" t="s">
        <v>6141</v>
      </c>
      <c r="F3541" s="3" t="s">
        <v>6142</v>
      </c>
      <c r="G3541" s="3" t="s">
        <v>154</v>
      </c>
      <c r="H3541" s="2" t="s">
        <v>55</v>
      </c>
      <c r="I3541" s="2" t="s">
        <v>9011</v>
      </c>
      <c r="J3541" s="3" t="str">
        <f>HYPERLINK("https://www.boe.es/gazeta/dias/1809/12/12/pdfs/GMD-1809-347.pdf#page=1","Abrir facsímil")</f>
        <v>Abrir facsímil</v>
      </c>
      <c r="K3541" s="3" t="s">
        <v>57</v>
      </c>
    </row>
    <row r="3542" spans="1:11" ht="42" customHeight="1">
      <c r="A3542" s="2" t="s">
        <v>9012</v>
      </c>
      <c r="B3542" s="2" t="s">
        <v>9012</v>
      </c>
      <c r="C3542" s="2" t="s">
        <v>25</v>
      </c>
      <c r="D3542" s="2" t="s">
        <v>18</v>
      </c>
      <c r="E3542" s="3" t="s">
        <v>974</v>
      </c>
      <c r="F3542" s="3" t="s">
        <v>7968</v>
      </c>
      <c r="G3542" s="3" t="s">
        <v>1874</v>
      </c>
      <c r="H3542" s="2" t="s">
        <v>55</v>
      </c>
      <c r="I3542" s="2" t="s">
        <v>9013</v>
      </c>
      <c r="J3542" s="3" t="str">
        <f>HYPERLINK("https://www.boe.es/gazeta/dias/1809/11/14/pdfs/GMD-1809-319.pdf#page=1","Abrir facsímil")</f>
        <v>Abrir facsímil</v>
      </c>
      <c r="K3542" s="3" t="s">
        <v>57</v>
      </c>
    </row>
    <row r="3543" spans="1:11" ht="42" customHeight="1">
      <c r="A3543" s="2" t="s">
        <v>9014</v>
      </c>
      <c r="B3543" s="2" t="s">
        <v>9015</v>
      </c>
      <c r="C3543" s="2" t="s">
        <v>25</v>
      </c>
      <c r="D3543" s="2" t="s">
        <v>18</v>
      </c>
      <c r="E3543" s="3" t="s">
        <v>3714</v>
      </c>
      <c r="F3543" s="3" t="s">
        <v>4205</v>
      </c>
      <c r="G3543" s="3" t="s">
        <v>141</v>
      </c>
      <c r="H3543" s="2" t="s">
        <v>55</v>
      </c>
      <c r="I3543" s="2" t="s">
        <v>9016</v>
      </c>
      <c r="J3543" s="3" t="str">
        <f>HYPERLINK("https://www.boe.es/gazeta/dias/1809/12/07/pdfs/GGB-1809-552.pdf#page=2","Abrir facsímil")</f>
        <v>Abrir facsímil</v>
      </c>
      <c r="K3543" s="3" t="s">
        <v>57</v>
      </c>
    </row>
    <row r="3544" spans="1:11" ht="42" customHeight="1">
      <c r="A3544" s="2" t="s">
        <v>9017</v>
      </c>
      <c r="B3544" s="2" t="s">
        <v>9017</v>
      </c>
      <c r="C3544" s="2" t="s">
        <v>25</v>
      </c>
      <c r="D3544" s="2" t="s">
        <v>26</v>
      </c>
      <c r="E3544" s="3" t="s">
        <v>1288</v>
      </c>
      <c r="F3544" s="3" t="s">
        <v>1289</v>
      </c>
      <c r="G3544" s="3" t="s">
        <v>120</v>
      </c>
      <c r="H3544" s="2" t="s">
        <v>55</v>
      </c>
      <c r="I3544" s="2" t="s">
        <v>9018</v>
      </c>
      <c r="J3544" s="3" t="str">
        <f>HYPERLINK("https://www.boe.es/gazeta/dias/1809/07/28/pdfs/GGB-1809-49.pdf#page=1","Abrir facsímil")</f>
        <v>Abrir facsímil</v>
      </c>
      <c r="K3544" s="3" t="s">
        <v>57</v>
      </c>
    </row>
    <row r="3545" spans="1:11" ht="42" customHeight="1">
      <c r="A3545" s="2" t="s">
        <v>9019</v>
      </c>
      <c r="B3545" s="2" t="s">
        <v>9020</v>
      </c>
      <c r="C3545" s="2" t="s">
        <v>288</v>
      </c>
      <c r="D3545" s="2" t="s">
        <v>18</v>
      </c>
      <c r="E3545" s="3" t="s">
        <v>60</v>
      </c>
      <c r="F3545" s="3" t="s">
        <v>61</v>
      </c>
      <c r="G3545" s="3" t="s">
        <v>62</v>
      </c>
      <c r="H3545" s="2" t="s">
        <v>55</v>
      </c>
      <c r="I3545" s="2" t="s">
        <v>9021</v>
      </c>
      <c r="J3545" s="3" t="str">
        <f>HYPERLINK("https://www.boe.es/gazeta/dias/1809/02/07/pdfs/GMD-1809-38.pdf#page=4","Abrir facsímil")</f>
        <v>Abrir facsímil</v>
      </c>
      <c r="K3545" s="3" t="s">
        <v>57</v>
      </c>
    </row>
    <row r="3546" spans="1:11" ht="42" customHeight="1">
      <c r="A3546" s="2" t="s">
        <v>9022</v>
      </c>
      <c r="B3546" s="2" t="s">
        <v>9022</v>
      </c>
      <c r="C3546" s="2" t="s">
        <v>25</v>
      </c>
      <c r="D3546" s="2" t="s">
        <v>18</v>
      </c>
      <c r="E3546" s="3" t="s">
        <v>134</v>
      </c>
      <c r="F3546" s="3" t="s">
        <v>135</v>
      </c>
      <c r="G3546" s="3" t="s">
        <v>136</v>
      </c>
      <c r="H3546" s="2" t="s">
        <v>55</v>
      </c>
      <c r="I3546" s="2" t="s">
        <v>9023</v>
      </c>
      <c r="J3546" s="3" t="str">
        <f>HYPERLINK("https://www.boe.es/gazeta/dias/1809/06/07/pdfs/GMD-1809-158.pdf#page=1","Abrir facsímil")</f>
        <v>Abrir facsímil</v>
      </c>
      <c r="K3546" s="3" t="s">
        <v>57</v>
      </c>
    </row>
    <row r="3547" spans="1:11" ht="42" customHeight="1">
      <c r="A3547" s="2" t="s">
        <v>9024</v>
      </c>
      <c r="B3547" s="2" t="s">
        <v>9024</v>
      </c>
      <c r="C3547" s="2" t="s">
        <v>25</v>
      </c>
      <c r="D3547" s="2" t="s">
        <v>107</v>
      </c>
      <c r="E3547" s="3" t="s">
        <v>1779</v>
      </c>
      <c r="F3547" s="3" t="s">
        <v>9025</v>
      </c>
      <c r="G3547" s="3" t="s">
        <v>426</v>
      </c>
      <c r="H3547" s="2" t="s">
        <v>55</v>
      </c>
      <c r="I3547" s="2" t="s">
        <v>9026</v>
      </c>
      <c r="J3547" s="3" t="str">
        <f>HYPERLINK("https://www.boe.es/gazeta/dias/1809/08/22/pdfs/GMD-1809-235.pdf#page=2","Abrir facsímil")</f>
        <v>Abrir facsímil</v>
      </c>
      <c r="K3547" s="3" t="s">
        <v>57</v>
      </c>
    </row>
    <row r="3548" spans="1:11" ht="42" customHeight="1">
      <c r="A3548" s="2" t="s">
        <v>9027</v>
      </c>
      <c r="B3548" s="2" t="s">
        <v>9027</v>
      </c>
      <c r="C3548" s="2" t="s">
        <v>17</v>
      </c>
      <c r="D3548" s="2" t="s">
        <v>18</v>
      </c>
      <c r="E3548" s="3" t="s">
        <v>1129</v>
      </c>
      <c r="F3548" s="3" t="s">
        <v>1130</v>
      </c>
      <c r="G3548" s="3" t="s">
        <v>3247</v>
      </c>
      <c r="H3548" s="2" t="s">
        <v>55</v>
      </c>
      <c r="I3548" s="2" t="s">
        <v>9028</v>
      </c>
      <c r="J3548" s="3" t="str">
        <f>HYPERLINK("https://www.boe.es/gazeta/dias/1809/08/17/pdfs/GGB-1809-72.pdf#page=4","Abrir facsímil")</f>
        <v>Abrir facsímil</v>
      </c>
      <c r="K3548" s="3" t="s">
        <v>57</v>
      </c>
    </row>
    <row r="3549" spans="1:11" ht="42" customHeight="1">
      <c r="A3549" s="2" t="s">
        <v>9027</v>
      </c>
      <c r="B3549" s="2" t="s">
        <v>9027</v>
      </c>
      <c r="C3549" s="2" t="s">
        <v>25</v>
      </c>
      <c r="D3549" s="2" t="s">
        <v>18</v>
      </c>
      <c r="E3549" s="3" t="s">
        <v>5017</v>
      </c>
      <c r="F3549" s="3" t="s">
        <v>5018</v>
      </c>
      <c r="G3549" s="3" t="s">
        <v>120</v>
      </c>
      <c r="H3549" s="2" t="s">
        <v>55</v>
      </c>
      <c r="I3549" s="2" t="s">
        <v>9029</v>
      </c>
      <c r="J3549" s="3" t="str">
        <f>HYPERLINK("https://www.boe.es/gazeta/dias/1809/12/03/pdfs/GMD-1809-338.pdf#page=3","Abrir facsímil")</f>
        <v>Abrir facsímil</v>
      </c>
      <c r="K3549" s="3" t="s">
        <v>57</v>
      </c>
    </row>
    <row r="3550" spans="1:11" ht="42" customHeight="1">
      <c r="A3550" s="2" t="s">
        <v>9030</v>
      </c>
      <c r="B3550" s="2" t="s">
        <v>9031</v>
      </c>
      <c r="C3550" s="2" t="s">
        <v>131</v>
      </c>
      <c r="D3550" s="2" t="s">
        <v>40</v>
      </c>
      <c r="E3550" s="3" t="s">
        <v>113</v>
      </c>
      <c r="F3550" s="3" t="s">
        <v>1982</v>
      </c>
      <c r="G3550" s="3" t="s">
        <v>1983</v>
      </c>
      <c r="H3550" s="2" t="s">
        <v>55</v>
      </c>
      <c r="I3550" s="2" t="s">
        <v>9032</v>
      </c>
      <c r="J3550" s="3" t="str">
        <f>HYPERLINK("https://www.boe.es/gazeta/dias/1809/04/24/pdfs/GGB-1809-21.pdf#page=10","Abrir facsímil")</f>
        <v>Abrir facsímil</v>
      </c>
      <c r="K3550" s="3" t="s">
        <v>57</v>
      </c>
    </row>
    <row r="3551" spans="1:11" ht="42" customHeight="1">
      <c r="A3551" s="2" t="s">
        <v>9030</v>
      </c>
      <c r="B3551" s="2" t="s">
        <v>9031</v>
      </c>
      <c r="C3551" s="2" t="s">
        <v>25</v>
      </c>
      <c r="D3551" s="2" t="s">
        <v>18</v>
      </c>
      <c r="E3551" s="3" t="s">
        <v>515</v>
      </c>
      <c r="F3551" s="3" t="s">
        <v>3947</v>
      </c>
      <c r="G3551" s="3" t="s">
        <v>374</v>
      </c>
      <c r="H3551" s="2" t="s">
        <v>55</v>
      </c>
      <c r="I3551" s="2" t="s">
        <v>9033</v>
      </c>
      <c r="J3551" s="3" t="str">
        <f>HYPERLINK("https://www.boe.es/gazeta/dias/1809/09/02/pdfs/GGB-1809-142.pdf#page=7","Abrir facsímil")</f>
        <v>Abrir facsímil</v>
      </c>
      <c r="K3551" s="3" t="s">
        <v>57</v>
      </c>
    </row>
    <row r="3552" spans="1:11" ht="42" customHeight="1">
      <c r="A3552" s="2" t="s">
        <v>9034</v>
      </c>
      <c r="B3552" s="2" t="s">
        <v>9035</v>
      </c>
      <c r="C3552" s="2" t="s">
        <v>17</v>
      </c>
      <c r="D3552" s="2" t="s">
        <v>18</v>
      </c>
      <c r="E3552" s="3" t="s">
        <v>864</v>
      </c>
      <c r="F3552" s="3" t="s">
        <v>2684</v>
      </c>
      <c r="G3552" s="3" t="s">
        <v>89</v>
      </c>
      <c r="H3552" s="2" t="s">
        <v>55</v>
      </c>
      <c r="I3552" s="2" t="s">
        <v>9036</v>
      </c>
      <c r="J3552" s="3" t="str">
        <f>HYPERLINK("https://www.boe.es/gazeta/dias/1809/08/31/pdfs/GGB-1809-132.pdf#page=2","Abrir facsímil")</f>
        <v>Abrir facsímil</v>
      </c>
      <c r="K3552" s="3" t="s">
        <v>57</v>
      </c>
    </row>
    <row r="3553" spans="1:11" ht="42" customHeight="1">
      <c r="A3553" s="2" t="s">
        <v>9037</v>
      </c>
      <c r="B3553" s="2" t="s">
        <v>9038</v>
      </c>
      <c r="C3553" s="2" t="s">
        <v>17</v>
      </c>
      <c r="D3553" s="2" t="s">
        <v>18</v>
      </c>
      <c r="E3553" s="3" t="s">
        <v>1954</v>
      </c>
      <c r="F3553" s="3" t="s">
        <v>1955</v>
      </c>
      <c r="G3553" s="3" t="s">
        <v>1956</v>
      </c>
      <c r="H3553" s="2" t="s">
        <v>55</v>
      </c>
      <c r="I3553" s="2" t="s">
        <v>9039</v>
      </c>
      <c r="J3553" s="3" t="str">
        <f>HYPERLINK("https://www.boe.es/gazeta/dias/1809/11/08/pdfs/GMD-1809-313.pdf#page=4","Abrir facsímil")</f>
        <v>Abrir facsímil</v>
      </c>
      <c r="K3553" s="3" t="s">
        <v>57</v>
      </c>
    </row>
    <row r="3554" spans="1:11" ht="42" customHeight="1">
      <c r="A3554" s="2" t="s">
        <v>9037</v>
      </c>
      <c r="B3554" s="2" t="s">
        <v>9038</v>
      </c>
      <c r="C3554" s="2" t="s">
        <v>17</v>
      </c>
      <c r="D3554" s="2" t="s">
        <v>72</v>
      </c>
      <c r="E3554" s="3" t="s">
        <v>216</v>
      </c>
      <c r="F3554" s="3" t="s">
        <v>217</v>
      </c>
      <c r="G3554" s="3" t="s">
        <v>439</v>
      </c>
      <c r="H3554" s="2" t="s">
        <v>55</v>
      </c>
      <c r="I3554" s="2" t="s">
        <v>9040</v>
      </c>
      <c r="J3554" s="3" t="str">
        <f>HYPERLINK("https://www.boe.es/gazeta/dias/1809/12/05/pdfs/GGB-H-1809-542.pdf#page=7","Abrir facsímil")</f>
        <v>Abrir facsímil</v>
      </c>
      <c r="K3554" s="3" t="s">
        <v>57</v>
      </c>
    </row>
    <row r="3555" spans="1:11" ht="42" customHeight="1">
      <c r="A3555" s="2" t="s">
        <v>9041</v>
      </c>
      <c r="B3555" s="2" t="s">
        <v>9042</v>
      </c>
      <c r="C3555" s="2" t="s">
        <v>47</v>
      </c>
      <c r="D3555" s="2" t="s">
        <v>18</v>
      </c>
      <c r="E3555" s="3" t="s">
        <v>487</v>
      </c>
      <c r="F3555" s="3" t="s">
        <v>488</v>
      </c>
      <c r="G3555" s="3" t="s">
        <v>83</v>
      </c>
      <c r="H3555" s="2" t="s">
        <v>55</v>
      </c>
      <c r="I3555" s="2" t="s">
        <v>9043</v>
      </c>
      <c r="J3555" s="3" t="str">
        <f>HYPERLINK("https://www.boe.es/gazeta/dias/1809/10/21/pdfs/GGB-1809-352.pdf#page=2","Abrir facsímil")</f>
        <v>Abrir facsímil</v>
      </c>
      <c r="K3555" s="3" t="s">
        <v>57</v>
      </c>
    </row>
    <row r="3556" spans="1:11" ht="42" customHeight="1">
      <c r="A3556" s="2" t="s">
        <v>9044</v>
      </c>
      <c r="B3556" s="2" t="s">
        <v>9044</v>
      </c>
      <c r="C3556" s="2" t="s">
        <v>17</v>
      </c>
      <c r="D3556" s="2" t="s">
        <v>107</v>
      </c>
      <c r="E3556" s="3" t="s">
        <v>211</v>
      </c>
      <c r="F3556" s="3" t="s">
        <v>212</v>
      </c>
      <c r="G3556" s="3" t="s">
        <v>872</v>
      </c>
      <c r="H3556" s="2" t="s">
        <v>55</v>
      </c>
      <c r="I3556" s="2" t="s">
        <v>9045</v>
      </c>
      <c r="J3556" s="3" t="str">
        <f>HYPERLINK("https://www.boe.es/gazeta/dias/1809/10/27/pdfs/GMD-1809-301.pdf#page=1","Abrir facsímil")</f>
        <v>Abrir facsímil</v>
      </c>
      <c r="K3556" s="3" t="s">
        <v>57</v>
      </c>
    </row>
    <row r="3557" spans="1:11" ht="42" customHeight="1">
      <c r="A3557" s="2" t="s">
        <v>9046</v>
      </c>
      <c r="B3557" s="2" t="s">
        <v>9047</v>
      </c>
      <c r="C3557" s="2" t="s">
        <v>25</v>
      </c>
      <c r="D3557" s="2" t="s">
        <v>80</v>
      </c>
      <c r="E3557" s="3" t="s">
        <v>1608</v>
      </c>
      <c r="F3557" s="3" t="s">
        <v>1609</v>
      </c>
      <c r="G3557" s="3" t="s">
        <v>89</v>
      </c>
      <c r="H3557" s="2" t="s">
        <v>55</v>
      </c>
      <c r="I3557" s="2" t="s">
        <v>9048</v>
      </c>
      <c r="J3557" s="3" t="str">
        <f>HYPERLINK("https://www.boe.es/gazeta/dias/1809/04/15/pdfs/GGB-1809-18E.pdf#page=7","Abrir facsímil")</f>
        <v>Abrir facsímil</v>
      </c>
      <c r="K3557" s="3" t="s">
        <v>57</v>
      </c>
    </row>
    <row r="3558" spans="1:11" ht="42" customHeight="1">
      <c r="A3558" s="2" t="s">
        <v>9049</v>
      </c>
      <c r="B3558" s="2" t="s">
        <v>9049</v>
      </c>
      <c r="C3558" s="2" t="s">
        <v>25</v>
      </c>
      <c r="D3558" s="2" t="s">
        <v>72</v>
      </c>
      <c r="E3558" s="3" t="s">
        <v>2818</v>
      </c>
      <c r="F3558" s="3" t="s">
        <v>4265</v>
      </c>
      <c r="G3558" s="3" t="s">
        <v>3934</v>
      </c>
      <c r="H3558" s="2" t="s">
        <v>55</v>
      </c>
      <c r="I3558" s="2" t="s">
        <v>9050</v>
      </c>
      <c r="J3558" s="3" t="str">
        <f>HYPERLINK("https://www.boe.es/gazeta/dias/1809/02/03/pdfs/GGB-G-1809-6.pdf#page=11","Abrir facsímil")</f>
        <v>Abrir facsímil</v>
      </c>
      <c r="K3558" s="3" t="s">
        <v>57</v>
      </c>
    </row>
    <row r="3559" spans="1:11" ht="42" customHeight="1">
      <c r="A3559" s="2" t="s">
        <v>9051</v>
      </c>
      <c r="B3559" s="2" t="s">
        <v>9052</v>
      </c>
      <c r="C3559" s="2" t="s">
        <v>17</v>
      </c>
      <c r="D3559" s="2" t="s">
        <v>18</v>
      </c>
      <c r="E3559" s="3" t="s">
        <v>258</v>
      </c>
      <c r="F3559" s="3" t="s">
        <v>259</v>
      </c>
      <c r="G3559" s="3" t="s">
        <v>4638</v>
      </c>
      <c r="H3559" s="2" t="s">
        <v>55</v>
      </c>
      <c r="I3559" s="2" t="s">
        <v>9053</v>
      </c>
      <c r="J3559" s="3" t="str">
        <f>HYPERLINK("https://www.boe.es/gazeta/dias/1809/03/17/pdfs/GMD-1809-76.pdf#page=4","Abrir facsímil")</f>
        <v>Abrir facsímil</v>
      </c>
      <c r="K3559" s="3" t="s">
        <v>57</v>
      </c>
    </row>
    <row r="3560" spans="1:11" ht="42" customHeight="1">
      <c r="A3560" s="2" t="s">
        <v>9054</v>
      </c>
      <c r="B3560" s="2" t="s">
        <v>9055</v>
      </c>
      <c r="C3560" s="2" t="s">
        <v>17</v>
      </c>
      <c r="D3560" s="2" t="s">
        <v>18</v>
      </c>
      <c r="E3560" s="3" t="s">
        <v>536</v>
      </c>
      <c r="F3560" s="3" t="s">
        <v>537</v>
      </c>
      <c r="G3560" s="3" t="s">
        <v>29</v>
      </c>
      <c r="H3560" s="2" t="s">
        <v>55</v>
      </c>
      <c r="I3560" s="2" t="s">
        <v>9056</v>
      </c>
      <c r="J3560" s="3" t="str">
        <f>HYPERLINK("https://www.boe.es/gazeta/dias/1809/09/03/pdfs/GMD-1809-247.pdf#page=3","Abrir facsímil")</f>
        <v>Abrir facsímil</v>
      </c>
      <c r="K3560" s="3" t="s">
        <v>57</v>
      </c>
    </row>
    <row r="3561" spans="1:11" ht="42" customHeight="1">
      <c r="A3561" s="2" t="s">
        <v>9057</v>
      </c>
      <c r="B3561" s="2" t="s">
        <v>9057</v>
      </c>
      <c r="C3561" s="2" t="s">
        <v>25</v>
      </c>
      <c r="D3561" s="2" t="s">
        <v>18</v>
      </c>
      <c r="E3561" s="3" t="s">
        <v>381</v>
      </c>
      <c r="F3561" s="3" t="s">
        <v>382</v>
      </c>
      <c r="G3561" s="3" t="s">
        <v>62</v>
      </c>
      <c r="H3561" s="2" t="s">
        <v>55</v>
      </c>
      <c r="I3561" s="2" t="s">
        <v>9058</v>
      </c>
      <c r="J3561" s="3" t="str">
        <f>HYPERLINK("https://www.boe.es/gazeta/dias/1809/06/27/pdfs/GMD-1809-178.pdf#page=4","Abrir facsímil")</f>
        <v>Abrir facsímil</v>
      </c>
      <c r="K3561" s="3" t="s">
        <v>57</v>
      </c>
    </row>
    <row r="3562" spans="1:11" ht="42" customHeight="1">
      <c r="A3562" s="2" t="s">
        <v>9059</v>
      </c>
      <c r="B3562" s="2" t="s">
        <v>9060</v>
      </c>
      <c r="C3562" s="2" t="s">
        <v>25</v>
      </c>
      <c r="D3562" s="2" t="s">
        <v>80</v>
      </c>
      <c r="E3562" s="3" t="s">
        <v>248</v>
      </c>
      <c r="F3562" s="3" t="s">
        <v>249</v>
      </c>
      <c r="G3562" s="3" t="s">
        <v>192</v>
      </c>
      <c r="H3562" s="2" t="s">
        <v>55</v>
      </c>
      <c r="I3562" s="2" t="s">
        <v>9061</v>
      </c>
      <c r="J3562" s="3" t="str">
        <f>HYPERLINK("https://www.boe.es/gazeta/dias/1809/07/26/pdfs/GGB-1809-48E.pdf#page=6","Abrir facsímil")</f>
        <v>Abrir facsímil</v>
      </c>
      <c r="K3562" s="3" t="s">
        <v>57</v>
      </c>
    </row>
    <row r="3563" spans="1:11" ht="42" customHeight="1">
      <c r="A3563" s="2" t="s">
        <v>9062</v>
      </c>
      <c r="B3563" s="2" t="s">
        <v>9062</v>
      </c>
      <c r="C3563" s="2" t="s">
        <v>25</v>
      </c>
      <c r="D3563" s="2" t="s">
        <v>26</v>
      </c>
      <c r="E3563" s="3" t="s">
        <v>211</v>
      </c>
      <c r="F3563" s="3" t="s">
        <v>212</v>
      </c>
      <c r="G3563" s="3" t="s">
        <v>467</v>
      </c>
      <c r="H3563" s="2" t="s">
        <v>55</v>
      </c>
      <c r="I3563" s="2" t="s">
        <v>9063</v>
      </c>
      <c r="J3563" s="3" t="str">
        <f>HYPERLINK("https://www.boe.es/gazeta/dias/1809/10/27/pdfs/GMD-1809-301.pdf#page=2","Abrir facsímil")</f>
        <v>Abrir facsímil</v>
      </c>
      <c r="K3563" s="3" t="s">
        <v>57</v>
      </c>
    </row>
    <row r="3564" spans="1:11" ht="42" customHeight="1">
      <c r="A3564" s="2" t="s">
        <v>9062</v>
      </c>
      <c r="B3564" s="2" t="s">
        <v>9062</v>
      </c>
      <c r="C3564" s="2" t="s">
        <v>25</v>
      </c>
      <c r="D3564" s="2" t="s">
        <v>26</v>
      </c>
      <c r="E3564" s="3" t="s">
        <v>216</v>
      </c>
      <c r="F3564" s="3" t="s">
        <v>217</v>
      </c>
      <c r="G3564" s="3" t="s">
        <v>75</v>
      </c>
      <c r="H3564" s="2" t="s">
        <v>55</v>
      </c>
      <c r="I3564" s="2" t="s">
        <v>9064</v>
      </c>
      <c r="J3564" s="3" t="str">
        <f>HYPERLINK("https://www.boe.es/gazeta/dias/1809/12/05/pdfs/GGB-H-1809-542.pdf#page=2","Abrir facsímil")</f>
        <v>Abrir facsímil</v>
      </c>
      <c r="K3564" s="3" t="s">
        <v>57</v>
      </c>
    </row>
    <row r="3565" spans="1:11" ht="42" customHeight="1">
      <c r="A3565" s="2" t="s">
        <v>9065</v>
      </c>
      <c r="B3565" s="2" t="s">
        <v>9066</v>
      </c>
      <c r="C3565" s="2" t="s">
        <v>25</v>
      </c>
      <c r="D3565" s="2" t="s">
        <v>18</v>
      </c>
      <c r="E3565" s="3" t="s">
        <v>589</v>
      </c>
      <c r="F3565" s="3" t="s">
        <v>590</v>
      </c>
      <c r="G3565" s="3" t="s">
        <v>3102</v>
      </c>
      <c r="H3565" s="2" t="s">
        <v>55</v>
      </c>
      <c r="I3565" s="2" t="s">
        <v>9067</v>
      </c>
      <c r="J3565" s="3" t="str">
        <f>HYPERLINK("https://www.boe.es/gazeta/dias/1809/10/05/pdfs/GGB-1809-282.pdf#page=6","Abrir facsímil")</f>
        <v>Abrir facsímil</v>
      </c>
      <c r="K3565" s="3" t="s">
        <v>57</v>
      </c>
    </row>
    <row r="3566" spans="1:11" ht="42" customHeight="1">
      <c r="A3566" s="2" t="s">
        <v>9068</v>
      </c>
      <c r="B3566" s="2" t="s">
        <v>9069</v>
      </c>
      <c r="C3566" s="2" t="s">
        <v>17</v>
      </c>
      <c r="D3566" s="2" t="s">
        <v>72</v>
      </c>
      <c r="E3566" s="3" t="s">
        <v>243</v>
      </c>
      <c r="F3566" s="3" t="s">
        <v>244</v>
      </c>
      <c r="G3566" s="3" t="s">
        <v>525</v>
      </c>
      <c r="H3566" s="2" t="s">
        <v>55</v>
      </c>
      <c r="I3566" s="2" t="s">
        <v>9070</v>
      </c>
      <c r="J3566" s="3" t="str">
        <f>HYPERLINK("https://www.boe.es/gazeta/dias/1809/02/17/pdfs/GGB-G-1809-8.pdf#page=4","Abrir facsímil")</f>
        <v>Abrir facsímil</v>
      </c>
      <c r="K3566" s="3" t="s">
        <v>57</v>
      </c>
    </row>
    <row r="3567" spans="1:11" ht="42" customHeight="1">
      <c r="A3567" s="2" t="s">
        <v>9071</v>
      </c>
      <c r="B3567" s="2" t="s">
        <v>9072</v>
      </c>
      <c r="C3567" s="2" t="s">
        <v>79</v>
      </c>
      <c r="D3567" s="2" t="s">
        <v>18</v>
      </c>
      <c r="E3567" s="3" t="s">
        <v>299</v>
      </c>
      <c r="F3567" s="3" t="s">
        <v>300</v>
      </c>
      <c r="G3567" s="3" t="s">
        <v>301</v>
      </c>
      <c r="H3567" s="2" t="s">
        <v>55</v>
      </c>
      <c r="I3567" s="2" t="s">
        <v>9073</v>
      </c>
      <c r="J3567" s="3" t="str">
        <f>HYPERLINK("https://www.boe.es/gazeta/dias/1809/05/26/pdfs/GGB-1809-31.pdf#page=10","Abrir facsímil")</f>
        <v>Abrir facsímil</v>
      </c>
      <c r="K3567" s="3" t="s">
        <v>57</v>
      </c>
    </row>
    <row r="3568" spans="1:11" ht="42" customHeight="1">
      <c r="A3568" s="2" t="s">
        <v>9074</v>
      </c>
      <c r="B3568" s="2" t="s">
        <v>9075</v>
      </c>
      <c r="C3568" s="2" t="s">
        <v>25</v>
      </c>
      <c r="D3568" s="2" t="s">
        <v>18</v>
      </c>
      <c r="E3568" s="3" t="s">
        <v>761</v>
      </c>
      <c r="F3568" s="3" t="s">
        <v>1218</v>
      </c>
      <c r="G3568" s="3" t="s">
        <v>154</v>
      </c>
      <c r="H3568" s="2" t="s">
        <v>55</v>
      </c>
      <c r="I3568" s="2" t="s">
        <v>9076</v>
      </c>
      <c r="J3568" s="3" t="str">
        <f>HYPERLINK("https://www.boe.es/gazeta/dias/1809/06/02/pdfs/GGB-1809-33.pdf#page=12","Abrir facsímil")</f>
        <v>Abrir facsímil</v>
      </c>
      <c r="K3568" s="3" t="s">
        <v>57</v>
      </c>
    </row>
    <row r="3569" spans="1:11" ht="42" customHeight="1">
      <c r="A3569" s="2" t="s">
        <v>9077</v>
      </c>
      <c r="B3569" s="2" t="s">
        <v>9078</v>
      </c>
      <c r="C3569" s="2" t="s">
        <v>25</v>
      </c>
      <c r="D3569" s="2" t="s">
        <v>72</v>
      </c>
      <c r="E3569" s="3" t="s">
        <v>473</v>
      </c>
      <c r="F3569" s="3" t="s">
        <v>1199</v>
      </c>
      <c r="G3569" s="3" t="s">
        <v>75</v>
      </c>
      <c r="H3569" s="2" t="s">
        <v>55</v>
      </c>
      <c r="I3569" s="2" t="s">
        <v>9079</v>
      </c>
      <c r="J3569" s="3" t="str">
        <f>HYPERLINK("https://www.boe.es/gazeta/dias/1809/12/28/pdfs/GGB-H-1809-642.pdf#page=7","Abrir facsímil")</f>
        <v>Abrir facsímil</v>
      </c>
      <c r="K3569" s="3" t="s">
        <v>57</v>
      </c>
    </row>
    <row r="3570" spans="1:11" ht="42" customHeight="1">
      <c r="A3570" s="2" t="s">
        <v>9080</v>
      </c>
      <c r="B3570" s="2" t="s">
        <v>9081</v>
      </c>
      <c r="C3570" s="2" t="s">
        <v>39</v>
      </c>
      <c r="D3570" s="2" t="s">
        <v>18</v>
      </c>
      <c r="E3570" s="3" t="s">
        <v>536</v>
      </c>
      <c r="F3570" s="3" t="s">
        <v>537</v>
      </c>
      <c r="G3570" s="3" t="s">
        <v>29</v>
      </c>
      <c r="H3570" s="2" t="s">
        <v>55</v>
      </c>
      <c r="I3570" s="2" t="s">
        <v>9082</v>
      </c>
      <c r="J3570" s="3" t="str">
        <f>HYPERLINK("https://www.boe.es/gazeta/dias/1809/09/03/pdfs/GMD-1809-247.pdf#page=3","Abrir facsímil")</f>
        <v>Abrir facsímil</v>
      </c>
      <c r="K3570" s="3" t="s">
        <v>57</v>
      </c>
    </row>
    <row r="3571" spans="1:11" ht="42" customHeight="1">
      <c r="A3571" s="2" t="s">
        <v>9083</v>
      </c>
      <c r="B3571" s="2" t="s">
        <v>9083</v>
      </c>
      <c r="C3571" s="2" t="s">
        <v>25</v>
      </c>
      <c r="D3571" s="2" t="s">
        <v>18</v>
      </c>
      <c r="E3571" s="3" t="s">
        <v>4993</v>
      </c>
      <c r="F3571" s="3" t="s">
        <v>4994</v>
      </c>
      <c r="G3571" s="3" t="s">
        <v>110</v>
      </c>
      <c r="H3571" s="2" t="s">
        <v>55</v>
      </c>
      <c r="I3571" s="2" t="s">
        <v>9084</v>
      </c>
      <c r="J3571" s="3" t="str">
        <f>HYPERLINK("https://www.boe.es/gazeta/dias/1809/01/15/pdfs/GMD-1809-15.pdf#page=4","Abrir facsímil")</f>
        <v>Abrir facsímil</v>
      </c>
      <c r="K3571" s="3" t="s">
        <v>57</v>
      </c>
    </row>
    <row r="3572" spans="1:11" ht="42" customHeight="1">
      <c r="A3572" s="2" t="s">
        <v>9083</v>
      </c>
      <c r="B3572" s="2" t="s">
        <v>9083</v>
      </c>
      <c r="C3572" s="2" t="s">
        <v>25</v>
      </c>
      <c r="D3572" s="2" t="s">
        <v>18</v>
      </c>
      <c r="E3572" s="3" t="s">
        <v>1652</v>
      </c>
      <c r="F3572" s="3" t="s">
        <v>5647</v>
      </c>
      <c r="G3572" s="3" t="s">
        <v>29</v>
      </c>
      <c r="H3572" s="2" t="s">
        <v>55</v>
      </c>
      <c r="I3572" s="2" t="s">
        <v>9085</v>
      </c>
      <c r="J3572" s="3" t="str">
        <f>HYPERLINK("https://www.boe.es/gazeta/dias/1809/07/25/pdfs/GMD-1809-206.pdf#page=3","Abrir facsímil")</f>
        <v>Abrir facsímil</v>
      </c>
      <c r="K3572" s="3" t="s">
        <v>57</v>
      </c>
    </row>
    <row r="3573" spans="1:11" ht="42" customHeight="1">
      <c r="A3573" s="2" t="s">
        <v>9086</v>
      </c>
      <c r="B3573" s="2" t="s">
        <v>9087</v>
      </c>
      <c r="C3573" s="2" t="s">
        <v>17</v>
      </c>
      <c r="D3573" s="2" t="s">
        <v>18</v>
      </c>
      <c r="E3573" s="3" t="s">
        <v>305</v>
      </c>
      <c r="F3573" s="3" t="s">
        <v>306</v>
      </c>
      <c r="G3573" s="3" t="s">
        <v>29</v>
      </c>
      <c r="H3573" s="2" t="s">
        <v>55</v>
      </c>
      <c r="I3573" s="2" t="s">
        <v>9088</v>
      </c>
      <c r="J3573" s="3" t="str">
        <f>HYPERLINK("https://www.boe.es/gazeta/dias/1809/10/20/pdfs/GMD-1809-294.pdf#page=3","Abrir facsímil")</f>
        <v>Abrir facsímil</v>
      </c>
      <c r="K3573" s="3" t="s">
        <v>57</v>
      </c>
    </row>
    <row r="3574" spans="1:11" ht="42" customHeight="1">
      <c r="A3574" s="2" t="s">
        <v>9089</v>
      </c>
      <c r="B3574" s="2" t="s">
        <v>9090</v>
      </c>
      <c r="C3574" s="2" t="s">
        <v>25</v>
      </c>
      <c r="D3574" s="2" t="s">
        <v>26</v>
      </c>
      <c r="E3574" s="3" t="s">
        <v>147</v>
      </c>
      <c r="F3574" s="3" t="s">
        <v>562</v>
      </c>
      <c r="G3574" s="3" t="s">
        <v>8191</v>
      </c>
      <c r="H3574" s="2" t="s">
        <v>55</v>
      </c>
      <c r="I3574" s="2" t="s">
        <v>9091</v>
      </c>
      <c r="J3574" s="3" t="str">
        <f>HYPERLINK("https://www.boe.es/gazeta/dias/1809/10/07/pdfs/GGB-H-1809-292.pdf#page=6","Abrir facsímil")</f>
        <v>Abrir facsímil</v>
      </c>
      <c r="K3574" s="3" t="s">
        <v>57</v>
      </c>
    </row>
    <row r="3575" spans="1:11" ht="42" customHeight="1">
      <c r="A3575" s="2" t="s">
        <v>9092</v>
      </c>
      <c r="B3575" s="2" t="s">
        <v>9093</v>
      </c>
      <c r="C3575" s="2" t="s">
        <v>25</v>
      </c>
      <c r="D3575" s="2" t="s">
        <v>26</v>
      </c>
      <c r="E3575" s="3" t="s">
        <v>147</v>
      </c>
      <c r="F3575" s="3" t="s">
        <v>562</v>
      </c>
      <c r="G3575" s="3" t="s">
        <v>3015</v>
      </c>
      <c r="H3575" s="2" t="s">
        <v>55</v>
      </c>
      <c r="I3575" s="2" t="s">
        <v>9094</v>
      </c>
      <c r="J3575" s="3" t="str">
        <f>HYPERLINK("https://www.boe.es/gazeta/dias/1809/10/07/pdfs/GGB-H-1809-292.pdf#page=2","Abrir facsímil")</f>
        <v>Abrir facsímil</v>
      </c>
      <c r="K3575" s="3" t="s">
        <v>57</v>
      </c>
    </row>
    <row r="3576" spans="1:11" ht="42" customHeight="1">
      <c r="A3576" s="2" t="s">
        <v>9095</v>
      </c>
      <c r="B3576" s="2" t="s">
        <v>9095</v>
      </c>
      <c r="C3576" s="2" t="s">
        <v>25</v>
      </c>
      <c r="D3576" s="2" t="s">
        <v>18</v>
      </c>
      <c r="E3576" s="3" t="s">
        <v>1493</v>
      </c>
      <c r="F3576" s="3" t="s">
        <v>1494</v>
      </c>
      <c r="G3576" s="3" t="s">
        <v>1319</v>
      </c>
      <c r="H3576" s="2" t="s">
        <v>55</v>
      </c>
      <c r="I3576" s="2" t="s">
        <v>9096</v>
      </c>
      <c r="J3576" s="3" t="str">
        <f>HYPERLINK("https://www.boe.es/gazeta/dias/1809/08/25/pdfs/GMD-1809-238.pdf#page=1","Abrir facsímil")</f>
        <v>Abrir facsímil</v>
      </c>
      <c r="K3576" s="3" t="s">
        <v>57</v>
      </c>
    </row>
    <row r="3577" spans="1:11" ht="42" customHeight="1">
      <c r="A3577" s="2" t="s">
        <v>9097</v>
      </c>
      <c r="B3577" s="2" t="s">
        <v>9097</v>
      </c>
      <c r="C3577" s="2" t="s">
        <v>25</v>
      </c>
      <c r="D3577" s="2" t="s">
        <v>72</v>
      </c>
      <c r="E3577" s="3" t="s">
        <v>2818</v>
      </c>
      <c r="F3577" s="3" t="s">
        <v>4265</v>
      </c>
      <c r="G3577" s="3" t="s">
        <v>668</v>
      </c>
      <c r="H3577" s="2" t="s">
        <v>55</v>
      </c>
      <c r="I3577" s="2" t="s">
        <v>9098</v>
      </c>
      <c r="J3577" s="3" t="str">
        <f>HYPERLINK("https://www.boe.es/gazeta/dias/1809/02/03/pdfs/GGB-G-1809-6.pdf#page=10","Abrir facsímil")</f>
        <v>Abrir facsímil</v>
      </c>
      <c r="K3577" s="3" t="s">
        <v>57</v>
      </c>
    </row>
    <row r="3578" spans="1:11" ht="42" customHeight="1">
      <c r="A3578" s="2" t="s">
        <v>9099</v>
      </c>
      <c r="B3578" s="2" t="s">
        <v>9099</v>
      </c>
      <c r="C3578" s="2" t="s">
        <v>25</v>
      </c>
      <c r="D3578" s="2" t="s">
        <v>26</v>
      </c>
      <c r="E3578" s="3" t="s">
        <v>5140</v>
      </c>
      <c r="F3578" s="3" t="s">
        <v>5141</v>
      </c>
      <c r="G3578" s="3" t="s">
        <v>5142</v>
      </c>
      <c r="H3578" s="2" t="s">
        <v>55</v>
      </c>
      <c r="I3578" s="2" t="s">
        <v>9100</v>
      </c>
      <c r="J3578" s="3" t="str">
        <f>HYPERLINK("https://www.boe.es/gazeta/dias/1809/07/16/pdfs/GMD-1809-197.pdf#page=2","Abrir facsímil")</f>
        <v>Abrir facsímil</v>
      </c>
      <c r="K3578" s="3" t="s">
        <v>57</v>
      </c>
    </row>
    <row r="3579" spans="1:11" ht="42" customHeight="1">
      <c r="A3579" s="2" t="s">
        <v>9101</v>
      </c>
      <c r="B3579" s="2" t="s">
        <v>9102</v>
      </c>
      <c r="C3579" s="2" t="s">
        <v>17</v>
      </c>
      <c r="D3579" s="2" t="s">
        <v>18</v>
      </c>
      <c r="E3579" s="3" t="s">
        <v>33</v>
      </c>
      <c r="F3579" s="3" t="s">
        <v>34</v>
      </c>
      <c r="G3579" s="3" t="s">
        <v>595</v>
      </c>
      <c r="H3579" s="2" t="s">
        <v>55</v>
      </c>
      <c r="I3579" s="2" t="s">
        <v>9103</v>
      </c>
      <c r="J3579" s="3" t="str">
        <f>HYPERLINK("https://www.boe.es/gazeta/dias/1809/12/19/pdfs/GGB-1809-602.pdf#page=7","Abrir facsímil")</f>
        <v>Abrir facsímil</v>
      </c>
      <c r="K3579" s="3" t="s">
        <v>57</v>
      </c>
    </row>
    <row r="3580" spans="1:11" ht="42" customHeight="1">
      <c r="A3580" s="2" t="s">
        <v>9104</v>
      </c>
      <c r="B3580" s="2" t="s">
        <v>9104</v>
      </c>
      <c r="C3580" s="2" t="s">
        <v>25</v>
      </c>
      <c r="D3580" s="2" t="s">
        <v>18</v>
      </c>
      <c r="E3580" s="3" t="s">
        <v>173</v>
      </c>
      <c r="F3580" s="3" t="s">
        <v>174</v>
      </c>
      <c r="G3580" s="3" t="s">
        <v>816</v>
      </c>
      <c r="H3580" s="2" t="s">
        <v>55</v>
      </c>
      <c r="I3580" s="2" t="s">
        <v>9105</v>
      </c>
      <c r="J3580" s="3" t="str">
        <f>HYPERLINK("https://www.boe.es/gazeta/dias/1809/09/12/pdfs/GGB-1809-182.pdf#page=4","Abrir facsímil")</f>
        <v>Abrir facsímil</v>
      </c>
      <c r="K3580" s="3" t="s">
        <v>57</v>
      </c>
    </row>
    <row r="3581" spans="1:11" ht="42" customHeight="1">
      <c r="A3581" s="2" t="s">
        <v>9106</v>
      </c>
      <c r="B3581" s="2" t="s">
        <v>9107</v>
      </c>
      <c r="C3581" s="2" t="s">
        <v>25</v>
      </c>
      <c r="D3581" s="2" t="s">
        <v>72</v>
      </c>
      <c r="E3581" s="3" t="s">
        <v>143</v>
      </c>
      <c r="F3581" s="3" t="s">
        <v>705</v>
      </c>
      <c r="G3581" s="3" t="s">
        <v>260</v>
      </c>
      <c r="H3581" s="2" t="s">
        <v>55</v>
      </c>
      <c r="I3581" s="2" t="s">
        <v>9108</v>
      </c>
      <c r="J3581" s="3" t="str">
        <f>HYPERLINK("https://www.boe.es/gazeta/dias/1809/11/16/pdfs/GGB-H-1809-462.pdf#page=7","Abrir facsímil")</f>
        <v>Abrir facsímil</v>
      </c>
      <c r="K3581" s="3" t="s">
        <v>57</v>
      </c>
    </row>
    <row r="3582" spans="1:11" ht="42" customHeight="1">
      <c r="A3582" s="2" t="s">
        <v>9109</v>
      </c>
      <c r="B3582" s="2" t="s">
        <v>9110</v>
      </c>
      <c r="C3582" s="2" t="s">
        <v>25</v>
      </c>
      <c r="D3582" s="2" t="s">
        <v>26</v>
      </c>
      <c r="E3582" s="3" t="s">
        <v>1551</v>
      </c>
      <c r="F3582" s="3" t="s">
        <v>1552</v>
      </c>
      <c r="G3582" s="3" t="s">
        <v>169</v>
      </c>
      <c r="H3582" s="2" t="s">
        <v>55</v>
      </c>
      <c r="I3582" s="2" t="s">
        <v>9111</v>
      </c>
      <c r="J3582" s="3" t="str">
        <f>HYPERLINK("https://www.boe.es/gazeta/dias/1809/06/12/pdfs/GGB-1809-36.pdf#page=11","Abrir facsímil")</f>
        <v>Abrir facsímil</v>
      </c>
      <c r="K3582" s="3" t="s">
        <v>57</v>
      </c>
    </row>
    <row r="3583" spans="1:11" ht="42" customHeight="1">
      <c r="A3583" s="2" t="s">
        <v>9112</v>
      </c>
      <c r="B3583" s="2" t="s">
        <v>9113</v>
      </c>
      <c r="C3583" s="2" t="s">
        <v>17</v>
      </c>
      <c r="D3583" s="2" t="s">
        <v>80</v>
      </c>
      <c r="E3583" s="3" t="s">
        <v>3084</v>
      </c>
      <c r="F3583" s="3" t="s">
        <v>3085</v>
      </c>
      <c r="G3583" s="3" t="s">
        <v>141</v>
      </c>
      <c r="H3583" s="2" t="s">
        <v>55</v>
      </c>
      <c r="I3583" s="2" t="s">
        <v>9114</v>
      </c>
      <c r="J3583" s="3" t="str">
        <f>HYPERLINK("https://www.boe.es/gazeta/dias/1809/01/04/pdfs/GMS-1809-63E.pdf#page=1","Abrir facsímil")</f>
        <v>Abrir facsímil</v>
      </c>
      <c r="K3583" s="3" t="s">
        <v>57</v>
      </c>
    </row>
    <row r="3584" spans="1:11" ht="42" customHeight="1">
      <c r="A3584" s="2" t="s">
        <v>9115</v>
      </c>
      <c r="B3584" s="2" t="s">
        <v>9115</v>
      </c>
      <c r="C3584" s="2" t="s">
        <v>25</v>
      </c>
      <c r="D3584" s="2" t="s">
        <v>26</v>
      </c>
      <c r="E3584" s="3" t="s">
        <v>152</v>
      </c>
      <c r="F3584" s="3" t="s">
        <v>2067</v>
      </c>
      <c r="G3584" s="3" t="s">
        <v>1424</v>
      </c>
      <c r="H3584" s="2" t="s">
        <v>55</v>
      </c>
      <c r="I3584" s="2" t="s">
        <v>9116</v>
      </c>
      <c r="J3584" s="3" t="str">
        <f>HYPERLINK("https://www.boe.es/gazeta/dias/1809/08/26/pdfs/GMD-1809-239.pdf#page=1","Abrir facsímil")</f>
        <v>Abrir facsímil</v>
      </c>
      <c r="K3584" s="3" t="s">
        <v>57</v>
      </c>
    </row>
    <row r="3585" spans="1:11" ht="42" customHeight="1">
      <c r="A3585" s="2" t="s">
        <v>9115</v>
      </c>
      <c r="B3585" s="2" t="s">
        <v>9115</v>
      </c>
      <c r="C3585" s="2" t="s">
        <v>17</v>
      </c>
      <c r="D3585" s="2" t="s">
        <v>18</v>
      </c>
      <c r="E3585" s="3" t="s">
        <v>102</v>
      </c>
      <c r="F3585" s="3" t="s">
        <v>103</v>
      </c>
      <c r="G3585" s="3" t="s">
        <v>3074</v>
      </c>
      <c r="H3585" s="2" t="s">
        <v>55</v>
      </c>
      <c r="I3585" s="2" t="s">
        <v>9117</v>
      </c>
      <c r="J3585" s="3" t="str">
        <f>HYPERLINK("https://www.boe.es/gazeta/dias/1809/09/28/pdfs/GGB-1809-252.pdf#page=4","Abrir facsímil")</f>
        <v>Abrir facsímil</v>
      </c>
      <c r="K3585" s="3" t="s">
        <v>57</v>
      </c>
    </row>
    <row r="3586" spans="1:11" ht="42" customHeight="1">
      <c r="A3586" s="2" t="s">
        <v>9115</v>
      </c>
      <c r="B3586" s="2" t="s">
        <v>9115</v>
      </c>
      <c r="C3586" s="2" t="s">
        <v>25</v>
      </c>
      <c r="D3586" s="2" t="s">
        <v>18</v>
      </c>
      <c r="E3586" s="3" t="s">
        <v>143</v>
      </c>
      <c r="F3586" s="3" t="s">
        <v>144</v>
      </c>
      <c r="G3586" s="3" t="s">
        <v>9118</v>
      </c>
      <c r="H3586" s="2" t="s">
        <v>55</v>
      </c>
      <c r="I3586" s="2" t="s">
        <v>9119</v>
      </c>
      <c r="J3586" s="3" t="str">
        <f>HYPERLINK("https://www.boe.es/gazeta/dias/1809/11/16/pdfs/GGB-1809-462.pdf#page=6","Abrir facsímil")</f>
        <v>Abrir facsímil</v>
      </c>
      <c r="K3586" s="3" t="s">
        <v>57</v>
      </c>
    </row>
    <row r="3587" spans="1:11" ht="42" customHeight="1">
      <c r="A3587" s="2" t="s">
        <v>9120</v>
      </c>
      <c r="B3587" s="2" t="s">
        <v>9121</v>
      </c>
      <c r="C3587" s="2" t="s">
        <v>17</v>
      </c>
      <c r="D3587" s="2" t="s">
        <v>18</v>
      </c>
      <c r="E3587" s="3" t="s">
        <v>33</v>
      </c>
      <c r="F3587" s="3" t="s">
        <v>34</v>
      </c>
      <c r="G3587" s="3" t="s">
        <v>595</v>
      </c>
      <c r="H3587" s="2" t="s">
        <v>55</v>
      </c>
      <c r="I3587" s="2" t="s">
        <v>9122</v>
      </c>
      <c r="J3587" s="3" t="str">
        <f>HYPERLINK("https://www.boe.es/gazeta/dias/1809/12/19/pdfs/GGB-1809-602.pdf#page=7","Abrir facsímil")</f>
        <v>Abrir facsímil</v>
      </c>
      <c r="K3587" s="3" t="s">
        <v>57</v>
      </c>
    </row>
    <row r="3588" spans="1:11" ht="42" customHeight="1">
      <c r="A3588" s="2" t="s">
        <v>9123</v>
      </c>
      <c r="B3588" s="2" t="s">
        <v>9123</v>
      </c>
      <c r="C3588" s="2" t="s">
        <v>25</v>
      </c>
      <c r="D3588" s="2" t="s">
        <v>18</v>
      </c>
      <c r="E3588" s="3" t="s">
        <v>1276</v>
      </c>
      <c r="F3588" s="3" t="s">
        <v>2088</v>
      </c>
      <c r="G3588" s="3" t="s">
        <v>234</v>
      </c>
      <c r="H3588" s="2" t="s">
        <v>55</v>
      </c>
      <c r="I3588" s="2" t="s">
        <v>9124</v>
      </c>
      <c r="J3588" s="3" t="str">
        <f>HYPERLINK("https://www.boe.es/gazeta/dias/1809/01/03/pdfs/GMD-1809-3.pdf#page=4","Abrir facsímil")</f>
        <v>Abrir facsímil</v>
      </c>
      <c r="K3588" s="3" t="s">
        <v>57</v>
      </c>
    </row>
    <row r="3589" spans="1:11" ht="42" customHeight="1">
      <c r="A3589" s="2" t="s">
        <v>9123</v>
      </c>
      <c r="B3589" s="2" t="s">
        <v>9123</v>
      </c>
      <c r="C3589" s="2" t="s">
        <v>25</v>
      </c>
      <c r="D3589" s="2" t="s">
        <v>18</v>
      </c>
      <c r="E3589" s="3" t="s">
        <v>1053</v>
      </c>
      <c r="F3589" s="3" t="s">
        <v>1054</v>
      </c>
      <c r="G3589" s="3" t="s">
        <v>426</v>
      </c>
      <c r="H3589" s="2" t="s">
        <v>55</v>
      </c>
      <c r="I3589" s="2" t="s">
        <v>9125</v>
      </c>
      <c r="J3589" s="3" t="str">
        <f>HYPERLINK("https://www.boe.es/gazeta/dias/1809/05/13/pdfs/GMD-1809-133.pdf#page=5","Abrir facsímil")</f>
        <v>Abrir facsímil</v>
      </c>
      <c r="K3589" s="3" t="s">
        <v>57</v>
      </c>
    </row>
    <row r="3590" spans="1:11" ht="42" customHeight="1">
      <c r="A3590" s="2" t="s">
        <v>9123</v>
      </c>
      <c r="B3590" s="2" t="s">
        <v>9123</v>
      </c>
      <c r="C3590" s="2" t="s">
        <v>25</v>
      </c>
      <c r="D3590" s="2" t="s">
        <v>18</v>
      </c>
      <c r="E3590" s="3" t="s">
        <v>621</v>
      </c>
      <c r="F3590" s="3" t="s">
        <v>913</v>
      </c>
      <c r="G3590" s="3" t="s">
        <v>914</v>
      </c>
      <c r="H3590" s="2" t="s">
        <v>55</v>
      </c>
      <c r="I3590" s="2" t="s">
        <v>9126</v>
      </c>
      <c r="J3590" s="3" t="str">
        <f>HYPERLINK("https://www.boe.es/gazeta/dias/1809/07/04/pdfs/GMD-1809-185.pdf#page=2","Abrir facsímil")</f>
        <v>Abrir facsímil</v>
      </c>
      <c r="K3590" s="3" t="s">
        <v>57</v>
      </c>
    </row>
    <row r="3591" spans="1:11" ht="42" customHeight="1">
      <c r="A3591" s="2" t="s">
        <v>9123</v>
      </c>
      <c r="B3591" s="2" t="s">
        <v>9123</v>
      </c>
      <c r="C3591" s="2" t="s">
        <v>25</v>
      </c>
      <c r="D3591" s="2" t="s">
        <v>26</v>
      </c>
      <c r="E3591" s="3" t="s">
        <v>621</v>
      </c>
      <c r="F3591" s="3" t="s">
        <v>913</v>
      </c>
      <c r="G3591" s="3" t="s">
        <v>192</v>
      </c>
      <c r="H3591" s="2" t="s">
        <v>55</v>
      </c>
      <c r="I3591" s="2" t="s">
        <v>9127</v>
      </c>
      <c r="J3591" s="3" t="str">
        <f>HYPERLINK("https://www.boe.es/gazeta/dias/1809/07/04/pdfs/GMD-1809-185.pdf#page=3","Abrir facsímil")</f>
        <v>Abrir facsímil</v>
      </c>
      <c r="K3591" s="3" t="s">
        <v>57</v>
      </c>
    </row>
    <row r="3592" spans="1:11" ht="42" customHeight="1">
      <c r="A3592" s="2" t="s">
        <v>9123</v>
      </c>
      <c r="B3592" s="2" t="s">
        <v>9123</v>
      </c>
      <c r="C3592" s="2" t="s">
        <v>25</v>
      </c>
      <c r="D3592" s="2" t="s">
        <v>18</v>
      </c>
      <c r="E3592" s="3" t="s">
        <v>322</v>
      </c>
      <c r="F3592" s="3" t="s">
        <v>323</v>
      </c>
      <c r="G3592" s="3" t="s">
        <v>21</v>
      </c>
      <c r="H3592" s="2" t="s">
        <v>55</v>
      </c>
      <c r="I3592" s="2" t="s">
        <v>9128</v>
      </c>
      <c r="J3592" s="3" t="str">
        <f>HYPERLINK("https://www.boe.es/gazeta/dias/1809/07/21/pdfs/GMD-1809-202.pdf#page=1","Abrir facsímil")</f>
        <v>Abrir facsímil</v>
      </c>
      <c r="K3592" s="3" t="s">
        <v>57</v>
      </c>
    </row>
    <row r="3593" spans="1:11" ht="42" customHeight="1">
      <c r="A3593" s="2" t="s">
        <v>9129</v>
      </c>
      <c r="B3593" s="2" t="s">
        <v>9130</v>
      </c>
      <c r="C3593" s="2" t="s">
        <v>17</v>
      </c>
      <c r="D3593" s="2" t="s">
        <v>72</v>
      </c>
      <c r="E3593" s="3" t="s">
        <v>243</v>
      </c>
      <c r="F3593" s="3" t="s">
        <v>244</v>
      </c>
      <c r="G3593" s="3" t="s">
        <v>582</v>
      </c>
      <c r="H3593" s="2" t="s">
        <v>55</v>
      </c>
      <c r="I3593" s="2" t="s">
        <v>9131</v>
      </c>
      <c r="J3593" s="3" t="str">
        <f>HYPERLINK("https://www.boe.es/gazeta/dias/1809/02/17/pdfs/GGB-G-1809-8.pdf#page=7","Abrir facsímil")</f>
        <v>Abrir facsímil</v>
      </c>
      <c r="K3593" s="3" t="s">
        <v>57</v>
      </c>
    </row>
    <row r="3594" spans="1:11" ht="42" customHeight="1">
      <c r="A3594" s="2" t="s">
        <v>9132</v>
      </c>
      <c r="B3594" s="2" t="s">
        <v>9133</v>
      </c>
      <c r="C3594" s="2" t="s">
        <v>25</v>
      </c>
      <c r="D3594" s="2" t="s">
        <v>26</v>
      </c>
      <c r="E3594" s="3" t="s">
        <v>299</v>
      </c>
      <c r="F3594" s="3" t="s">
        <v>300</v>
      </c>
      <c r="G3594" s="3" t="s">
        <v>1319</v>
      </c>
      <c r="H3594" s="2" t="s">
        <v>55</v>
      </c>
      <c r="I3594" s="2" t="s">
        <v>9134</v>
      </c>
      <c r="J3594" s="3" t="str">
        <f>HYPERLINK("https://www.boe.es/gazeta/dias/1809/05/26/pdfs/GGB-1809-31.pdf#page=11","Abrir facsímil")</f>
        <v>Abrir facsímil</v>
      </c>
      <c r="K3594" s="3" t="s">
        <v>57</v>
      </c>
    </row>
    <row r="3595" spans="1:11" ht="42" customHeight="1">
      <c r="A3595" s="2" t="s">
        <v>9135</v>
      </c>
      <c r="B3595" s="2" t="s">
        <v>9136</v>
      </c>
      <c r="C3595" s="2" t="s">
        <v>39</v>
      </c>
      <c r="D3595" s="2" t="s">
        <v>18</v>
      </c>
      <c r="E3595" s="3" t="s">
        <v>102</v>
      </c>
      <c r="F3595" s="3" t="s">
        <v>103</v>
      </c>
      <c r="G3595" s="3" t="s">
        <v>1706</v>
      </c>
      <c r="H3595" s="2" t="s">
        <v>55</v>
      </c>
      <c r="I3595" s="2" t="s">
        <v>9137</v>
      </c>
      <c r="J3595" s="3" t="str">
        <f>HYPERLINK("https://www.boe.es/gazeta/dias/1809/09/28/pdfs/GGB-1809-252.pdf#page=5","Abrir facsímil")</f>
        <v>Abrir facsímil</v>
      </c>
      <c r="K3595" s="3" t="s">
        <v>57</v>
      </c>
    </row>
    <row r="3596" spans="1:11" ht="42" customHeight="1">
      <c r="A3596" s="2" t="s">
        <v>9135</v>
      </c>
      <c r="B3596" s="2" t="s">
        <v>9136</v>
      </c>
      <c r="C3596" s="2" t="s">
        <v>25</v>
      </c>
      <c r="D3596" s="2" t="s">
        <v>72</v>
      </c>
      <c r="E3596" s="3" t="s">
        <v>143</v>
      </c>
      <c r="F3596" s="3" t="s">
        <v>705</v>
      </c>
      <c r="G3596" s="3" t="s">
        <v>3010</v>
      </c>
      <c r="H3596" s="2" t="s">
        <v>55</v>
      </c>
      <c r="I3596" s="2" t="s">
        <v>9138</v>
      </c>
      <c r="J3596" s="3" t="str">
        <f>HYPERLINK("https://www.boe.es/gazeta/dias/1809/11/16/pdfs/GGB-H-1809-462.pdf#page=5","Abrir facsímil")</f>
        <v>Abrir facsímil</v>
      </c>
      <c r="K3596" s="3" t="s">
        <v>57</v>
      </c>
    </row>
    <row r="3597" spans="1:11" ht="42" customHeight="1">
      <c r="A3597" s="2" t="s">
        <v>9139</v>
      </c>
      <c r="B3597" s="2" t="s">
        <v>9140</v>
      </c>
      <c r="C3597" s="2" t="s">
        <v>17</v>
      </c>
      <c r="D3597" s="2" t="s">
        <v>107</v>
      </c>
      <c r="E3597" s="3" t="s">
        <v>712</v>
      </c>
      <c r="F3597" s="3" t="s">
        <v>713</v>
      </c>
      <c r="G3597" s="3" t="s">
        <v>120</v>
      </c>
      <c r="H3597" s="2" t="s">
        <v>55</v>
      </c>
      <c r="I3597" s="2" t="s">
        <v>9141</v>
      </c>
      <c r="J3597" s="3" t="str">
        <f>HYPERLINK("https://www.boe.es/gazeta/dias/1809/09/10/pdfs/GMD-1809-254.pdf#page=2","Abrir facsímil")</f>
        <v>Abrir facsímil</v>
      </c>
      <c r="K3597" s="3" t="s">
        <v>57</v>
      </c>
    </row>
    <row r="3598" spans="1:11" ht="42" customHeight="1">
      <c r="A3598" s="2" t="s">
        <v>9142</v>
      </c>
      <c r="B3598" s="2" t="s">
        <v>9143</v>
      </c>
      <c r="C3598" s="2" t="s">
        <v>25</v>
      </c>
      <c r="D3598" s="2" t="s">
        <v>26</v>
      </c>
      <c r="E3598" s="3" t="s">
        <v>1551</v>
      </c>
      <c r="F3598" s="3" t="s">
        <v>1552</v>
      </c>
      <c r="G3598" s="3" t="s">
        <v>301</v>
      </c>
      <c r="H3598" s="2" t="s">
        <v>55</v>
      </c>
      <c r="I3598" s="2" t="s">
        <v>9144</v>
      </c>
      <c r="J3598" s="3" t="str">
        <f>HYPERLINK("https://www.boe.es/gazeta/dias/1809/06/12/pdfs/GGB-1809-36.pdf#page=10","Abrir facsímil")</f>
        <v>Abrir facsímil</v>
      </c>
      <c r="K3598" s="3" t="s">
        <v>57</v>
      </c>
    </row>
    <row r="3599" spans="1:11" ht="42" customHeight="1">
      <c r="A3599" s="2" t="s">
        <v>9145</v>
      </c>
      <c r="B3599" s="2" t="s">
        <v>9146</v>
      </c>
      <c r="C3599" s="2" t="s">
        <v>25</v>
      </c>
      <c r="D3599" s="2" t="s">
        <v>26</v>
      </c>
      <c r="E3599" s="3" t="s">
        <v>108</v>
      </c>
      <c r="F3599" s="3" t="s">
        <v>109</v>
      </c>
      <c r="G3599" s="3" t="s">
        <v>110</v>
      </c>
      <c r="H3599" s="2" t="s">
        <v>55</v>
      </c>
      <c r="I3599" s="2" t="s">
        <v>9147</v>
      </c>
      <c r="J3599" s="3" t="str">
        <f>HYPERLINK("https://www.boe.es/gazeta/dias/1809/09/08/pdfs/GMD-1809-252.pdf#page=2","Abrir facsímil")</f>
        <v>Abrir facsímil</v>
      </c>
      <c r="K3599" s="3" t="s">
        <v>57</v>
      </c>
    </row>
    <row r="3600" spans="1:11" ht="42" customHeight="1">
      <c r="A3600" s="2" t="s">
        <v>9148</v>
      </c>
      <c r="B3600" s="2" t="s">
        <v>9149</v>
      </c>
      <c r="C3600" s="2" t="s">
        <v>25</v>
      </c>
      <c r="D3600" s="2" t="s">
        <v>26</v>
      </c>
      <c r="E3600" s="3" t="s">
        <v>299</v>
      </c>
      <c r="F3600" s="3" t="s">
        <v>300</v>
      </c>
      <c r="G3600" s="3" t="s">
        <v>1319</v>
      </c>
      <c r="H3600" s="2" t="s">
        <v>55</v>
      </c>
      <c r="I3600" s="2" t="s">
        <v>9150</v>
      </c>
      <c r="J3600" s="3" t="str">
        <f>HYPERLINK("https://www.boe.es/gazeta/dias/1809/05/26/pdfs/GGB-1809-31.pdf#page=11","Abrir facsímil")</f>
        <v>Abrir facsímil</v>
      </c>
      <c r="K3600" s="3" t="s">
        <v>57</v>
      </c>
    </row>
    <row r="3601" spans="1:11" ht="42" customHeight="1">
      <c r="A3601" s="2" t="s">
        <v>9151</v>
      </c>
      <c r="B3601" s="2" t="s">
        <v>9152</v>
      </c>
      <c r="C3601" s="2" t="s">
        <v>25</v>
      </c>
      <c r="D3601" s="2" t="s">
        <v>72</v>
      </c>
      <c r="E3601" s="3" t="s">
        <v>143</v>
      </c>
      <c r="F3601" s="3" t="s">
        <v>705</v>
      </c>
      <c r="G3601" s="3" t="s">
        <v>225</v>
      </c>
      <c r="H3601" s="2" t="s">
        <v>55</v>
      </c>
      <c r="I3601" s="2" t="s">
        <v>9153</v>
      </c>
      <c r="J3601" s="3" t="str">
        <f>HYPERLINK("https://www.boe.es/gazeta/dias/1809/11/16/pdfs/GGB-H-1809-462.pdf#page=4","Abrir facsímil")</f>
        <v>Abrir facsímil</v>
      </c>
      <c r="K3601" s="3" t="s">
        <v>57</v>
      </c>
    </row>
    <row r="3602" spans="1:11" ht="42" customHeight="1">
      <c r="A3602" s="2" t="s">
        <v>9154</v>
      </c>
      <c r="B3602" s="2" t="s">
        <v>9155</v>
      </c>
      <c r="C3602" s="2" t="s">
        <v>17</v>
      </c>
      <c r="D3602" s="2" t="s">
        <v>18</v>
      </c>
      <c r="E3602" s="3" t="s">
        <v>3714</v>
      </c>
      <c r="F3602" s="3" t="s">
        <v>4205</v>
      </c>
      <c r="G3602" s="3" t="s">
        <v>94</v>
      </c>
      <c r="H3602" s="2" t="s">
        <v>55</v>
      </c>
      <c r="I3602" s="2" t="s">
        <v>9156</v>
      </c>
      <c r="J3602" s="3" t="str">
        <f>HYPERLINK("https://www.boe.es/gazeta/dias/1809/12/07/pdfs/GGB-1809-552.pdf#page=5","Abrir facsímil")</f>
        <v>Abrir facsímil</v>
      </c>
      <c r="K3602" s="3" t="s">
        <v>57</v>
      </c>
    </row>
    <row r="3603" spans="1:11" ht="42" customHeight="1">
      <c r="A3603" s="2" t="s">
        <v>9157</v>
      </c>
      <c r="B3603" s="2" t="s">
        <v>9158</v>
      </c>
      <c r="C3603" s="2" t="s">
        <v>131</v>
      </c>
      <c r="D3603" s="2" t="s">
        <v>26</v>
      </c>
      <c r="E3603" s="3" t="s">
        <v>299</v>
      </c>
      <c r="F3603" s="3" t="s">
        <v>300</v>
      </c>
      <c r="G3603" s="3" t="s">
        <v>1319</v>
      </c>
      <c r="H3603" s="2" t="s">
        <v>55</v>
      </c>
      <c r="I3603" s="2" t="s">
        <v>9159</v>
      </c>
      <c r="J3603" s="3" t="str">
        <f>HYPERLINK("https://www.boe.es/gazeta/dias/1809/05/26/pdfs/GGB-1809-31.pdf#page=11","Abrir facsímil")</f>
        <v>Abrir facsímil</v>
      </c>
      <c r="K3603" s="3" t="s">
        <v>57</v>
      </c>
    </row>
    <row r="3604" spans="1:11" ht="42" customHeight="1">
      <c r="A3604" s="2" t="s">
        <v>9157</v>
      </c>
      <c r="B3604" s="2" t="s">
        <v>9158</v>
      </c>
      <c r="C3604" s="2" t="s">
        <v>17</v>
      </c>
      <c r="D3604" s="2" t="s">
        <v>18</v>
      </c>
      <c r="E3604" s="3" t="s">
        <v>3714</v>
      </c>
      <c r="F3604" s="3" t="s">
        <v>4205</v>
      </c>
      <c r="G3604" s="3" t="s">
        <v>623</v>
      </c>
      <c r="H3604" s="2" t="s">
        <v>55</v>
      </c>
      <c r="I3604" s="2" t="s">
        <v>9160</v>
      </c>
      <c r="J3604" s="3" t="str">
        <f>HYPERLINK("https://www.boe.es/gazeta/dias/1809/12/07/pdfs/GGB-1809-552.pdf#page=6","Abrir facsímil")</f>
        <v>Abrir facsímil</v>
      </c>
      <c r="K3604" s="3" t="s">
        <v>57</v>
      </c>
    </row>
    <row r="3605" spans="1:11" ht="42" customHeight="1">
      <c r="A3605" s="2" t="s">
        <v>9157</v>
      </c>
      <c r="B3605" s="2" t="s">
        <v>9158</v>
      </c>
      <c r="C3605" s="2" t="s">
        <v>25</v>
      </c>
      <c r="D3605" s="2" t="s">
        <v>26</v>
      </c>
      <c r="E3605" s="3" t="s">
        <v>3714</v>
      </c>
      <c r="F3605" s="3" t="s">
        <v>4205</v>
      </c>
      <c r="G3605" s="3" t="s">
        <v>789</v>
      </c>
      <c r="H3605" s="2" t="s">
        <v>55</v>
      </c>
      <c r="I3605" s="2" t="s">
        <v>9161</v>
      </c>
      <c r="J3605" s="3" t="str">
        <f>HYPERLINK("https://www.boe.es/gazeta/dias/1809/12/07/pdfs/GGB-1809-552.pdf#page=8","Abrir facsímil")</f>
        <v>Abrir facsímil</v>
      </c>
      <c r="K3605" s="3" t="s">
        <v>57</v>
      </c>
    </row>
    <row r="3606" spans="1:11" ht="42" customHeight="1">
      <c r="A3606" s="2" t="s">
        <v>9157</v>
      </c>
      <c r="B3606" s="2" t="s">
        <v>9158</v>
      </c>
      <c r="C3606" s="2" t="s">
        <v>17</v>
      </c>
      <c r="D3606" s="2" t="s">
        <v>18</v>
      </c>
      <c r="E3606" s="3" t="s">
        <v>814</v>
      </c>
      <c r="F3606" s="3" t="s">
        <v>815</v>
      </c>
      <c r="G3606" s="3" t="s">
        <v>948</v>
      </c>
      <c r="H3606" s="2" t="s">
        <v>55</v>
      </c>
      <c r="I3606" s="2" t="s">
        <v>9162</v>
      </c>
      <c r="J3606" s="3" t="str">
        <f>HYPERLINK("https://www.boe.es/gazeta/dias/1809/12/09/pdfs/GGB-1809-562.pdf#page=7","Abrir facsímil")</f>
        <v>Abrir facsímil</v>
      </c>
      <c r="K3606" s="3" t="s">
        <v>57</v>
      </c>
    </row>
    <row r="3607" spans="1:11" ht="42" customHeight="1">
      <c r="A3607" s="2" t="s">
        <v>9163</v>
      </c>
      <c r="B3607" s="2" t="s">
        <v>9163</v>
      </c>
      <c r="C3607" s="2" t="s">
        <v>25</v>
      </c>
      <c r="D3607" s="2" t="s">
        <v>18</v>
      </c>
      <c r="E3607" s="3" t="s">
        <v>2331</v>
      </c>
      <c r="F3607" s="3" t="s">
        <v>2332</v>
      </c>
      <c r="G3607" s="3" t="s">
        <v>110</v>
      </c>
      <c r="H3607" s="2" t="s">
        <v>55</v>
      </c>
      <c r="I3607" s="2" t="s">
        <v>9164</v>
      </c>
      <c r="J3607" s="3" t="str">
        <f>HYPERLINK("https://www.boe.es/gazeta/dias/1809/03/22/pdfs/GMD-1809-81.pdf#page=3","Abrir facsímil")</f>
        <v>Abrir facsímil</v>
      </c>
      <c r="K3607" s="3" t="s">
        <v>57</v>
      </c>
    </row>
    <row r="3608" spans="1:11" ht="42" customHeight="1">
      <c r="A3608" s="2" t="s">
        <v>9165</v>
      </c>
      <c r="B3608" s="2" t="s">
        <v>9166</v>
      </c>
      <c r="C3608" s="2" t="s">
        <v>79</v>
      </c>
      <c r="D3608" s="2" t="s">
        <v>18</v>
      </c>
      <c r="E3608" s="3" t="s">
        <v>102</v>
      </c>
      <c r="F3608" s="3" t="s">
        <v>103</v>
      </c>
      <c r="G3608" s="3" t="s">
        <v>104</v>
      </c>
      <c r="H3608" s="2" t="s">
        <v>55</v>
      </c>
      <c r="I3608" s="2" t="s">
        <v>9167</v>
      </c>
      <c r="J3608" s="3" t="str">
        <f>HYPERLINK("https://www.boe.es/gazeta/dias/1809/09/28/pdfs/GGB-1809-252.pdf#page=8","Abrir facsímil")</f>
        <v>Abrir facsímil</v>
      </c>
      <c r="K3608" s="3" t="s">
        <v>57</v>
      </c>
    </row>
    <row r="3609" spans="1:11" ht="42" customHeight="1">
      <c r="A3609" s="2" t="s">
        <v>9168</v>
      </c>
      <c r="B3609" s="2" t="s">
        <v>9168</v>
      </c>
      <c r="C3609" s="2" t="s">
        <v>25</v>
      </c>
      <c r="D3609" s="2" t="s">
        <v>26</v>
      </c>
      <c r="E3609" s="3" t="s">
        <v>1282</v>
      </c>
      <c r="F3609" s="3" t="s">
        <v>1743</v>
      </c>
      <c r="G3609" s="3" t="s">
        <v>234</v>
      </c>
      <c r="H3609" s="2" t="s">
        <v>55</v>
      </c>
      <c r="I3609" s="2" t="s">
        <v>9169</v>
      </c>
      <c r="J3609" s="3" t="str">
        <f>HYPERLINK("https://www.boe.es/gazeta/dias/1809/06/26/pdfs/GMD-1809-177.pdf#page=2","Abrir facsímil")</f>
        <v>Abrir facsímil</v>
      </c>
      <c r="K3609" s="3" t="s">
        <v>57</v>
      </c>
    </row>
    <row r="3610" spans="1:11" ht="42" customHeight="1">
      <c r="A3610" s="2" t="s">
        <v>9170</v>
      </c>
      <c r="B3610" s="2" t="s">
        <v>9170</v>
      </c>
      <c r="C3610" s="2" t="s">
        <v>25</v>
      </c>
      <c r="D3610" s="2" t="s">
        <v>18</v>
      </c>
      <c r="E3610" s="3" t="s">
        <v>118</v>
      </c>
      <c r="F3610" s="3" t="s">
        <v>2125</v>
      </c>
      <c r="G3610" s="3" t="s">
        <v>9171</v>
      </c>
      <c r="H3610" s="2" t="s">
        <v>55</v>
      </c>
      <c r="I3610" s="2" t="s">
        <v>9172</v>
      </c>
      <c r="J3610" s="3" t="str">
        <f>HYPERLINK("https://www.boe.es/gazeta/dias/1809/09/07/pdfs/GGB-1809-162.pdf#page=4","Abrir facsímil")</f>
        <v>Abrir facsímil</v>
      </c>
      <c r="K3610" s="3" t="s">
        <v>57</v>
      </c>
    </row>
    <row r="3611" spans="1:11" ht="42" customHeight="1">
      <c r="A3611" s="2" t="s">
        <v>9173</v>
      </c>
      <c r="B3611" s="2" t="s">
        <v>9173</v>
      </c>
      <c r="C3611" s="2" t="s">
        <v>25</v>
      </c>
      <c r="D3611" s="2" t="s">
        <v>18</v>
      </c>
      <c r="E3611" s="3" t="s">
        <v>207</v>
      </c>
      <c r="F3611" s="3" t="s">
        <v>2864</v>
      </c>
      <c r="G3611" s="3" t="s">
        <v>6113</v>
      </c>
      <c r="H3611" s="2" t="s">
        <v>55</v>
      </c>
      <c r="I3611" s="2" t="s">
        <v>9174</v>
      </c>
      <c r="J3611" s="3" t="str">
        <f>HYPERLINK("https://www.boe.es/gazeta/dias/1809/09/16/pdfs/GGB-1809-202.pdf#page=3","Abrir facsímil")</f>
        <v>Abrir facsímil</v>
      </c>
      <c r="K3611" s="3" t="s">
        <v>57</v>
      </c>
    </row>
    <row r="3612" spans="1:11" ht="42" customHeight="1">
      <c r="A3612" s="2" t="s">
        <v>9175</v>
      </c>
      <c r="B3612" s="2" t="s">
        <v>9175</v>
      </c>
      <c r="C3612" s="2" t="s">
        <v>25</v>
      </c>
      <c r="D3612" s="2" t="s">
        <v>107</v>
      </c>
      <c r="E3612" s="3" t="s">
        <v>1123</v>
      </c>
      <c r="F3612" s="3" t="s">
        <v>1124</v>
      </c>
      <c r="G3612" s="3" t="s">
        <v>687</v>
      </c>
      <c r="H3612" s="2" t="s">
        <v>55</v>
      </c>
      <c r="I3612" s="2" t="s">
        <v>9176</v>
      </c>
      <c r="J3612" s="3" t="str">
        <f>HYPERLINK("https://www.boe.es/gazeta/dias/1809/01/08/pdfs/GMD-1809-8.pdf#page=3","Abrir facsímil")</f>
        <v>Abrir facsímil</v>
      </c>
      <c r="K3612" s="3" t="s">
        <v>57</v>
      </c>
    </row>
    <row r="3613" spans="1:11" ht="42" customHeight="1">
      <c r="A3613" s="2" t="s">
        <v>9177</v>
      </c>
      <c r="B3613" s="2" t="s">
        <v>9177</v>
      </c>
      <c r="C3613" s="2" t="s">
        <v>25</v>
      </c>
      <c r="D3613" s="2" t="s">
        <v>18</v>
      </c>
      <c r="E3613" s="3" t="s">
        <v>1807</v>
      </c>
      <c r="F3613" s="3" t="s">
        <v>1808</v>
      </c>
      <c r="G3613" s="3" t="s">
        <v>141</v>
      </c>
      <c r="H3613" s="2" t="s">
        <v>55</v>
      </c>
      <c r="I3613" s="2" t="s">
        <v>9178</v>
      </c>
      <c r="J3613" s="3" t="str">
        <f>HYPERLINK("https://www.boe.es/gazeta/dias/1809/01/22/pdfs/GMD-1809-22.pdf#page=3","Abrir facsímil")</f>
        <v>Abrir facsímil</v>
      </c>
      <c r="K3613" s="3" t="s">
        <v>57</v>
      </c>
    </row>
    <row r="3614" spans="1:11" ht="42" customHeight="1">
      <c r="A3614" s="2" t="s">
        <v>9175</v>
      </c>
      <c r="B3614" s="2" t="s">
        <v>9175</v>
      </c>
      <c r="C3614" s="2" t="s">
        <v>25</v>
      </c>
      <c r="D3614" s="2" t="s">
        <v>26</v>
      </c>
      <c r="E3614" s="3" t="s">
        <v>7139</v>
      </c>
      <c r="F3614" s="3" t="s">
        <v>7140</v>
      </c>
      <c r="G3614" s="3" t="s">
        <v>192</v>
      </c>
      <c r="H3614" s="2" t="s">
        <v>55</v>
      </c>
      <c r="I3614" s="2" t="s">
        <v>9179</v>
      </c>
      <c r="J3614" s="3" t="str">
        <f>HYPERLINK("https://www.boe.es/gazeta/dias/1809/01/24/pdfs/GMD-1809-24.pdf#page=3","Abrir facsímil")</f>
        <v>Abrir facsímil</v>
      </c>
      <c r="K3614" s="3" t="s">
        <v>57</v>
      </c>
    </row>
    <row r="3615" spans="1:11" ht="42" customHeight="1">
      <c r="A3615" s="2" t="s">
        <v>9175</v>
      </c>
      <c r="B3615" s="2" t="s">
        <v>9175</v>
      </c>
      <c r="C3615" s="2" t="s">
        <v>25</v>
      </c>
      <c r="D3615" s="2" t="s">
        <v>18</v>
      </c>
      <c r="E3615" s="3" t="s">
        <v>2818</v>
      </c>
      <c r="F3615" s="3" t="s">
        <v>2819</v>
      </c>
      <c r="G3615" s="3" t="s">
        <v>110</v>
      </c>
      <c r="H3615" s="2" t="s">
        <v>55</v>
      </c>
      <c r="I3615" s="2" t="s">
        <v>9180</v>
      </c>
      <c r="J3615" s="3" t="str">
        <f>HYPERLINK("https://www.boe.es/gazeta/dias/1809/02/03/pdfs/GMD-1809-34.pdf#page=3","Abrir facsímil")</f>
        <v>Abrir facsímil</v>
      </c>
      <c r="K3615" s="3" t="s">
        <v>57</v>
      </c>
    </row>
    <row r="3616" spans="1:11" ht="42" customHeight="1">
      <c r="A3616" s="2" t="s">
        <v>9175</v>
      </c>
      <c r="B3616" s="2" t="s">
        <v>9175</v>
      </c>
      <c r="C3616" s="2" t="s">
        <v>25</v>
      </c>
      <c r="D3616" s="2" t="s">
        <v>26</v>
      </c>
      <c r="E3616" s="3" t="s">
        <v>243</v>
      </c>
      <c r="F3616" s="3" t="s">
        <v>352</v>
      </c>
      <c r="G3616" s="3" t="s">
        <v>110</v>
      </c>
      <c r="H3616" s="2" t="s">
        <v>55</v>
      </c>
      <c r="I3616" s="2" t="s">
        <v>9181</v>
      </c>
      <c r="J3616" s="3" t="str">
        <f>HYPERLINK("https://www.boe.es/gazeta/dias/1809/02/17/pdfs/GMD-1809-48.pdf#page=2","Abrir facsímil")</f>
        <v>Abrir facsímil</v>
      </c>
      <c r="K3616" s="3" t="s">
        <v>57</v>
      </c>
    </row>
    <row r="3617" spans="1:11" ht="42" customHeight="1">
      <c r="A3617" s="2" t="s">
        <v>9175</v>
      </c>
      <c r="B3617" s="2" t="s">
        <v>9175</v>
      </c>
      <c r="C3617" s="2" t="s">
        <v>25</v>
      </c>
      <c r="D3617" s="2" t="s">
        <v>26</v>
      </c>
      <c r="E3617" s="3" t="s">
        <v>1667</v>
      </c>
      <c r="F3617" s="3" t="s">
        <v>1668</v>
      </c>
      <c r="G3617" s="3" t="s">
        <v>21</v>
      </c>
      <c r="H3617" s="2" t="s">
        <v>55</v>
      </c>
      <c r="I3617" s="2" t="s">
        <v>9182</v>
      </c>
      <c r="J3617" s="3" t="str">
        <f>HYPERLINK("https://www.boe.es/gazeta/dias/1809/02/21/pdfs/GMD-1809-52.pdf#page=1","Abrir facsímil")</f>
        <v>Abrir facsímil</v>
      </c>
      <c r="K3617" s="3" t="s">
        <v>57</v>
      </c>
    </row>
    <row r="3618" spans="1:11" ht="42" customHeight="1">
      <c r="A3618" s="2" t="s">
        <v>9175</v>
      </c>
      <c r="B3618" s="2" t="s">
        <v>9175</v>
      </c>
      <c r="C3618" s="2" t="s">
        <v>25</v>
      </c>
      <c r="D3618" s="2" t="s">
        <v>107</v>
      </c>
      <c r="E3618" s="3" t="s">
        <v>3521</v>
      </c>
      <c r="F3618" s="3" t="s">
        <v>5399</v>
      </c>
      <c r="G3618" s="3" t="s">
        <v>651</v>
      </c>
      <c r="H3618" s="2" t="s">
        <v>55</v>
      </c>
      <c r="I3618" s="2" t="s">
        <v>9183</v>
      </c>
      <c r="J3618" s="3" t="str">
        <f>HYPERLINK("https://www.boe.es/gazeta/dias/1809/02/24/pdfs/GGB-G-1809-9.pdf#page=3","Abrir facsímil")</f>
        <v>Abrir facsímil</v>
      </c>
      <c r="K3618" s="3" t="s">
        <v>57</v>
      </c>
    </row>
    <row r="3619" spans="1:11" ht="42" customHeight="1">
      <c r="A3619" s="2" t="s">
        <v>9175</v>
      </c>
      <c r="B3619" s="2" t="s">
        <v>9175</v>
      </c>
      <c r="C3619" s="2" t="s">
        <v>25</v>
      </c>
      <c r="D3619" s="2" t="s">
        <v>18</v>
      </c>
      <c r="E3619" s="3" t="s">
        <v>1603</v>
      </c>
      <c r="F3619" s="3" t="s">
        <v>2120</v>
      </c>
      <c r="G3619" s="3" t="s">
        <v>6980</v>
      </c>
      <c r="H3619" s="2" t="s">
        <v>55</v>
      </c>
      <c r="I3619" s="2" t="s">
        <v>9184</v>
      </c>
      <c r="J3619" s="3" t="str">
        <f>HYPERLINK("https://www.boe.es/gazeta/dias/1809/03/31/pdfs/GMD-1809-90.pdf#page=1","Abrir facsímil")</f>
        <v>Abrir facsímil</v>
      </c>
      <c r="K3619" s="3" t="s">
        <v>57</v>
      </c>
    </row>
    <row r="3620" spans="1:11" ht="42" customHeight="1">
      <c r="A3620" s="2" t="s">
        <v>9175</v>
      </c>
      <c r="B3620" s="2" t="s">
        <v>9175</v>
      </c>
      <c r="C3620" s="2" t="s">
        <v>25</v>
      </c>
      <c r="D3620" s="2" t="s">
        <v>26</v>
      </c>
      <c r="E3620" s="3" t="s">
        <v>81</v>
      </c>
      <c r="F3620" s="3" t="s">
        <v>1251</v>
      </c>
      <c r="G3620" s="3" t="s">
        <v>1252</v>
      </c>
      <c r="H3620" s="2" t="s">
        <v>55</v>
      </c>
      <c r="I3620" s="2" t="s">
        <v>9185</v>
      </c>
      <c r="J3620" s="3" t="str">
        <f>HYPERLINK("https://www.boe.es/gazeta/dias/1809/04/11/pdfs/GMD-1809-101.pdf#page=1","Abrir facsímil")</f>
        <v>Abrir facsímil</v>
      </c>
      <c r="K3620" s="3" t="s">
        <v>57</v>
      </c>
    </row>
    <row r="3621" spans="1:11" ht="42" customHeight="1">
      <c r="A3621" s="2" t="s">
        <v>9175</v>
      </c>
      <c r="B3621" s="2" t="s">
        <v>9175</v>
      </c>
      <c r="C3621" s="2" t="s">
        <v>25</v>
      </c>
      <c r="D3621" s="2" t="s">
        <v>26</v>
      </c>
      <c r="E3621" s="3" t="s">
        <v>81</v>
      </c>
      <c r="F3621" s="3" t="s">
        <v>1251</v>
      </c>
      <c r="G3621" s="3" t="s">
        <v>129</v>
      </c>
      <c r="H3621" s="2" t="s">
        <v>55</v>
      </c>
      <c r="I3621" s="2" t="s">
        <v>9186</v>
      </c>
      <c r="J3621" s="3" t="str">
        <f>HYPERLINK("https://www.boe.es/gazeta/dias/1809/04/11/pdfs/GMD-1809-101.pdf#page=2","Abrir facsímil")</f>
        <v>Abrir facsímil</v>
      </c>
      <c r="K3621" s="3" t="s">
        <v>57</v>
      </c>
    </row>
    <row r="3622" spans="1:11" ht="42" customHeight="1">
      <c r="A3622" s="2" t="s">
        <v>9175</v>
      </c>
      <c r="B3622" s="2" t="s">
        <v>9175</v>
      </c>
      <c r="C3622" s="2" t="s">
        <v>25</v>
      </c>
      <c r="D3622" s="2" t="s">
        <v>18</v>
      </c>
      <c r="E3622" s="3" t="s">
        <v>9187</v>
      </c>
      <c r="F3622" s="3" t="s">
        <v>9188</v>
      </c>
      <c r="G3622" s="3" t="s">
        <v>21</v>
      </c>
      <c r="H3622" s="2" t="s">
        <v>55</v>
      </c>
      <c r="I3622" s="2" t="s">
        <v>9189</v>
      </c>
      <c r="J3622" s="3" t="str">
        <f>HYPERLINK("https://www.boe.es/gazeta/dias/1809/04/22/pdfs/GMD-1809-112.pdf#page=3","Abrir facsímil")</f>
        <v>Abrir facsímil</v>
      </c>
      <c r="K3622" s="3" t="s">
        <v>57</v>
      </c>
    </row>
    <row r="3623" spans="1:11" ht="42" customHeight="1">
      <c r="A3623" s="2" t="s">
        <v>9175</v>
      </c>
      <c r="B3623" s="2" t="s">
        <v>9175</v>
      </c>
      <c r="C3623" s="2" t="s">
        <v>25</v>
      </c>
      <c r="D3623" s="2" t="s">
        <v>18</v>
      </c>
      <c r="E3623" s="3" t="s">
        <v>1269</v>
      </c>
      <c r="F3623" s="3" t="s">
        <v>1270</v>
      </c>
      <c r="G3623" s="3" t="s">
        <v>3888</v>
      </c>
      <c r="H3623" s="2" t="s">
        <v>55</v>
      </c>
      <c r="I3623" s="2" t="s">
        <v>9190</v>
      </c>
      <c r="J3623" s="3" t="str">
        <f>HYPERLINK("https://www.boe.es/gazeta/dias/1809/08/12/pdfs/GGB-1809-52.pdf#page=2","Abrir facsímil")</f>
        <v>Abrir facsímil</v>
      </c>
      <c r="K3623" s="3" t="s">
        <v>57</v>
      </c>
    </row>
    <row r="3624" spans="1:11" ht="42" customHeight="1">
      <c r="A3624" s="2" t="s">
        <v>9175</v>
      </c>
      <c r="B3624" s="2" t="s">
        <v>9175</v>
      </c>
      <c r="C3624" s="2" t="s">
        <v>25</v>
      </c>
      <c r="D3624" s="2" t="s">
        <v>18</v>
      </c>
      <c r="E3624" s="3" t="s">
        <v>7514</v>
      </c>
      <c r="F3624" s="3" t="s">
        <v>9191</v>
      </c>
      <c r="G3624" s="3" t="s">
        <v>29</v>
      </c>
      <c r="H3624" s="2" t="s">
        <v>55</v>
      </c>
      <c r="I3624" s="2" t="s">
        <v>9192</v>
      </c>
      <c r="J3624" s="3" t="str">
        <f>HYPERLINK("https://www.boe.es/gazeta/dias/1809/10/17/pdfs/GMD-1809-291.pdf#page=3","Abrir facsímil")</f>
        <v>Abrir facsímil</v>
      </c>
      <c r="K3624" s="3" t="s">
        <v>57</v>
      </c>
    </row>
    <row r="3625" spans="1:11" ht="42" customHeight="1">
      <c r="A3625" s="2" t="s">
        <v>9175</v>
      </c>
      <c r="B3625" s="2" t="s">
        <v>9175</v>
      </c>
      <c r="C3625" s="2" t="s">
        <v>25</v>
      </c>
      <c r="D3625" s="2" t="s">
        <v>26</v>
      </c>
      <c r="E3625" s="3" t="s">
        <v>2845</v>
      </c>
      <c r="F3625" s="3" t="s">
        <v>2846</v>
      </c>
      <c r="G3625" s="3" t="s">
        <v>9193</v>
      </c>
      <c r="H3625" s="2" t="s">
        <v>55</v>
      </c>
      <c r="I3625" s="2" t="s">
        <v>9194</v>
      </c>
      <c r="J3625" s="3" t="str">
        <f>HYPERLINK("https://www.boe.es/gazeta/dias/1809/11/23/pdfs/GGB-1809-492.pdf#page=2","Abrir facsímil")</f>
        <v>Abrir facsímil</v>
      </c>
      <c r="K3625" s="3" t="s">
        <v>57</v>
      </c>
    </row>
    <row r="3626" spans="1:11" ht="42" customHeight="1">
      <c r="A3626" s="2" t="s">
        <v>9175</v>
      </c>
      <c r="B3626" s="2" t="s">
        <v>9175</v>
      </c>
      <c r="C3626" s="2" t="s">
        <v>25</v>
      </c>
      <c r="D3626" s="2" t="s">
        <v>26</v>
      </c>
      <c r="E3626" s="3" t="s">
        <v>216</v>
      </c>
      <c r="F3626" s="3" t="s">
        <v>2813</v>
      </c>
      <c r="G3626" s="3" t="s">
        <v>2814</v>
      </c>
      <c r="H3626" s="2" t="s">
        <v>55</v>
      </c>
      <c r="I3626" s="2" t="s">
        <v>9195</v>
      </c>
      <c r="J3626" s="3" t="str">
        <f>HYPERLINK("https://www.boe.es/gazeta/dias/1809/12/05/pdfs/GMD-1809-340.pdf#page=2","Abrir facsímil")</f>
        <v>Abrir facsímil</v>
      </c>
      <c r="K3626" s="3" t="s">
        <v>57</v>
      </c>
    </row>
    <row r="3627" spans="1:11" ht="42" customHeight="1">
      <c r="A3627" s="2" t="s">
        <v>9196</v>
      </c>
      <c r="B3627" s="2" t="s">
        <v>9197</v>
      </c>
      <c r="C3627" s="2" t="s">
        <v>25</v>
      </c>
      <c r="D3627" s="2" t="s">
        <v>26</v>
      </c>
      <c r="E3627" s="3" t="s">
        <v>258</v>
      </c>
      <c r="F3627" s="3" t="s">
        <v>910</v>
      </c>
      <c r="G3627" s="3" t="s">
        <v>62</v>
      </c>
      <c r="H3627" s="2" t="s">
        <v>55</v>
      </c>
      <c r="I3627" s="2" t="s">
        <v>9198</v>
      </c>
      <c r="J3627" s="3" t="str">
        <f>HYPERLINK("https://www.boe.es/gazeta/dias/1809/03/17/pdfs/GGB-1809-12.pdf#page=1","Abrir facsímil")</f>
        <v>Abrir facsímil</v>
      </c>
      <c r="K3627" s="3" t="s">
        <v>57</v>
      </c>
    </row>
    <row r="3628" spans="1:11" ht="42" customHeight="1">
      <c r="A3628" s="2" t="s">
        <v>9196</v>
      </c>
      <c r="B3628" s="2" t="s">
        <v>9197</v>
      </c>
      <c r="C3628" s="2" t="s">
        <v>25</v>
      </c>
      <c r="D3628" s="2" t="s">
        <v>26</v>
      </c>
      <c r="E3628" s="3" t="s">
        <v>258</v>
      </c>
      <c r="F3628" s="3" t="s">
        <v>2612</v>
      </c>
      <c r="G3628" s="3" t="s">
        <v>582</v>
      </c>
      <c r="H3628" s="2" t="s">
        <v>55</v>
      </c>
      <c r="I3628" s="2" t="s">
        <v>9199</v>
      </c>
      <c r="J3628" s="3" t="str">
        <f>HYPERLINK("https://www.boe.es/gazeta/dias/1809/03/17/pdfs/GGB-H-1809-12.pdf#page=3","Abrir facsímil")</f>
        <v>Abrir facsímil</v>
      </c>
      <c r="K3628" s="3" t="s">
        <v>57</v>
      </c>
    </row>
    <row r="3629" spans="1:11" ht="42" customHeight="1">
      <c r="A3629" s="2" t="s">
        <v>9200</v>
      </c>
      <c r="B3629" s="2" t="s">
        <v>9200</v>
      </c>
      <c r="C3629" s="2" t="s">
        <v>25</v>
      </c>
      <c r="D3629" s="2" t="s">
        <v>26</v>
      </c>
      <c r="E3629" s="3" t="s">
        <v>1807</v>
      </c>
      <c r="F3629" s="3" t="s">
        <v>1808</v>
      </c>
      <c r="G3629" s="3" t="s">
        <v>141</v>
      </c>
      <c r="H3629" s="2" t="s">
        <v>55</v>
      </c>
      <c r="I3629" s="2" t="s">
        <v>9201</v>
      </c>
      <c r="J3629" s="3" t="str">
        <f>HYPERLINK("https://www.boe.es/gazeta/dias/1809/01/22/pdfs/GMD-1809-22.pdf#page=3","Abrir facsímil")</f>
        <v>Abrir facsímil</v>
      </c>
      <c r="K3629" s="3" t="s">
        <v>57</v>
      </c>
    </row>
    <row r="3630" spans="1:11" ht="42" customHeight="1">
      <c r="A3630" s="2" t="s">
        <v>9202</v>
      </c>
      <c r="B3630" s="2" t="s">
        <v>9203</v>
      </c>
      <c r="C3630" s="2" t="s">
        <v>17</v>
      </c>
      <c r="D3630" s="2" t="s">
        <v>72</v>
      </c>
      <c r="E3630" s="3" t="s">
        <v>864</v>
      </c>
      <c r="F3630" s="3" t="s">
        <v>2291</v>
      </c>
      <c r="G3630" s="3" t="s">
        <v>2292</v>
      </c>
      <c r="H3630" s="2" t="s">
        <v>55</v>
      </c>
      <c r="I3630" s="2" t="s">
        <v>9204</v>
      </c>
      <c r="J3630" s="3" t="str">
        <f>HYPERLINK("https://www.boe.es/gazeta/dias/1809/08/31/pdfs/GGB-H-1809-132.pdf#page=3","Abrir facsímil")</f>
        <v>Abrir facsímil</v>
      </c>
      <c r="K3630" s="3" t="s">
        <v>57</v>
      </c>
    </row>
    <row r="3631" spans="1:11" ht="42" customHeight="1">
      <c r="A3631" s="2" t="s">
        <v>9205</v>
      </c>
      <c r="B3631" s="2" t="s">
        <v>9206</v>
      </c>
      <c r="C3631" s="2" t="s">
        <v>25</v>
      </c>
      <c r="D3631" s="2" t="s">
        <v>26</v>
      </c>
      <c r="E3631" s="3" t="s">
        <v>147</v>
      </c>
      <c r="F3631" s="3" t="s">
        <v>562</v>
      </c>
      <c r="G3631" s="3" t="s">
        <v>3015</v>
      </c>
      <c r="H3631" s="2" t="s">
        <v>55</v>
      </c>
      <c r="I3631" s="2" t="s">
        <v>9207</v>
      </c>
      <c r="J3631" s="3" t="str">
        <f>HYPERLINK("https://www.boe.es/gazeta/dias/1809/10/07/pdfs/GGB-H-1809-292.pdf#page=2","Abrir facsímil")</f>
        <v>Abrir facsímil</v>
      </c>
      <c r="K3631" s="3" t="s">
        <v>57</v>
      </c>
    </row>
    <row r="3632" spans="1:11" ht="42" customHeight="1">
      <c r="A3632" s="2" t="s">
        <v>9208</v>
      </c>
      <c r="B3632" s="2" t="s">
        <v>9209</v>
      </c>
      <c r="C3632" s="2" t="s">
        <v>25</v>
      </c>
      <c r="D3632" s="2" t="s">
        <v>26</v>
      </c>
      <c r="E3632" s="3" t="s">
        <v>92</v>
      </c>
      <c r="F3632" s="3" t="s">
        <v>93</v>
      </c>
      <c r="G3632" s="3" t="s">
        <v>239</v>
      </c>
      <c r="H3632" s="2" t="s">
        <v>55</v>
      </c>
      <c r="I3632" s="2" t="s">
        <v>9210</v>
      </c>
      <c r="J3632" s="3" t="str">
        <f>HYPERLINK("https://www.boe.es/gazeta/dias/1809/05/22/pdfs/GGB-G-1809-30.pdf#page=2","Abrir facsímil")</f>
        <v>Abrir facsímil</v>
      </c>
      <c r="K3632" s="3" t="s">
        <v>57</v>
      </c>
    </row>
    <row r="3633" spans="1:11" ht="42" customHeight="1">
      <c r="A3633" s="2" t="s">
        <v>9211</v>
      </c>
      <c r="B3633" s="2" t="s">
        <v>9212</v>
      </c>
      <c r="C3633" s="2" t="s">
        <v>79</v>
      </c>
      <c r="D3633" s="2" t="s">
        <v>18</v>
      </c>
      <c r="E3633" s="3" t="s">
        <v>327</v>
      </c>
      <c r="F3633" s="3" t="s">
        <v>328</v>
      </c>
      <c r="G3633" s="3" t="s">
        <v>329</v>
      </c>
      <c r="H3633" s="2" t="s">
        <v>55</v>
      </c>
      <c r="I3633" s="2" t="s">
        <v>9213</v>
      </c>
      <c r="J3633" s="3" t="str">
        <f>HYPERLINK("https://www.boe.es/gazeta/dias/1809/09/14/pdfs/GGB-1809-192.pdf#page=8","Abrir facsímil")</f>
        <v>Abrir facsímil</v>
      </c>
      <c r="K3633" s="3" t="s">
        <v>57</v>
      </c>
    </row>
    <row r="3634" spans="1:11" ht="42" customHeight="1">
      <c r="A3634" s="2" t="s">
        <v>9214</v>
      </c>
      <c r="B3634" s="2" t="s">
        <v>9215</v>
      </c>
      <c r="C3634" s="2" t="s">
        <v>17</v>
      </c>
      <c r="D3634" s="2" t="s">
        <v>72</v>
      </c>
      <c r="E3634" s="3" t="s">
        <v>243</v>
      </c>
      <c r="F3634" s="3" t="s">
        <v>244</v>
      </c>
      <c r="G3634" s="3" t="s">
        <v>110</v>
      </c>
      <c r="H3634" s="2" t="s">
        <v>55</v>
      </c>
      <c r="I3634" s="2" t="s">
        <v>9216</v>
      </c>
      <c r="J3634" s="3" t="str">
        <f>HYPERLINK("https://www.boe.es/gazeta/dias/1809/02/17/pdfs/GGB-G-1809-8.pdf#page=6","Abrir facsímil")</f>
        <v>Abrir facsímil</v>
      </c>
      <c r="K3634" s="3" t="s">
        <v>57</v>
      </c>
    </row>
    <row r="3635" spans="1:11" ht="42" customHeight="1">
      <c r="A3635" s="2" t="s">
        <v>9217</v>
      </c>
      <c r="B3635" s="2" t="s">
        <v>9218</v>
      </c>
      <c r="C3635" s="2" t="s">
        <v>39</v>
      </c>
      <c r="D3635" s="2" t="s">
        <v>18</v>
      </c>
      <c r="E3635" s="3" t="s">
        <v>5172</v>
      </c>
      <c r="F3635" s="3" t="s">
        <v>5173</v>
      </c>
      <c r="G3635" s="3" t="s">
        <v>5174</v>
      </c>
      <c r="H3635" s="2" t="s">
        <v>55</v>
      </c>
      <c r="I3635" s="2" t="s">
        <v>9219</v>
      </c>
      <c r="J3635" s="3" t="str">
        <f>HYPERLINK("https://www.boe.es/gazeta/dias/1809/03/06/pdfs/GMD-1809-65.pdf#page=4","Abrir facsímil")</f>
        <v>Abrir facsímil</v>
      </c>
      <c r="K3635" s="3" t="s">
        <v>57</v>
      </c>
    </row>
    <row r="3636" spans="1:11" ht="42" customHeight="1">
      <c r="A3636" s="2" t="s">
        <v>9220</v>
      </c>
      <c r="B3636" s="2" t="s">
        <v>9221</v>
      </c>
      <c r="C3636" s="2" t="s">
        <v>25</v>
      </c>
      <c r="D3636" s="2" t="s">
        <v>26</v>
      </c>
      <c r="E3636" s="3" t="s">
        <v>92</v>
      </c>
      <c r="F3636" s="3" t="s">
        <v>93</v>
      </c>
      <c r="G3636" s="3" t="s">
        <v>623</v>
      </c>
      <c r="H3636" s="2" t="s">
        <v>55</v>
      </c>
      <c r="I3636" s="2" t="s">
        <v>9222</v>
      </c>
      <c r="J3636" s="3" t="str">
        <f>HYPERLINK("https://www.boe.es/gazeta/dias/1809/05/22/pdfs/GGB-G-1809-30.pdf#page=6","Abrir facsímil")</f>
        <v>Abrir facsímil</v>
      </c>
      <c r="K3636" s="3" t="s">
        <v>57</v>
      </c>
    </row>
    <row r="3637" spans="1:11" ht="42" customHeight="1">
      <c r="A3637" s="2" t="s">
        <v>9223</v>
      </c>
      <c r="B3637" s="2" t="s">
        <v>9224</v>
      </c>
      <c r="C3637" s="2" t="s">
        <v>17</v>
      </c>
      <c r="D3637" s="2" t="s">
        <v>18</v>
      </c>
      <c r="E3637" s="3" t="s">
        <v>1468</v>
      </c>
      <c r="F3637" s="3" t="s">
        <v>1469</v>
      </c>
      <c r="G3637" s="3" t="s">
        <v>104</v>
      </c>
      <c r="H3637" s="2" t="s">
        <v>55</v>
      </c>
      <c r="I3637" s="2" t="s">
        <v>9225</v>
      </c>
      <c r="J3637" s="3" t="str">
        <f>HYPERLINK("https://www.boe.es/gazeta/dias/1809/02/12/pdfs/GMD-1809-43.pdf#page=6","Abrir facsímil")</f>
        <v>Abrir facsímil</v>
      </c>
      <c r="K3637" s="3" t="s">
        <v>57</v>
      </c>
    </row>
    <row r="3638" spans="1:11" ht="42" customHeight="1">
      <c r="A3638" s="2" t="s">
        <v>9226</v>
      </c>
      <c r="B3638" s="2" t="s">
        <v>9226</v>
      </c>
      <c r="C3638" s="2" t="s">
        <v>25</v>
      </c>
      <c r="D3638" s="2" t="s">
        <v>107</v>
      </c>
      <c r="E3638" s="3" t="s">
        <v>1053</v>
      </c>
      <c r="F3638" s="3" t="s">
        <v>1054</v>
      </c>
      <c r="G3638" s="3" t="s">
        <v>239</v>
      </c>
      <c r="H3638" s="2" t="s">
        <v>55</v>
      </c>
      <c r="I3638" s="2" t="s">
        <v>9227</v>
      </c>
      <c r="J3638" s="3" t="str">
        <f>HYPERLINK("https://www.boe.es/gazeta/dias/1809/05/13/pdfs/GMD-1809-133.pdf#page=3","Abrir facsímil")</f>
        <v>Abrir facsímil</v>
      </c>
      <c r="K3638" s="3" t="s">
        <v>57</v>
      </c>
    </row>
    <row r="3639" spans="1:11" ht="42" customHeight="1">
      <c r="A3639" s="2" t="s">
        <v>9228</v>
      </c>
      <c r="B3639" s="2" t="s">
        <v>9228</v>
      </c>
      <c r="C3639" s="2" t="s">
        <v>25</v>
      </c>
      <c r="D3639" s="2" t="s">
        <v>26</v>
      </c>
      <c r="E3639" s="3" t="s">
        <v>41</v>
      </c>
      <c r="F3639" s="3" t="s">
        <v>42</v>
      </c>
      <c r="G3639" s="3" t="s">
        <v>6124</v>
      </c>
      <c r="H3639" s="2" t="s">
        <v>55</v>
      </c>
      <c r="I3639" s="2" t="s">
        <v>9229</v>
      </c>
      <c r="J3639" s="3" t="str">
        <f>HYPERLINK("https://www.boe.es/gazeta/dias/1809/03/11/pdfs/GMD-1809-70.pdf#page=2","Abrir facsímil")</f>
        <v>Abrir facsímil</v>
      </c>
      <c r="K3639" s="3" t="s">
        <v>57</v>
      </c>
    </row>
    <row r="3640" spans="1:11" ht="42" customHeight="1">
      <c r="A3640" s="2" t="s">
        <v>9230</v>
      </c>
      <c r="B3640" s="2" t="s">
        <v>9230</v>
      </c>
      <c r="C3640" s="2" t="s">
        <v>17</v>
      </c>
      <c r="D3640" s="2" t="s">
        <v>18</v>
      </c>
      <c r="E3640" s="3" t="s">
        <v>1773</v>
      </c>
      <c r="F3640" s="3" t="s">
        <v>1774</v>
      </c>
      <c r="G3640" s="3" t="s">
        <v>9231</v>
      </c>
      <c r="H3640" s="2" t="s">
        <v>55</v>
      </c>
      <c r="I3640" s="2" t="s">
        <v>9232</v>
      </c>
      <c r="J3640" s="3" t="str">
        <f>HYPERLINK("https://www.boe.es/gazeta/dias/1809/12/04/pdfs/GMD-1809-339.pdf#page=3","Abrir facsímil")</f>
        <v>Abrir facsímil</v>
      </c>
      <c r="K3640" s="3" t="s">
        <v>57</v>
      </c>
    </row>
    <row r="3641" spans="1:11" ht="42" customHeight="1">
      <c r="A3641" s="2" t="s">
        <v>9233</v>
      </c>
      <c r="B3641" s="2" t="s">
        <v>9233</v>
      </c>
      <c r="C3641" s="2" t="s">
        <v>25</v>
      </c>
      <c r="D3641" s="2" t="s">
        <v>107</v>
      </c>
      <c r="E3641" s="3" t="s">
        <v>621</v>
      </c>
      <c r="F3641" s="3" t="s">
        <v>622</v>
      </c>
      <c r="G3641" s="3" t="s">
        <v>525</v>
      </c>
      <c r="H3641" s="2" t="s">
        <v>55</v>
      </c>
      <c r="I3641" s="2" t="s">
        <v>9234</v>
      </c>
      <c r="J3641" s="3" t="str">
        <f>HYPERLINK("https://www.boe.es/gazeta/dias/1809/07/04/pdfs/GGB-1809-42.pdf#page=8","Abrir facsímil")</f>
        <v>Abrir facsímil</v>
      </c>
      <c r="K3641" s="3" t="s">
        <v>57</v>
      </c>
    </row>
    <row r="3642" spans="1:11" ht="42" customHeight="1">
      <c r="A3642" s="2" t="s">
        <v>9235</v>
      </c>
      <c r="B3642" s="2" t="s">
        <v>9236</v>
      </c>
      <c r="C3642" s="2" t="s">
        <v>17</v>
      </c>
      <c r="D3642" s="2" t="s">
        <v>18</v>
      </c>
      <c r="E3642" s="3" t="s">
        <v>1898</v>
      </c>
      <c r="F3642" s="3" t="s">
        <v>1899</v>
      </c>
      <c r="G3642" s="3" t="s">
        <v>62</v>
      </c>
      <c r="H3642" s="2" t="s">
        <v>55</v>
      </c>
      <c r="I3642" s="2" t="s">
        <v>9237</v>
      </c>
      <c r="J3642" s="3" t="str">
        <f>HYPERLINK("https://www.boe.es/gazeta/dias/1809/12/02/pdfs/GGB-1809-532.pdf#page=8","Abrir facsímil")</f>
        <v>Abrir facsímil</v>
      </c>
      <c r="K3642" s="3" t="s">
        <v>57</v>
      </c>
    </row>
    <row r="3643" spans="1:11" ht="42" customHeight="1">
      <c r="A3643" s="2" t="s">
        <v>9238</v>
      </c>
      <c r="B3643" s="2" t="s">
        <v>9239</v>
      </c>
      <c r="C3643" s="2" t="s">
        <v>17</v>
      </c>
      <c r="D3643" s="2" t="s">
        <v>18</v>
      </c>
      <c r="E3643" s="3" t="s">
        <v>33</v>
      </c>
      <c r="F3643" s="3" t="s">
        <v>34</v>
      </c>
      <c r="G3643" s="3" t="s">
        <v>595</v>
      </c>
      <c r="H3643" s="2" t="s">
        <v>55</v>
      </c>
      <c r="I3643" s="2" t="s">
        <v>9240</v>
      </c>
      <c r="J3643" s="3" t="str">
        <f>HYPERLINK("https://www.boe.es/gazeta/dias/1809/12/19/pdfs/GGB-1809-602.pdf#page=7","Abrir facsímil")</f>
        <v>Abrir facsímil</v>
      </c>
      <c r="K3643" s="3" t="s">
        <v>57</v>
      </c>
    </row>
    <row r="3644" spans="1:11" ht="42" customHeight="1">
      <c r="A3644" s="2" t="s">
        <v>9241</v>
      </c>
      <c r="B3644" s="2" t="s">
        <v>9242</v>
      </c>
      <c r="C3644" s="2" t="s">
        <v>25</v>
      </c>
      <c r="D3644" s="2" t="s">
        <v>26</v>
      </c>
      <c r="E3644" s="3" t="s">
        <v>771</v>
      </c>
      <c r="F3644" s="3" t="s">
        <v>772</v>
      </c>
      <c r="G3644" s="3" t="s">
        <v>2251</v>
      </c>
      <c r="H3644" s="2" t="s">
        <v>55</v>
      </c>
      <c r="I3644" s="2" t="s">
        <v>9243</v>
      </c>
      <c r="J3644" s="3" t="str">
        <f>HYPERLINK("https://www.boe.es/gazeta/dias/1809/10/31/pdfs/GGB-1809-392.pdf#page=6","Abrir facsímil")</f>
        <v>Abrir facsímil</v>
      </c>
      <c r="K3644" s="3" t="s">
        <v>57</v>
      </c>
    </row>
    <row r="3645" spans="1:11" ht="42" customHeight="1">
      <c r="A3645" s="2" t="s">
        <v>9244</v>
      </c>
      <c r="B3645" s="2" t="s">
        <v>9245</v>
      </c>
      <c r="C3645" s="2" t="s">
        <v>47</v>
      </c>
      <c r="D3645" s="2" t="s">
        <v>18</v>
      </c>
      <c r="E3645" s="3" t="s">
        <v>536</v>
      </c>
      <c r="F3645" s="3" t="s">
        <v>537</v>
      </c>
      <c r="G3645" s="3" t="s">
        <v>29</v>
      </c>
      <c r="H3645" s="2" t="s">
        <v>55</v>
      </c>
      <c r="I3645" s="2" t="s">
        <v>9246</v>
      </c>
      <c r="J3645" s="3" t="str">
        <f>HYPERLINK("https://www.boe.es/gazeta/dias/1809/09/03/pdfs/GMD-1809-247.pdf#page=3","Abrir facsímil")</f>
        <v>Abrir facsímil</v>
      </c>
      <c r="K3645" s="3" t="s">
        <v>57</v>
      </c>
    </row>
    <row r="3646" spans="1:11" ht="42" customHeight="1">
      <c r="A3646" s="2" t="s">
        <v>9247</v>
      </c>
      <c r="B3646" s="2" t="s">
        <v>9248</v>
      </c>
      <c r="C3646" s="2" t="s">
        <v>17</v>
      </c>
      <c r="D3646" s="2" t="s">
        <v>18</v>
      </c>
      <c r="E3646" s="3" t="s">
        <v>712</v>
      </c>
      <c r="F3646" s="3" t="s">
        <v>713</v>
      </c>
      <c r="G3646" s="3" t="s">
        <v>154</v>
      </c>
      <c r="H3646" s="2" t="s">
        <v>55</v>
      </c>
      <c r="I3646" s="2" t="s">
        <v>9249</v>
      </c>
      <c r="J3646" s="3" t="str">
        <f>HYPERLINK("https://www.boe.es/gazeta/dias/1809/09/10/pdfs/GMD-1809-254.pdf#page=3","Abrir facsímil")</f>
        <v>Abrir facsímil</v>
      </c>
      <c r="K3646" s="3" t="s">
        <v>57</v>
      </c>
    </row>
    <row r="3647" spans="1:11" ht="42" customHeight="1">
      <c r="A3647" s="2" t="s">
        <v>9247</v>
      </c>
      <c r="B3647" s="2" t="s">
        <v>9248</v>
      </c>
      <c r="C3647" s="2" t="s">
        <v>17</v>
      </c>
      <c r="D3647" s="2" t="s">
        <v>18</v>
      </c>
      <c r="E3647" s="3" t="s">
        <v>102</v>
      </c>
      <c r="F3647" s="3" t="s">
        <v>103</v>
      </c>
      <c r="G3647" s="3" t="s">
        <v>1091</v>
      </c>
      <c r="H3647" s="2" t="s">
        <v>55</v>
      </c>
      <c r="I3647" s="2" t="s">
        <v>9250</v>
      </c>
      <c r="J3647" s="3" t="str">
        <f>HYPERLINK("https://www.boe.es/gazeta/dias/1809/09/28/pdfs/GGB-1809-252.pdf#page=6","Abrir facsímil")</f>
        <v>Abrir facsímil</v>
      </c>
      <c r="K3647" s="3" t="s">
        <v>57</v>
      </c>
    </row>
    <row r="3648" spans="1:11" ht="42" customHeight="1">
      <c r="A3648" s="2" t="s">
        <v>9251</v>
      </c>
      <c r="B3648" s="2" t="s">
        <v>9252</v>
      </c>
      <c r="C3648" s="2" t="s">
        <v>25</v>
      </c>
      <c r="D3648" s="2" t="s">
        <v>80</v>
      </c>
      <c r="E3648" s="3" t="s">
        <v>1700</v>
      </c>
      <c r="F3648" s="3" t="s">
        <v>1701</v>
      </c>
      <c r="G3648" s="3" t="s">
        <v>1702</v>
      </c>
      <c r="H3648" s="2" t="s">
        <v>22</v>
      </c>
      <c r="I3648" s="2" t="s">
        <v>9253</v>
      </c>
      <c r="J3648" s="3" t="str">
        <f>HYPERLINK("https://www.boe.es/gazeta/dias/1809/01/16/pdfs/GGB-1809-3E.pdf#page=6","Abrir facsímil")</f>
        <v>Abrir facsímil</v>
      </c>
      <c r="K3648" s="3" t="s">
        <v>24</v>
      </c>
    </row>
    <row r="3649" spans="1:11" ht="42" customHeight="1">
      <c r="A3649" s="2" t="s">
        <v>9254</v>
      </c>
      <c r="B3649" s="2" t="s">
        <v>9255</v>
      </c>
      <c r="C3649" s="2" t="s">
        <v>17</v>
      </c>
      <c r="D3649" s="2" t="s">
        <v>72</v>
      </c>
      <c r="E3649" s="3" t="s">
        <v>243</v>
      </c>
      <c r="F3649" s="3" t="s">
        <v>244</v>
      </c>
      <c r="G3649" s="3" t="s">
        <v>525</v>
      </c>
      <c r="H3649" s="2" t="s">
        <v>55</v>
      </c>
      <c r="I3649" s="2" t="s">
        <v>9256</v>
      </c>
      <c r="J3649" s="3" t="str">
        <f>HYPERLINK("https://www.boe.es/gazeta/dias/1809/02/17/pdfs/GGB-G-1809-8.pdf#page=4","Abrir facsímil")</f>
        <v>Abrir facsímil</v>
      </c>
      <c r="K3649" s="3" t="s">
        <v>57</v>
      </c>
    </row>
    <row r="3650" spans="1:11" ht="42" customHeight="1">
      <c r="A3650" s="2" t="s">
        <v>9257</v>
      </c>
      <c r="B3650" s="2" t="s">
        <v>9257</v>
      </c>
      <c r="C3650" s="2" t="s">
        <v>25</v>
      </c>
      <c r="D3650" s="2" t="s">
        <v>40</v>
      </c>
      <c r="E3650" s="3" t="s">
        <v>1276</v>
      </c>
      <c r="F3650" s="3" t="s">
        <v>2088</v>
      </c>
      <c r="G3650" s="3" t="s">
        <v>234</v>
      </c>
      <c r="H3650" s="2" t="s">
        <v>55</v>
      </c>
      <c r="I3650" s="2" t="s">
        <v>9258</v>
      </c>
      <c r="J3650" s="3" t="str">
        <f>HYPERLINK("https://www.boe.es/gazeta/dias/1809/01/03/pdfs/GMD-1809-3.pdf#page=4","Abrir facsímil")</f>
        <v>Abrir facsímil</v>
      </c>
      <c r="K3650" s="3" t="s">
        <v>57</v>
      </c>
    </row>
    <row r="3651" spans="1:11" ht="42" customHeight="1">
      <c r="A3651" s="2" t="s">
        <v>9257</v>
      </c>
      <c r="B3651" s="2" t="s">
        <v>9257</v>
      </c>
      <c r="C3651" s="2" t="s">
        <v>25</v>
      </c>
      <c r="D3651" s="2" t="s">
        <v>40</v>
      </c>
      <c r="E3651" s="3" t="s">
        <v>2818</v>
      </c>
      <c r="F3651" s="3" t="s">
        <v>4265</v>
      </c>
      <c r="G3651" s="3" t="s">
        <v>3934</v>
      </c>
      <c r="H3651" s="2" t="s">
        <v>55</v>
      </c>
      <c r="I3651" s="2" t="s">
        <v>9259</v>
      </c>
      <c r="J3651" s="3" t="str">
        <f>HYPERLINK("https://www.boe.es/gazeta/dias/1809/02/03/pdfs/GGB-G-1809-6.pdf#page=12","Abrir facsímil")</f>
        <v>Abrir facsímil</v>
      </c>
      <c r="K3651" s="3" t="s">
        <v>57</v>
      </c>
    </row>
    <row r="3652" spans="1:11" ht="42" customHeight="1">
      <c r="A3652" s="2" t="s">
        <v>9260</v>
      </c>
      <c r="B3652" s="2" t="s">
        <v>9261</v>
      </c>
      <c r="C3652" s="2" t="s">
        <v>25</v>
      </c>
      <c r="D3652" s="2" t="s">
        <v>26</v>
      </c>
      <c r="E3652" s="3" t="s">
        <v>92</v>
      </c>
      <c r="F3652" s="3" t="s">
        <v>1383</v>
      </c>
      <c r="G3652" s="3" t="s">
        <v>29</v>
      </c>
      <c r="H3652" s="2" t="s">
        <v>55</v>
      </c>
      <c r="I3652" s="2" t="s">
        <v>9262</v>
      </c>
      <c r="J3652" s="3" t="str">
        <f>HYPERLINK("https://www.boe.es/gazeta/dias/1809/05/22/pdfs/GGB-1809-30.pdf#page=3","Abrir facsímil")</f>
        <v>Abrir facsímil</v>
      </c>
      <c r="K3652" s="3" t="s">
        <v>57</v>
      </c>
    </row>
    <row r="3653" spans="1:11" ht="42" customHeight="1">
      <c r="A3653" s="2" t="s">
        <v>9263</v>
      </c>
      <c r="B3653" s="2" t="s">
        <v>9264</v>
      </c>
      <c r="C3653" s="2" t="s">
        <v>17</v>
      </c>
      <c r="D3653" s="2" t="s">
        <v>80</v>
      </c>
      <c r="E3653" s="3" t="s">
        <v>179</v>
      </c>
      <c r="F3653" s="3" t="s">
        <v>180</v>
      </c>
      <c r="G3653" s="3" t="s">
        <v>62</v>
      </c>
      <c r="H3653" s="2" t="s">
        <v>55</v>
      </c>
      <c r="I3653" s="2" t="s">
        <v>9265</v>
      </c>
      <c r="J3653" s="3" t="str">
        <f>HYPERLINK("https://www.boe.es/gazeta/dias/1809/12/08/pdfs/GGB-1809-552E.pdf#page=1","Abrir facsímil")</f>
        <v>Abrir facsímil</v>
      </c>
      <c r="K3653" s="3" t="s">
        <v>57</v>
      </c>
    </row>
    <row r="3654" spans="1:11" ht="42" customHeight="1">
      <c r="A3654" s="2" t="s">
        <v>9266</v>
      </c>
      <c r="B3654" s="2" t="s">
        <v>9267</v>
      </c>
      <c r="C3654" s="2" t="s">
        <v>131</v>
      </c>
      <c r="D3654" s="2" t="s">
        <v>26</v>
      </c>
      <c r="E3654" s="3" t="s">
        <v>1608</v>
      </c>
      <c r="F3654" s="3" t="s">
        <v>1609</v>
      </c>
      <c r="G3654" s="3" t="s">
        <v>110</v>
      </c>
      <c r="H3654" s="2" t="s">
        <v>55</v>
      </c>
      <c r="I3654" s="2" t="s">
        <v>9268</v>
      </c>
      <c r="J3654" s="3" t="str">
        <f>HYPERLINK("https://www.boe.es/gazeta/dias/1809/04/15/pdfs/GGB-1809-18E.pdf#page=6","Abrir facsímil")</f>
        <v>Abrir facsímil</v>
      </c>
      <c r="K3654" s="3" t="s">
        <v>57</v>
      </c>
    </row>
    <row r="3655" spans="1:11" ht="42" customHeight="1">
      <c r="A3655" s="2" t="s">
        <v>9266</v>
      </c>
      <c r="B3655" s="2" t="s">
        <v>9267</v>
      </c>
      <c r="C3655" s="2" t="s">
        <v>25</v>
      </c>
      <c r="D3655" s="2" t="s">
        <v>26</v>
      </c>
      <c r="E3655" s="3" t="s">
        <v>143</v>
      </c>
      <c r="F3655" s="3" t="s">
        <v>705</v>
      </c>
      <c r="G3655" s="3" t="s">
        <v>110</v>
      </c>
      <c r="H3655" s="2" t="s">
        <v>55</v>
      </c>
      <c r="I3655" s="2" t="s">
        <v>9269</v>
      </c>
      <c r="J3655" s="3" t="str">
        <f>HYPERLINK("https://www.boe.es/gazeta/dias/1809/11/16/pdfs/GGB-H-1809-462.pdf#page=3","Abrir facsímil")</f>
        <v>Abrir facsímil</v>
      </c>
      <c r="K3655" s="3" t="s">
        <v>57</v>
      </c>
    </row>
    <row r="3656" spans="1:11" ht="42" customHeight="1">
      <c r="A3656" s="2" t="s">
        <v>9270</v>
      </c>
      <c r="B3656" s="2" t="s">
        <v>9270</v>
      </c>
      <c r="C3656" s="2" t="s">
        <v>25</v>
      </c>
      <c r="D3656" s="2" t="s">
        <v>26</v>
      </c>
      <c r="E3656" s="3" t="s">
        <v>173</v>
      </c>
      <c r="F3656" s="3" t="s">
        <v>1885</v>
      </c>
      <c r="G3656" s="3" t="s">
        <v>9271</v>
      </c>
      <c r="H3656" s="2" t="s">
        <v>55</v>
      </c>
      <c r="I3656" s="2" t="s">
        <v>9272</v>
      </c>
      <c r="J3656" s="3" t="str">
        <f>HYPERLINK("https://www.boe.es/gazeta/dias/1809/09/12/pdfs/GGB-H-1809-182.pdf#page=2","Abrir facsímil")</f>
        <v>Abrir facsímil</v>
      </c>
      <c r="K3656" s="3" t="s">
        <v>57</v>
      </c>
    </row>
    <row r="3657" spans="1:11" ht="42" customHeight="1">
      <c r="A3657" s="2" t="s">
        <v>9273</v>
      </c>
      <c r="B3657" s="2" t="s">
        <v>9273</v>
      </c>
      <c r="C3657" s="2" t="s">
        <v>25</v>
      </c>
      <c r="D3657" s="2" t="s">
        <v>72</v>
      </c>
      <c r="E3657" s="3" t="s">
        <v>394</v>
      </c>
      <c r="F3657" s="3" t="s">
        <v>395</v>
      </c>
      <c r="G3657" s="3" t="s">
        <v>623</v>
      </c>
      <c r="H3657" s="2" t="s">
        <v>55</v>
      </c>
      <c r="I3657" s="2" t="s">
        <v>9274</v>
      </c>
      <c r="J3657" s="3" t="str">
        <f>HYPERLINK("https://www.boe.es/gazeta/dias/1809/12/14/pdfs/GGB-H-1809-582.pdf#page=6","Abrir facsímil")</f>
        <v>Abrir facsímil</v>
      </c>
      <c r="K3657" s="3" t="s">
        <v>57</v>
      </c>
    </row>
    <row r="3658" spans="1:11" ht="42" customHeight="1">
      <c r="A3658" s="2" t="s">
        <v>9275</v>
      </c>
      <c r="B3658" s="2" t="s">
        <v>9276</v>
      </c>
      <c r="C3658" s="2" t="s">
        <v>131</v>
      </c>
      <c r="D3658" s="2" t="s">
        <v>26</v>
      </c>
      <c r="E3658" s="3" t="s">
        <v>515</v>
      </c>
      <c r="F3658" s="3" t="s">
        <v>516</v>
      </c>
      <c r="G3658" s="3" t="s">
        <v>1380</v>
      </c>
      <c r="H3658" s="2" t="s">
        <v>55</v>
      </c>
      <c r="I3658" s="2" t="s">
        <v>9277</v>
      </c>
      <c r="J3658" s="3" t="str">
        <f>HYPERLINK("https://www.boe.es/gazeta/dias/1809/09/02/pdfs/GMD-1809-246.pdf#page=3","Abrir facsímil")</f>
        <v>Abrir facsímil</v>
      </c>
      <c r="K3658" s="3" t="s">
        <v>57</v>
      </c>
    </row>
    <row r="3659" spans="1:11" ht="42" customHeight="1">
      <c r="A3659" s="2" t="s">
        <v>9278</v>
      </c>
      <c r="B3659" s="2" t="s">
        <v>9278</v>
      </c>
      <c r="C3659" s="2" t="s">
        <v>17</v>
      </c>
      <c r="D3659" s="2" t="s">
        <v>107</v>
      </c>
      <c r="E3659" s="3" t="s">
        <v>3521</v>
      </c>
      <c r="F3659" s="3" t="s">
        <v>7311</v>
      </c>
      <c r="G3659" s="3" t="s">
        <v>2010</v>
      </c>
      <c r="H3659" s="2" t="s">
        <v>55</v>
      </c>
      <c r="I3659" s="2" t="s">
        <v>9279</v>
      </c>
      <c r="J3659" s="3" t="str">
        <f>HYPERLINK("https://www.boe.es/gazeta/dias/1809/02/24/pdfs/GMD-1809-55.pdf#page=2","Abrir facsímil")</f>
        <v>Abrir facsímil</v>
      </c>
      <c r="K3659" s="3" t="s">
        <v>57</v>
      </c>
    </row>
    <row r="3660" spans="1:11" ht="42" customHeight="1">
      <c r="A3660" s="2" t="s">
        <v>9280</v>
      </c>
      <c r="B3660" s="2" t="s">
        <v>9280</v>
      </c>
      <c r="C3660" s="2" t="s">
        <v>25</v>
      </c>
      <c r="D3660" s="2" t="s">
        <v>26</v>
      </c>
      <c r="E3660" s="3" t="s">
        <v>1640</v>
      </c>
      <c r="F3660" s="3" t="s">
        <v>2064</v>
      </c>
      <c r="G3660" s="3" t="s">
        <v>218</v>
      </c>
      <c r="H3660" s="2" t="s">
        <v>55</v>
      </c>
      <c r="I3660" s="2" t="s">
        <v>9281</v>
      </c>
      <c r="J3660" s="3" t="str">
        <f>HYPERLINK("https://www.boe.es/gazeta/dias/1809/01/06/pdfs/GMS-1809-64.pdf#page=4","Abrir facsímil")</f>
        <v>Abrir facsímil</v>
      </c>
      <c r="K3660" s="3" t="s">
        <v>57</v>
      </c>
    </row>
    <row r="3661" spans="1:11" ht="42" customHeight="1">
      <c r="A3661" s="2" t="s">
        <v>9280</v>
      </c>
      <c r="B3661" s="2" t="s">
        <v>9280</v>
      </c>
      <c r="C3661" s="2" t="s">
        <v>25</v>
      </c>
      <c r="D3661" s="2" t="s">
        <v>18</v>
      </c>
      <c r="E3661" s="3" t="s">
        <v>1123</v>
      </c>
      <c r="F3661" s="3" t="s">
        <v>1124</v>
      </c>
      <c r="G3661" s="3" t="s">
        <v>154</v>
      </c>
      <c r="H3661" s="2" t="s">
        <v>55</v>
      </c>
      <c r="I3661" s="2" t="s">
        <v>9282</v>
      </c>
      <c r="J3661" s="3" t="str">
        <f>HYPERLINK("https://www.boe.es/gazeta/dias/1809/01/08/pdfs/GMD-1809-8.pdf#page=2","Abrir facsímil")</f>
        <v>Abrir facsímil</v>
      </c>
      <c r="K3661" s="3" t="s">
        <v>57</v>
      </c>
    </row>
    <row r="3662" spans="1:11" ht="42" customHeight="1">
      <c r="A3662" s="2" t="s">
        <v>9280</v>
      </c>
      <c r="B3662" s="2" t="s">
        <v>9280</v>
      </c>
      <c r="C3662" s="2" t="s">
        <v>25</v>
      </c>
      <c r="D3662" s="2" t="s">
        <v>26</v>
      </c>
      <c r="E3662" s="3" t="s">
        <v>139</v>
      </c>
      <c r="F3662" s="3" t="s">
        <v>140</v>
      </c>
      <c r="G3662" s="3" t="s">
        <v>225</v>
      </c>
      <c r="H3662" s="2" t="s">
        <v>55</v>
      </c>
      <c r="I3662" s="2" t="s">
        <v>9283</v>
      </c>
      <c r="J3662" s="3" t="str">
        <f>HYPERLINK("https://www.boe.es/gazeta/dias/1809/05/06/pdfs/GMD-1809-126.pdf#page=4","Abrir facsímil")</f>
        <v>Abrir facsímil</v>
      </c>
      <c r="K3662" s="3" t="s">
        <v>57</v>
      </c>
    </row>
    <row r="3663" spans="1:11" ht="42" customHeight="1">
      <c r="A3663" s="2" t="s">
        <v>9280</v>
      </c>
      <c r="B3663" s="2" t="s">
        <v>9280</v>
      </c>
      <c r="C3663" s="2" t="s">
        <v>25</v>
      </c>
      <c r="D3663" s="2" t="s">
        <v>26</v>
      </c>
      <c r="E3663" s="3" t="s">
        <v>1773</v>
      </c>
      <c r="F3663" s="3" t="s">
        <v>1774</v>
      </c>
      <c r="G3663" s="3" t="s">
        <v>9231</v>
      </c>
      <c r="H3663" s="2" t="s">
        <v>55</v>
      </c>
      <c r="I3663" s="2" t="s">
        <v>9284</v>
      </c>
      <c r="J3663" s="3" t="str">
        <f>HYPERLINK("https://www.boe.es/gazeta/dias/1809/12/04/pdfs/GMD-1809-339.pdf#page=3","Abrir facsímil")</f>
        <v>Abrir facsímil</v>
      </c>
      <c r="K3663" s="3" t="s">
        <v>57</v>
      </c>
    </row>
    <row r="3664" spans="1:11" ht="42" customHeight="1">
      <c r="A3664" s="2" t="s">
        <v>9280</v>
      </c>
      <c r="B3664" s="2" t="s">
        <v>9280</v>
      </c>
      <c r="C3664" s="2" t="s">
        <v>25</v>
      </c>
      <c r="D3664" s="2" t="s">
        <v>18</v>
      </c>
      <c r="E3664" s="3" t="s">
        <v>814</v>
      </c>
      <c r="F3664" s="3" t="s">
        <v>815</v>
      </c>
      <c r="G3664" s="3" t="s">
        <v>697</v>
      </c>
      <c r="H3664" s="2" t="s">
        <v>55</v>
      </c>
      <c r="I3664" s="2" t="s">
        <v>9285</v>
      </c>
      <c r="J3664" s="3" t="str">
        <f>HYPERLINK("https://www.boe.es/gazeta/dias/1809/12/09/pdfs/GGB-1809-562.pdf#page=6","Abrir facsímil")</f>
        <v>Abrir facsímil</v>
      </c>
      <c r="K3664" s="3" t="s">
        <v>57</v>
      </c>
    </row>
    <row r="3665" spans="1:11" ht="42" customHeight="1">
      <c r="A3665" s="2" t="s">
        <v>9286</v>
      </c>
      <c r="B3665" s="2" t="s">
        <v>9286</v>
      </c>
      <c r="C3665" s="2" t="s">
        <v>131</v>
      </c>
      <c r="D3665" s="2" t="s">
        <v>107</v>
      </c>
      <c r="E3665" s="3" t="s">
        <v>347</v>
      </c>
      <c r="F3665" s="3" t="s">
        <v>348</v>
      </c>
      <c r="G3665" s="3" t="s">
        <v>129</v>
      </c>
      <c r="H3665" s="2" t="s">
        <v>55</v>
      </c>
      <c r="I3665" s="2" t="s">
        <v>9287</v>
      </c>
      <c r="J3665" s="3" t="str">
        <f>HYPERLINK("https://www.boe.es/gazeta/dias/1809/03/07/pdfs/GMD-1809-66.pdf#page=2","Abrir facsímil")</f>
        <v>Abrir facsímil</v>
      </c>
      <c r="K3665" s="3" t="s">
        <v>57</v>
      </c>
    </row>
    <row r="3666" spans="1:11" ht="42" customHeight="1">
      <c r="A3666" s="2" t="s">
        <v>9288</v>
      </c>
      <c r="B3666" s="2" t="s">
        <v>9289</v>
      </c>
      <c r="C3666" s="2" t="s">
        <v>17</v>
      </c>
      <c r="D3666" s="2" t="s">
        <v>72</v>
      </c>
      <c r="E3666" s="3" t="s">
        <v>243</v>
      </c>
      <c r="F3666" s="3" t="s">
        <v>244</v>
      </c>
      <c r="G3666" s="3" t="s">
        <v>541</v>
      </c>
      <c r="H3666" s="2" t="s">
        <v>55</v>
      </c>
      <c r="I3666" s="2" t="s">
        <v>9290</v>
      </c>
      <c r="J3666" s="3" t="str">
        <f>HYPERLINK("https://www.boe.es/gazeta/dias/1809/02/17/pdfs/GGB-G-1809-8.pdf#page=8","Abrir facsímil")</f>
        <v>Abrir facsímil</v>
      </c>
      <c r="K3666" s="3" t="s">
        <v>57</v>
      </c>
    </row>
    <row r="3667" spans="1:11" ht="42" customHeight="1">
      <c r="A3667" s="2" t="s">
        <v>9291</v>
      </c>
      <c r="B3667" s="2" t="s">
        <v>9291</v>
      </c>
      <c r="C3667" s="2" t="s">
        <v>25</v>
      </c>
      <c r="D3667" s="2" t="s">
        <v>107</v>
      </c>
      <c r="E3667" s="3" t="s">
        <v>41</v>
      </c>
      <c r="F3667" s="3" t="s">
        <v>42</v>
      </c>
      <c r="G3667" s="3" t="s">
        <v>21</v>
      </c>
      <c r="H3667" s="2" t="s">
        <v>55</v>
      </c>
      <c r="I3667" s="2" t="s">
        <v>9292</v>
      </c>
      <c r="J3667" s="3" t="str">
        <f>HYPERLINK("https://www.boe.es/gazeta/dias/1809/03/11/pdfs/GMD-1809-70.pdf#page=3","Abrir facsímil")</f>
        <v>Abrir facsímil</v>
      </c>
      <c r="K3667" s="3" t="s">
        <v>57</v>
      </c>
    </row>
    <row r="3668" spans="1:11" ht="42" customHeight="1">
      <c r="A3668" s="2" t="s">
        <v>9293</v>
      </c>
      <c r="B3668" s="2" t="s">
        <v>9293</v>
      </c>
      <c r="C3668" s="2" t="s">
        <v>25</v>
      </c>
      <c r="D3668" s="2" t="s">
        <v>18</v>
      </c>
      <c r="E3668" s="3" t="s">
        <v>118</v>
      </c>
      <c r="F3668" s="3" t="s">
        <v>119</v>
      </c>
      <c r="G3668" s="3" t="s">
        <v>129</v>
      </c>
      <c r="H3668" s="2" t="s">
        <v>55</v>
      </c>
      <c r="I3668" s="2" t="s">
        <v>9294</v>
      </c>
      <c r="J3668" s="3" t="str">
        <f>HYPERLINK("https://www.boe.es/gazeta/dias/1809/09/07/pdfs/GMD-1809-251.pdf#page=2","Abrir facsímil")</f>
        <v>Abrir facsímil</v>
      </c>
      <c r="K3668" s="3" t="s">
        <v>57</v>
      </c>
    </row>
    <row r="3669" spans="1:11" ht="42" customHeight="1">
      <c r="A3669" s="2" t="s">
        <v>9295</v>
      </c>
      <c r="B3669" s="2" t="s">
        <v>9295</v>
      </c>
      <c r="C3669" s="2" t="s">
        <v>25</v>
      </c>
      <c r="D3669" s="2" t="s">
        <v>18</v>
      </c>
      <c r="E3669" s="3" t="s">
        <v>152</v>
      </c>
      <c r="F3669" s="3" t="s">
        <v>2067</v>
      </c>
      <c r="G3669" s="3" t="s">
        <v>1424</v>
      </c>
      <c r="H3669" s="2" t="s">
        <v>55</v>
      </c>
      <c r="I3669" s="2" t="s">
        <v>9296</v>
      </c>
      <c r="J3669" s="3" t="str">
        <f>HYPERLINK("https://www.boe.es/gazeta/dias/1809/08/26/pdfs/GMD-1809-239.pdf#page=1","Abrir facsímil")</f>
        <v>Abrir facsímil</v>
      </c>
      <c r="K3669" s="3" t="s">
        <v>57</v>
      </c>
    </row>
    <row r="3670" spans="1:11" ht="42" customHeight="1">
      <c r="A3670" s="2" t="s">
        <v>9297</v>
      </c>
      <c r="B3670" s="2" t="s">
        <v>9297</v>
      </c>
      <c r="C3670" s="2" t="s">
        <v>25</v>
      </c>
      <c r="D3670" s="2" t="s">
        <v>26</v>
      </c>
      <c r="E3670" s="3" t="s">
        <v>7139</v>
      </c>
      <c r="F3670" s="3" t="s">
        <v>7140</v>
      </c>
      <c r="G3670" s="3" t="s">
        <v>192</v>
      </c>
      <c r="H3670" s="2" t="s">
        <v>55</v>
      </c>
      <c r="I3670" s="2" t="s">
        <v>9298</v>
      </c>
      <c r="J3670" s="3" t="str">
        <f>HYPERLINK("https://www.boe.es/gazeta/dias/1809/01/24/pdfs/GMD-1809-24.pdf#page=3","Abrir facsímil")</f>
        <v>Abrir facsímil</v>
      </c>
      <c r="K3670" s="3" t="s">
        <v>57</v>
      </c>
    </row>
    <row r="3671" spans="1:11" ht="42" customHeight="1">
      <c r="A3671" s="2" t="s">
        <v>9299</v>
      </c>
      <c r="B3671" s="2" t="s">
        <v>9300</v>
      </c>
      <c r="C3671" s="2" t="s">
        <v>25</v>
      </c>
      <c r="D3671" s="2" t="s">
        <v>80</v>
      </c>
      <c r="E3671" s="3" t="s">
        <v>179</v>
      </c>
      <c r="F3671" s="3" t="s">
        <v>180</v>
      </c>
      <c r="G3671" s="3" t="s">
        <v>966</v>
      </c>
      <c r="H3671" s="2" t="s">
        <v>55</v>
      </c>
      <c r="I3671" s="2" t="s">
        <v>9301</v>
      </c>
      <c r="J3671" s="3" t="str">
        <f>HYPERLINK("https://www.boe.es/gazeta/dias/1809/12/08/pdfs/GGB-1809-552E.pdf#page=3","Abrir facsímil")</f>
        <v>Abrir facsímil</v>
      </c>
      <c r="K3671" s="3" t="s">
        <v>57</v>
      </c>
    </row>
    <row r="3672" spans="1:11" ht="42" customHeight="1">
      <c r="A3672" s="2" t="s">
        <v>9302</v>
      </c>
      <c r="B3672" s="2" t="s">
        <v>9303</v>
      </c>
      <c r="C3672" s="2" t="s">
        <v>25</v>
      </c>
      <c r="D3672" s="2" t="s">
        <v>18</v>
      </c>
      <c r="E3672" s="3" t="s">
        <v>1551</v>
      </c>
      <c r="F3672" s="3" t="s">
        <v>1552</v>
      </c>
      <c r="G3672" s="3" t="s">
        <v>169</v>
      </c>
      <c r="H3672" s="2" t="s">
        <v>55</v>
      </c>
      <c r="I3672" s="2" t="s">
        <v>9304</v>
      </c>
      <c r="J3672" s="3" t="str">
        <f>HYPERLINK("https://www.boe.es/gazeta/dias/1809/06/12/pdfs/GGB-1809-36.pdf#page=11","Abrir facsímil")</f>
        <v>Abrir facsímil</v>
      </c>
      <c r="K3672" s="3" t="s">
        <v>57</v>
      </c>
    </row>
    <row r="3673" spans="1:11" ht="42" customHeight="1">
      <c r="A3673" s="2" t="s">
        <v>9305</v>
      </c>
      <c r="B3673" s="2" t="s">
        <v>9306</v>
      </c>
      <c r="C3673" s="2" t="s">
        <v>17</v>
      </c>
      <c r="D3673" s="2" t="s">
        <v>80</v>
      </c>
      <c r="E3673" s="3" t="s">
        <v>248</v>
      </c>
      <c r="F3673" s="3" t="s">
        <v>249</v>
      </c>
      <c r="G3673" s="3" t="s">
        <v>169</v>
      </c>
      <c r="H3673" s="2" t="s">
        <v>55</v>
      </c>
      <c r="I3673" s="2" t="s">
        <v>9307</v>
      </c>
      <c r="J3673" s="3" t="str">
        <f>HYPERLINK("https://www.boe.es/gazeta/dias/1809/07/26/pdfs/GGB-1809-48E.pdf#page=11","Abrir facsímil")</f>
        <v>Abrir facsímil</v>
      </c>
      <c r="K3673" s="3" t="s">
        <v>57</v>
      </c>
    </row>
    <row r="3674" spans="1:11" ht="42" customHeight="1">
      <c r="A3674" s="2" t="s">
        <v>9308</v>
      </c>
      <c r="B3674" s="2" t="s">
        <v>9308</v>
      </c>
      <c r="C3674" s="2" t="s">
        <v>25</v>
      </c>
      <c r="D3674" s="2" t="s">
        <v>80</v>
      </c>
      <c r="E3674" s="3" t="s">
        <v>81</v>
      </c>
      <c r="F3674" s="3" t="s">
        <v>82</v>
      </c>
      <c r="G3674" s="3" t="s">
        <v>3332</v>
      </c>
      <c r="H3674" s="2" t="s">
        <v>55</v>
      </c>
      <c r="I3674" s="2" t="s">
        <v>9309</v>
      </c>
      <c r="J3674" s="3" t="str">
        <f>HYPERLINK("https://www.boe.es/gazeta/dias/1809/04/11/pdfs/GGB-1809-16E.pdf#page=8","Abrir facsímil")</f>
        <v>Abrir facsímil</v>
      </c>
      <c r="K3674" s="3" t="s">
        <v>57</v>
      </c>
    </row>
    <row r="3675" spans="1:11" ht="42" customHeight="1">
      <c r="A3675" s="2" t="s">
        <v>9310</v>
      </c>
      <c r="B3675" s="2" t="s">
        <v>9311</v>
      </c>
      <c r="C3675" s="2" t="s">
        <v>17</v>
      </c>
      <c r="D3675" s="2" t="s">
        <v>80</v>
      </c>
      <c r="E3675" s="3" t="s">
        <v>179</v>
      </c>
      <c r="F3675" s="3" t="s">
        <v>180</v>
      </c>
      <c r="G3675" s="3" t="s">
        <v>239</v>
      </c>
      <c r="H3675" s="2" t="s">
        <v>55</v>
      </c>
      <c r="I3675" s="2" t="s">
        <v>9312</v>
      </c>
      <c r="J3675" s="3" t="str">
        <f>HYPERLINK("https://www.boe.es/gazeta/dias/1809/12/08/pdfs/GGB-1809-552E.pdf#page=2","Abrir facsímil")</f>
        <v>Abrir facsímil</v>
      </c>
      <c r="K3675" s="3" t="s">
        <v>57</v>
      </c>
    </row>
    <row r="3676" spans="1:11" ht="42" customHeight="1">
      <c r="A3676" s="2" t="s">
        <v>9313</v>
      </c>
      <c r="B3676" s="2" t="s">
        <v>9314</v>
      </c>
      <c r="C3676" s="2" t="s">
        <v>17</v>
      </c>
      <c r="D3676" s="2" t="s">
        <v>18</v>
      </c>
      <c r="E3676" s="3" t="s">
        <v>2473</v>
      </c>
      <c r="F3676" s="3" t="s">
        <v>2474</v>
      </c>
      <c r="G3676" s="3" t="s">
        <v>29</v>
      </c>
      <c r="H3676" s="2" t="s">
        <v>55</v>
      </c>
      <c r="I3676" s="2" t="s">
        <v>9315</v>
      </c>
      <c r="J3676" s="3" t="str">
        <f>HYPERLINK("https://www.boe.es/gazeta/dias/1809/02/16/pdfs/GMD-1809-47.pdf#page=3","Abrir facsímil")</f>
        <v>Abrir facsímil</v>
      </c>
      <c r="K3676" s="3" t="s">
        <v>57</v>
      </c>
    </row>
    <row r="3677" spans="1:11" ht="42" customHeight="1">
      <c r="A3677" s="2" t="s">
        <v>9316</v>
      </c>
      <c r="B3677" s="2" t="s">
        <v>9317</v>
      </c>
      <c r="C3677" s="2" t="s">
        <v>25</v>
      </c>
      <c r="D3677" s="2" t="s">
        <v>26</v>
      </c>
      <c r="E3677" s="3" t="s">
        <v>108</v>
      </c>
      <c r="F3677" s="3" t="s">
        <v>109</v>
      </c>
      <c r="G3677" s="3" t="s">
        <v>110</v>
      </c>
      <c r="H3677" s="2" t="s">
        <v>55</v>
      </c>
      <c r="I3677" s="2" t="s">
        <v>9318</v>
      </c>
      <c r="J3677" s="3" t="str">
        <f>HYPERLINK("https://www.boe.es/gazeta/dias/1809/09/08/pdfs/GMD-1809-252.pdf#page=2","Abrir facsímil")</f>
        <v>Abrir facsímil</v>
      </c>
      <c r="K3677" s="3" t="s">
        <v>57</v>
      </c>
    </row>
    <row r="3678" spans="1:11" ht="42" customHeight="1">
      <c r="A3678" s="2" t="s">
        <v>9319</v>
      </c>
      <c r="B3678" s="2" t="s">
        <v>9320</v>
      </c>
      <c r="C3678" s="2" t="s">
        <v>17</v>
      </c>
      <c r="D3678" s="2" t="s">
        <v>72</v>
      </c>
      <c r="E3678" s="3" t="s">
        <v>243</v>
      </c>
      <c r="F3678" s="3" t="s">
        <v>244</v>
      </c>
      <c r="G3678" s="3" t="s">
        <v>29</v>
      </c>
      <c r="H3678" s="2" t="s">
        <v>55</v>
      </c>
      <c r="I3678" s="2" t="s">
        <v>9321</v>
      </c>
      <c r="J3678" s="3" t="str">
        <f>HYPERLINK("https://www.boe.es/gazeta/dias/1809/02/17/pdfs/GGB-G-1809-8.pdf#page=3","Abrir facsímil")</f>
        <v>Abrir facsímil</v>
      </c>
      <c r="K3678" s="3" t="s">
        <v>57</v>
      </c>
    </row>
    <row r="3679" spans="1:11" ht="42" customHeight="1">
      <c r="A3679" s="2" t="s">
        <v>9322</v>
      </c>
      <c r="B3679" s="2" t="s">
        <v>9322</v>
      </c>
      <c r="C3679" s="2" t="s">
        <v>131</v>
      </c>
      <c r="D3679" s="2" t="s">
        <v>26</v>
      </c>
      <c r="E3679" s="3" t="s">
        <v>1555</v>
      </c>
      <c r="F3679" s="3" t="s">
        <v>1556</v>
      </c>
      <c r="G3679" s="3" t="s">
        <v>3305</v>
      </c>
      <c r="H3679" s="2" t="s">
        <v>55</v>
      </c>
      <c r="I3679" s="2" t="s">
        <v>9323</v>
      </c>
      <c r="J3679" s="3" t="str">
        <f>HYPERLINK("https://www.boe.es/gazeta/dias/1809/06/29/pdfs/GMD-1809-180.pdf#page=1","Abrir facsímil")</f>
        <v>Abrir facsímil</v>
      </c>
      <c r="K3679" s="3" t="s">
        <v>57</v>
      </c>
    </row>
    <row r="3680" spans="1:11" ht="42" customHeight="1">
      <c r="A3680" s="2" t="s">
        <v>9324</v>
      </c>
      <c r="B3680" s="2" t="s">
        <v>9325</v>
      </c>
      <c r="C3680" s="2" t="s">
        <v>17</v>
      </c>
      <c r="D3680" s="2" t="s">
        <v>18</v>
      </c>
      <c r="E3680" s="3" t="s">
        <v>243</v>
      </c>
      <c r="F3680" s="3" t="s">
        <v>735</v>
      </c>
      <c r="G3680" s="3" t="s">
        <v>736</v>
      </c>
      <c r="H3680" s="2" t="s">
        <v>55</v>
      </c>
      <c r="I3680" s="2" t="s">
        <v>9326</v>
      </c>
      <c r="J3680" s="3" t="str">
        <f>HYPERLINK("https://www.boe.es/gazeta/dias/1809/02/17/pdfs/GGB-1809-8.pdf#page=8","Abrir facsímil")</f>
        <v>Abrir facsímil</v>
      </c>
      <c r="K3680" s="3" t="s">
        <v>57</v>
      </c>
    </row>
    <row r="3681" spans="1:11" ht="42" customHeight="1">
      <c r="A3681" s="2" t="s">
        <v>9327</v>
      </c>
      <c r="B3681" s="2" t="s">
        <v>9328</v>
      </c>
      <c r="C3681" s="2" t="s">
        <v>17</v>
      </c>
      <c r="D3681" s="2" t="s">
        <v>18</v>
      </c>
      <c r="E3681" s="3" t="s">
        <v>33</v>
      </c>
      <c r="F3681" s="3" t="s">
        <v>34</v>
      </c>
      <c r="G3681" s="3" t="s">
        <v>493</v>
      </c>
      <c r="H3681" s="2" t="s">
        <v>55</v>
      </c>
      <c r="I3681" s="2" t="s">
        <v>9329</v>
      </c>
      <c r="J3681" s="3" t="str">
        <f>HYPERLINK("https://www.boe.es/gazeta/dias/1809/12/19/pdfs/GGB-1809-602.pdf#page=6","Abrir facsímil")</f>
        <v>Abrir facsímil</v>
      </c>
      <c r="K3681" s="3" t="s">
        <v>57</v>
      </c>
    </row>
    <row r="3682" spans="1:11" ht="42" customHeight="1">
      <c r="A3682" s="2" t="s">
        <v>9330</v>
      </c>
      <c r="B3682" s="2" t="s">
        <v>9331</v>
      </c>
      <c r="C3682" s="2" t="s">
        <v>369</v>
      </c>
      <c r="D3682" s="2" t="s">
        <v>18</v>
      </c>
      <c r="E3682" s="3" t="s">
        <v>196</v>
      </c>
      <c r="F3682" s="3" t="s">
        <v>197</v>
      </c>
      <c r="G3682" s="3" t="s">
        <v>198</v>
      </c>
      <c r="H3682" s="2" t="s">
        <v>55</v>
      </c>
      <c r="I3682" s="2" t="s">
        <v>9332</v>
      </c>
      <c r="J3682" s="3" t="str">
        <f>HYPERLINK("https://www.boe.es/gazeta/dias/1809/09/04/pdfs/GMD-1809-248.pdf#page=3","Abrir facsímil")</f>
        <v>Abrir facsímil</v>
      </c>
      <c r="K3682" s="3" t="s">
        <v>57</v>
      </c>
    </row>
    <row r="3683" spans="1:11" ht="42" customHeight="1">
      <c r="A3683" s="2" t="s">
        <v>9333</v>
      </c>
      <c r="B3683" s="2" t="s">
        <v>9334</v>
      </c>
      <c r="C3683" s="2" t="s">
        <v>25</v>
      </c>
      <c r="D3683" s="2" t="s">
        <v>72</v>
      </c>
      <c r="E3683" s="3" t="s">
        <v>143</v>
      </c>
      <c r="F3683" s="3" t="s">
        <v>705</v>
      </c>
      <c r="G3683" s="3" t="s">
        <v>110</v>
      </c>
      <c r="H3683" s="2" t="s">
        <v>55</v>
      </c>
      <c r="I3683" s="2" t="s">
        <v>9335</v>
      </c>
      <c r="J3683" s="3" t="str">
        <f>HYPERLINK("https://www.boe.es/gazeta/dias/1809/11/16/pdfs/GGB-H-1809-462.pdf#page=3","Abrir facsímil")</f>
        <v>Abrir facsímil</v>
      </c>
      <c r="K3683" s="3" t="s">
        <v>57</v>
      </c>
    </row>
    <row r="3684" spans="1:11" ht="42" customHeight="1">
      <c r="A3684" s="2" t="s">
        <v>9336</v>
      </c>
      <c r="B3684" s="2" t="s">
        <v>9337</v>
      </c>
      <c r="C3684" s="2" t="s">
        <v>17</v>
      </c>
      <c r="D3684" s="2" t="s">
        <v>72</v>
      </c>
      <c r="E3684" s="3" t="s">
        <v>720</v>
      </c>
      <c r="F3684" s="3" t="s">
        <v>721</v>
      </c>
      <c r="G3684" s="3" t="s">
        <v>234</v>
      </c>
      <c r="H3684" s="2" t="s">
        <v>55</v>
      </c>
      <c r="I3684" s="2" t="s">
        <v>9338</v>
      </c>
      <c r="J3684" s="3" t="str">
        <f>HYPERLINK("https://www.boe.es/gazeta/dias/1809/01/27/pdfs/GGB-G-1809-5.pdf#page=7","Abrir facsímil")</f>
        <v>Abrir facsímil</v>
      </c>
      <c r="K3684" s="3" t="s">
        <v>57</v>
      </c>
    </row>
    <row r="3685" spans="1:11" ht="42" customHeight="1">
      <c r="A3685" s="2" t="s">
        <v>9339</v>
      </c>
      <c r="B3685" s="2" t="s">
        <v>9339</v>
      </c>
      <c r="C3685" s="2" t="s">
        <v>25</v>
      </c>
      <c r="D3685" s="2" t="s">
        <v>18</v>
      </c>
      <c r="E3685" s="3" t="s">
        <v>179</v>
      </c>
      <c r="F3685" s="3" t="s">
        <v>2418</v>
      </c>
      <c r="G3685" s="3" t="s">
        <v>1646</v>
      </c>
      <c r="H3685" s="2" t="s">
        <v>55</v>
      </c>
      <c r="I3685" s="2" t="s">
        <v>9340</v>
      </c>
      <c r="J3685" s="3" t="str">
        <f>HYPERLINK("https://www.boe.es/gazeta/dias/1809/12/08/pdfs/GMD-1809-343.pdf#page=1","Abrir facsímil")</f>
        <v>Abrir facsímil</v>
      </c>
      <c r="K3685" s="3" t="s">
        <v>57</v>
      </c>
    </row>
    <row r="3686" spans="1:11" ht="42" customHeight="1">
      <c r="A3686" s="2" t="s">
        <v>9341</v>
      </c>
      <c r="B3686" s="2" t="s">
        <v>9341</v>
      </c>
      <c r="C3686" s="2" t="s">
        <v>39</v>
      </c>
      <c r="D3686" s="2" t="s">
        <v>107</v>
      </c>
      <c r="E3686" s="3" t="s">
        <v>2230</v>
      </c>
      <c r="F3686" s="3" t="s">
        <v>2231</v>
      </c>
      <c r="G3686" s="3" t="s">
        <v>9342</v>
      </c>
      <c r="H3686" s="2" t="s">
        <v>55</v>
      </c>
      <c r="I3686" s="2" t="s">
        <v>9343</v>
      </c>
      <c r="J3686" s="3" t="str">
        <f>HYPERLINK("https://www.boe.es/gazeta/dias/1809/12/10/pdfs/GMD-1809-345.pdf#page=3","Abrir facsímil")</f>
        <v>Abrir facsímil</v>
      </c>
      <c r="K3686" s="3" t="s">
        <v>57</v>
      </c>
    </row>
    <row r="3687" spans="1:11" ht="42" customHeight="1">
      <c r="A3687" s="2" t="s">
        <v>9344</v>
      </c>
      <c r="B3687" s="2" t="s">
        <v>9344</v>
      </c>
      <c r="C3687" s="2" t="s">
        <v>369</v>
      </c>
      <c r="D3687" s="2" t="s">
        <v>18</v>
      </c>
      <c r="E3687" s="3" t="s">
        <v>299</v>
      </c>
      <c r="F3687" s="3" t="s">
        <v>300</v>
      </c>
      <c r="G3687" s="3" t="s">
        <v>270</v>
      </c>
      <c r="H3687" s="2" t="s">
        <v>55</v>
      </c>
      <c r="I3687" s="2" t="s">
        <v>9345</v>
      </c>
      <c r="J3687" s="3" t="str">
        <f>HYPERLINK("https://www.boe.es/gazeta/dias/1809/05/26/pdfs/GGB-1809-31.pdf#page=1","Abrir facsímil")</f>
        <v>Abrir facsímil</v>
      </c>
      <c r="K3687" s="3" t="s">
        <v>57</v>
      </c>
    </row>
    <row r="3688" spans="1:11" ht="42" customHeight="1">
      <c r="A3688" s="2" t="s">
        <v>9346</v>
      </c>
      <c r="B3688" s="2" t="s">
        <v>9347</v>
      </c>
      <c r="C3688" s="2" t="s">
        <v>17</v>
      </c>
      <c r="D3688" s="2" t="s">
        <v>18</v>
      </c>
      <c r="E3688" s="3" t="s">
        <v>243</v>
      </c>
      <c r="F3688" s="3" t="s">
        <v>735</v>
      </c>
      <c r="G3688" s="3" t="s">
        <v>736</v>
      </c>
      <c r="H3688" s="2" t="s">
        <v>55</v>
      </c>
      <c r="I3688" s="2" t="s">
        <v>9348</v>
      </c>
      <c r="J3688" s="3" t="str">
        <f>HYPERLINK("https://www.boe.es/gazeta/dias/1809/02/17/pdfs/GGB-1809-8.pdf#page=8","Abrir facsímil")</f>
        <v>Abrir facsímil</v>
      </c>
      <c r="K3688" s="3" t="s">
        <v>57</v>
      </c>
    </row>
    <row r="3689" spans="1:11" ht="42" customHeight="1">
      <c r="A3689" s="2" t="s">
        <v>9349</v>
      </c>
      <c r="B3689" s="2" t="s">
        <v>9349</v>
      </c>
      <c r="C3689" s="2" t="s">
        <v>25</v>
      </c>
      <c r="D3689" s="2" t="s">
        <v>18</v>
      </c>
      <c r="E3689" s="3" t="s">
        <v>332</v>
      </c>
      <c r="F3689" s="3" t="s">
        <v>333</v>
      </c>
      <c r="G3689" s="3" t="s">
        <v>29</v>
      </c>
      <c r="H3689" s="2" t="s">
        <v>55</v>
      </c>
      <c r="I3689" s="2" t="s">
        <v>9350</v>
      </c>
      <c r="J3689" s="3" t="str">
        <f>HYPERLINK("https://www.boe.es/gazeta/dias/1809/02/23/pdfs/GMD-1809-54.pdf#page=3","Abrir facsímil")</f>
        <v>Abrir facsímil</v>
      </c>
      <c r="K3689" s="3" t="s">
        <v>57</v>
      </c>
    </row>
    <row r="3690" spans="1:11" ht="42" customHeight="1">
      <c r="A3690" s="2" t="s">
        <v>9351</v>
      </c>
      <c r="B3690" s="2" t="s">
        <v>9351</v>
      </c>
      <c r="C3690" s="2" t="s">
        <v>25</v>
      </c>
      <c r="D3690" s="2" t="s">
        <v>26</v>
      </c>
      <c r="E3690" s="3" t="s">
        <v>9352</v>
      </c>
      <c r="F3690" s="3" t="s">
        <v>9353</v>
      </c>
      <c r="G3690" s="3" t="s">
        <v>3004</v>
      </c>
      <c r="H3690" s="2" t="s">
        <v>55</v>
      </c>
      <c r="I3690" s="2" t="s">
        <v>9354</v>
      </c>
      <c r="J3690" s="3" t="str">
        <f>HYPERLINK("https://www.boe.es/gazeta/dias/1809/07/15/pdfs/GMD-1809-196.pdf#page=4","Abrir facsímil")</f>
        <v>Abrir facsímil</v>
      </c>
      <c r="K3690" s="3" t="s">
        <v>57</v>
      </c>
    </row>
    <row r="3691" spans="1:11" ht="42" customHeight="1">
      <c r="A3691" s="2" t="s">
        <v>9355</v>
      </c>
      <c r="B3691" s="2" t="s">
        <v>9355</v>
      </c>
      <c r="C3691" s="2" t="s">
        <v>25</v>
      </c>
      <c r="D3691" s="2" t="s">
        <v>18</v>
      </c>
      <c r="E3691" s="3" t="s">
        <v>473</v>
      </c>
      <c r="F3691" s="3" t="s">
        <v>1182</v>
      </c>
      <c r="G3691" s="3" t="s">
        <v>1183</v>
      </c>
      <c r="H3691" s="2" t="s">
        <v>55</v>
      </c>
      <c r="I3691" s="2" t="s">
        <v>9356</v>
      </c>
      <c r="J3691" s="3" t="str">
        <f>HYPERLINK("https://www.boe.es/gazeta/dias/1809/12/28/pdfs/GGB-1809-642.pdf#page=4","Abrir facsímil")</f>
        <v>Abrir facsímil</v>
      </c>
      <c r="K3691" s="3" t="s">
        <v>57</v>
      </c>
    </row>
    <row r="3692" spans="1:11" ht="42" customHeight="1">
      <c r="A3692" s="2" t="s">
        <v>9357</v>
      </c>
      <c r="B3692" s="2" t="s">
        <v>9357</v>
      </c>
      <c r="C3692" s="2" t="s">
        <v>25</v>
      </c>
      <c r="D3692" s="2" t="s">
        <v>26</v>
      </c>
      <c r="E3692" s="3" t="s">
        <v>429</v>
      </c>
      <c r="F3692" s="3" t="s">
        <v>1544</v>
      </c>
      <c r="G3692" s="3" t="s">
        <v>1516</v>
      </c>
      <c r="H3692" s="2" t="s">
        <v>55</v>
      </c>
      <c r="I3692" s="2" t="s">
        <v>9358</v>
      </c>
      <c r="J3692" s="3" t="str">
        <f>HYPERLINK("https://www.boe.es/gazeta/dias/1809/06/09/pdfs/GMD-1809-160.pdf#page=3","Abrir facsímil")</f>
        <v>Abrir facsímil</v>
      </c>
      <c r="K3692" s="3" t="s">
        <v>57</v>
      </c>
    </row>
    <row r="3693" spans="1:11" ht="42" customHeight="1">
      <c r="A3693" s="2" t="s">
        <v>9359</v>
      </c>
      <c r="B3693" s="2" t="s">
        <v>9360</v>
      </c>
      <c r="C3693" s="2" t="s">
        <v>47</v>
      </c>
      <c r="D3693" s="2" t="s">
        <v>18</v>
      </c>
      <c r="E3693" s="3" t="s">
        <v>548</v>
      </c>
      <c r="F3693" s="3" t="s">
        <v>549</v>
      </c>
      <c r="G3693" s="3" t="s">
        <v>687</v>
      </c>
      <c r="H3693" s="2" t="s">
        <v>55</v>
      </c>
      <c r="I3693" s="2" t="s">
        <v>9361</v>
      </c>
      <c r="J3693" s="3" t="str">
        <f>HYPERLINK("https://www.boe.es/gazeta/dias/1809/03/12/pdfs/GMD-1809-71.pdf#page=2","Abrir facsímil")</f>
        <v>Abrir facsímil</v>
      </c>
      <c r="K3693" s="3" t="s">
        <v>57</v>
      </c>
    </row>
    <row r="3694" spans="1:11" ht="42" customHeight="1">
      <c r="A3694" s="2" t="s">
        <v>9362</v>
      </c>
      <c r="B3694" s="2" t="s">
        <v>9362</v>
      </c>
      <c r="C3694" s="2" t="s">
        <v>25</v>
      </c>
      <c r="D3694" s="2" t="s">
        <v>18</v>
      </c>
      <c r="E3694" s="3" t="s">
        <v>1123</v>
      </c>
      <c r="F3694" s="3" t="s">
        <v>1124</v>
      </c>
      <c r="G3694" s="3" t="s">
        <v>154</v>
      </c>
      <c r="H3694" s="2" t="s">
        <v>55</v>
      </c>
      <c r="I3694" s="2" t="s">
        <v>9363</v>
      </c>
      <c r="J3694" s="3" t="str">
        <f>HYPERLINK("https://www.boe.es/gazeta/dias/1809/01/08/pdfs/GMD-1809-8.pdf#page=2","Abrir facsímil")</f>
        <v>Abrir facsímil</v>
      </c>
      <c r="K3694" s="3" t="s">
        <v>57</v>
      </c>
    </row>
    <row r="3695" spans="1:11" ht="42" customHeight="1">
      <c r="A3695" s="2" t="s">
        <v>9364</v>
      </c>
      <c r="B3695" s="2" t="s">
        <v>9365</v>
      </c>
      <c r="C3695" s="2" t="s">
        <v>369</v>
      </c>
      <c r="D3695" s="2" t="s">
        <v>40</v>
      </c>
      <c r="E3695" s="3" t="s">
        <v>1865</v>
      </c>
      <c r="F3695" s="3" t="s">
        <v>1866</v>
      </c>
      <c r="G3695" s="3" t="s">
        <v>906</v>
      </c>
      <c r="H3695" s="2" t="s">
        <v>22</v>
      </c>
      <c r="I3695" s="2" t="s">
        <v>9366</v>
      </c>
      <c r="J3695" s="3" t="str">
        <f>HYPERLINK("https://www.boe.es/gazeta/dias/1809/08/08/pdfs/GGB-1809-32.pdf#page=8","Abrir facsímil")</f>
        <v>Abrir facsímil</v>
      </c>
      <c r="K3695" s="3" t="s">
        <v>24</v>
      </c>
    </row>
    <row r="3696" spans="1:11" ht="42" customHeight="1">
      <c r="A3696" s="2" t="s">
        <v>9367</v>
      </c>
      <c r="B3696" s="2" t="s">
        <v>9367</v>
      </c>
      <c r="C3696" s="2" t="s">
        <v>47</v>
      </c>
      <c r="D3696" s="2" t="s">
        <v>107</v>
      </c>
      <c r="E3696" s="3" t="s">
        <v>201</v>
      </c>
      <c r="F3696" s="3" t="s">
        <v>9368</v>
      </c>
      <c r="G3696" s="3" t="s">
        <v>9369</v>
      </c>
      <c r="H3696" s="2" t="s">
        <v>55</v>
      </c>
      <c r="I3696" s="2" t="s">
        <v>9370</v>
      </c>
      <c r="J3696" s="3" t="str">
        <f>HYPERLINK("https://www.boe.es/gazeta/dias/1809/08/15/pdfs/GMD-1809-228.pdf#page=3","Abrir facsímil")</f>
        <v>Abrir facsímil</v>
      </c>
      <c r="K3696" s="3" t="s">
        <v>57</v>
      </c>
    </row>
    <row r="3697" spans="1:11" ht="42" customHeight="1">
      <c r="A3697" s="2" t="s">
        <v>9371</v>
      </c>
      <c r="B3697" s="2" t="s">
        <v>9372</v>
      </c>
      <c r="C3697" s="2" t="s">
        <v>47</v>
      </c>
      <c r="D3697" s="2" t="s">
        <v>107</v>
      </c>
      <c r="E3697" s="3" t="s">
        <v>1156</v>
      </c>
      <c r="F3697" s="3" t="s">
        <v>1157</v>
      </c>
      <c r="G3697" s="3" t="s">
        <v>3808</v>
      </c>
      <c r="H3697" s="2" t="s">
        <v>55</v>
      </c>
      <c r="I3697" s="2" t="s">
        <v>9373</v>
      </c>
      <c r="J3697" s="3" t="str">
        <f>HYPERLINK("https://www.boe.es/gazeta/dias/1809/06/17/pdfs/GMD-1809-168.pdf#page=2","Abrir facsímil")</f>
        <v>Abrir facsímil</v>
      </c>
      <c r="K3697" s="3" t="s">
        <v>57</v>
      </c>
    </row>
    <row r="3698" spans="1:11" ht="42" customHeight="1">
      <c r="A3698" s="2" t="s">
        <v>9374</v>
      </c>
      <c r="B3698" s="2" t="s">
        <v>9375</v>
      </c>
      <c r="C3698" s="2" t="s">
        <v>17</v>
      </c>
      <c r="D3698" s="2" t="s">
        <v>18</v>
      </c>
      <c r="E3698" s="3" t="s">
        <v>27</v>
      </c>
      <c r="F3698" s="3" t="s">
        <v>254</v>
      </c>
      <c r="G3698" s="3" t="s">
        <v>239</v>
      </c>
      <c r="H3698" s="2" t="s">
        <v>55</v>
      </c>
      <c r="I3698" s="2" t="s">
        <v>9376</v>
      </c>
      <c r="J3698" s="3" t="str">
        <f>HYPERLINK("https://www.boe.es/gazeta/dias/1809/05/12/pdfs/GGB-1809-26.pdf#page=11","Abrir facsímil")</f>
        <v>Abrir facsímil</v>
      </c>
      <c r="K3698" s="3" t="s">
        <v>57</v>
      </c>
    </row>
    <row r="3699" spans="1:11" ht="42" customHeight="1">
      <c r="A3699" s="2" t="s">
        <v>9377</v>
      </c>
      <c r="B3699" s="2" t="s">
        <v>9377</v>
      </c>
      <c r="C3699" s="2" t="s">
        <v>25</v>
      </c>
      <c r="D3699" s="2" t="s">
        <v>26</v>
      </c>
      <c r="E3699" s="3" t="s">
        <v>449</v>
      </c>
      <c r="F3699" s="3" t="s">
        <v>640</v>
      </c>
      <c r="G3699" s="3" t="s">
        <v>1798</v>
      </c>
      <c r="H3699" s="2" t="s">
        <v>55</v>
      </c>
      <c r="I3699" s="2" t="s">
        <v>9378</v>
      </c>
      <c r="J3699" s="3" t="str">
        <f>HYPERLINK("https://www.boe.es/gazeta/dias/1809/10/10/pdfs/GMD-1809-284.pdf#page=1","Abrir facsímil")</f>
        <v>Abrir facsímil</v>
      </c>
      <c r="K3699" s="3" t="s">
        <v>57</v>
      </c>
    </row>
    <row r="3700" spans="1:11" ht="42" customHeight="1">
      <c r="A3700" s="2" t="s">
        <v>9379</v>
      </c>
      <c r="B3700" s="2" t="s">
        <v>9380</v>
      </c>
      <c r="C3700" s="2" t="s">
        <v>131</v>
      </c>
      <c r="D3700" s="2" t="s">
        <v>107</v>
      </c>
      <c r="E3700" s="3" t="s">
        <v>500</v>
      </c>
      <c r="F3700" s="3" t="s">
        <v>2357</v>
      </c>
      <c r="G3700" s="3" t="s">
        <v>484</v>
      </c>
      <c r="H3700" s="2" t="s">
        <v>55</v>
      </c>
      <c r="I3700" s="2" t="s">
        <v>9381</v>
      </c>
      <c r="J3700" s="3" t="str">
        <f>HYPERLINK("https://www.boe.es/gazeta/dias/1809/03/24/pdfs/GGB-1809-13.pdf#page=3","Abrir facsímil")</f>
        <v>Abrir facsímil</v>
      </c>
      <c r="K3700" s="3" t="s">
        <v>57</v>
      </c>
    </row>
    <row r="3701" spans="1:11" ht="42" customHeight="1">
      <c r="A3701" s="2" t="s">
        <v>9382</v>
      </c>
      <c r="B3701" s="2" t="s">
        <v>9383</v>
      </c>
      <c r="C3701" s="2" t="s">
        <v>17</v>
      </c>
      <c r="D3701" s="2" t="s">
        <v>18</v>
      </c>
      <c r="E3701" s="3" t="s">
        <v>627</v>
      </c>
      <c r="F3701" s="3" t="s">
        <v>628</v>
      </c>
      <c r="G3701" s="3" t="s">
        <v>270</v>
      </c>
      <c r="H3701" s="2" t="s">
        <v>55</v>
      </c>
      <c r="I3701" s="2" t="s">
        <v>9384</v>
      </c>
      <c r="J3701" s="3" t="str">
        <f>HYPERLINK("https://www.boe.es/gazeta/dias/1809/08/28/pdfs/GMD-1809-241.pdf#page=3","Abrir facsímil")</f>
        <v>Abrir facsímil</v>
      </c>
      <c r="K3701" s="3" t="s">
        <v>57</v>
      </c>
    </row>
    <row r="3702" spans="1:11" ht="42" customHeight="1">
      <c r="A3702" s="2" t="s">
        <v>9385</v>
      </c>
      <c r="B3702" s="2" t="s">
        <v>9386</v>
      </c>
      <c r="C3702" s="2" t="s">
        <v>17</v>
      </c>
      <c r="D3702" s="2" t="s">
        <v>18</v>
      </c>
      <c r="E3702" s="3" t="s">
        <v>418</v>
      </c>
      <c r="F3702" s="3" t="s">
        <v>419</v>
      </c>
      <c r="G3702" s="3" t="s">
        <v>914</v>
      </c>
      <c r="H3702" s="2" t="s">
        <v>22</v>
      </c>
      <c r="I3702" s="2" t="s">
        <v>9387</v>
      </c>
      <c r="J3702" s="3" t="str">
        <f>HYPERLINK("https://www.boe.es/gazeta/dias/1809/03/29/pdfs/GMD-1809-88.pdf#page=4","Abrir facsímil")</f>
        <v>Abrir facsímil</v>
      </c>
      <c r="K3702" s="3" t="s">
        <v>24</v>
      </c>
    </row>
    <row r="3703" spans="1:11" ht="42" customHeight="1">
      <c r="A3703" s="2" t="s">
        <v>9388</v>
      </c>
      <c r="B3703" s="2" t="s">
        <v>9389</v>
      </c>
      <c r="C3703" s="2" t="s">
        <v>17</v>
      </c>
      <c r="D3703" s="2" t="s">
        <v>18</v>
      </c>
      <c r="E3703" s="3" t="s">
        <v>4389</v>
      </c>
      <c r="F3703" s="3" t="s">
        <v>4390</v>
      </c>
      <c r="G3703" s="3" t="s">
        <v>4391</v>
      </c>
      <c r="H3703" s="2" t="s">
        <v>55</v>
      </c>
      <c r="I3703" s="2" t="s">
        <v>9390</v>
      </c>
      <c r="J3703" s="3" t="str">
        <f>HYPERLINK("https://www.boe.es/gazeta/dias/1809/02/06/pdfs/GMD-1809-37.pdf#page=4","Abrir facsímil")</f>
        <v>Abrir facsímil</v>
      </c>
      <c r="K3703" s="3" t="s">
        <v>57</v>
      </c>
    </row>
    <row r="3704" spans="1:11" ht="42" customHeight="1">
      <c r="A3704" s="2" t="s">
        <v>9391</v>
      </c>
      <c r="B3704" s="2" t="s">
        <v>9391</v>
      </c>
      <c r="C3704" s="2" t="s">
        <v>25</v>
      </c>
      <c r="D3704" s="2" t="s">
        <v>107</v>
      </c>
      <c r="E3704" s="3" t="s">
        <v>2346</v>
      </c>
      <c r="F3704" s="3" t="s">
        <v>2347</v>
      </c>
      <c r="G3704" s="3" t="s">
        <v>6661</v>
      </c>
      <c r="H3704" s="2" t="s">
        <v>55</v>
      </c>
      <c r="I3704" s="2" t="s">
        <v>9392</v>
      </c>
      <c r="J3704" s="3" t="str">
        <f>HYPERLINK("https://www.boe.es/gazeta/dias/1809/05/02/pdfs/GMD-1809-122.pdf#page=1","Abrir facsímil")</f>
        <v>Abrir facsímil</v>
      </c>
      <c r="K3704" s="3" t="s">
        <v>57</v>
      </c>
    </row>
    <row r="3705" spans="1:11" ht="42" customHeight="1">
      <c r="A3705" s="2" t="s">
        <v>9393</v>
      </c>
      <c r="B3705" s="2" t="s">
        <v>9393</v>
      </c>
      <c r="C3705" s="2" t="s">
        <v>25</v>
      </c>
      <c r="D3705" s="2" t="s">
        <v>18</v>
      </c>
      <c r="E3705" s="3" t="s">
        <v>761</v>
      </c>
      <c r="F3705" s="3" t="s">
        <v>762</v>
      </c>
      <c r="G3705" s="3" t="s">
        <v>763</v>
      </c>
      <c r="H3705" s="2" t="s">
        <v>55</v>
      </c>
      <c r="I3705" s="2" t="s">
        <v>9394</v>
      </c>
      <c r="J3705" s="3" t="str">
        <f>HYPERLINK("https://www.boe.es/gazeta/dias/1809/06/02/pdfs/GMD-1809-153.pdf#page=3","Abrir facsímil")</f>
        <v>Abrir facsímil</v>
      </c>
      <c r="K3705" s="3" t="s">
        <v>57</v>
      </c>
    </row>
    <row r="3706" spans="1:11" ht="42" customHeight="1">
      <c r="A3706" s="2" t="s">
        <v>9395</v>
      </c>
      <c r="B3706" s="2" t="s">
        <v>9395</v>
      </c>
      <c r="C3706" s="2" t="s">
        <v>25</v>
      </c>
      <c r="D3706" s="2" t="s">
        <v>18</v>
      </c>
      <c r="E3706" s="3" t="s">
        <v>1343</v>
      </c>
      <c r="F3706" s="3" t="s">
        <v>1344</v>
      </c>
      <c r="G3706" s="3" t="s">
        <v>270</v>
      </c>
      <c r="H3706" s="2" t="s">
        <v>55</v>
      </c>
      <c r="I3706" s="2" t="s">
        <v>9396</v>
      </c>
      <c r="J3706" s="3" t="str">
        <f>HYPERLINK("https://www.boe.es/gazeta/dias/1809/07/24/pdfs/GMD-1809-205.pdf#page=5","Abrir facsímil")</f>
        <v>Abrir facsímil</v>
      </c>
      <c r="K3706" s="3" t="s">
        <v>57</v>
      </c>
    </row>
    <row r="3707" spans="1:11" ht="42" customHeight="1">
      <c r="A3707" s="2" t="s">
        <v>9397</v>
      </c>
      <c r="B3707" s="2" t="s">
        <v>9397</v>
      </c>
      <c r="C3707" s="2" t="s">
        <v>25</v>
      </c>
      <c r="D3707" s="2" t="s">
        <v>18</v>
      </c>
      <c r="E3707" s="3" t="s">
        <v>429</v>
      </c>
      <c r="F3707" s="3" t="s">
        <v>1544</v>
      </c>
      <c r="G3707" s="3" t="s">
        <v>1545</v>
      </c>
      <c r="H3707" s="2" t="s">
        <v>55</v>
      </c>
      <c r="I3707" s="2" t="s">
        <v>9398</v>
      </c>
      <c r="J3707" s="3" t="str">
        <f>HYPERLINK("https://www.boe.es/gazeta/dias/1809/06/09/pdfs/GMD-1809-160.pdf#page=2","Abrir facsímil")</f>
        <v>Abrir facsímil</v>
      </c>
      <c r="K3707" s="3" t="s">
        <v>57</v>
      </c>
    </row>
    <row r="3708" spans="1:11" ht="42" customHeight="1">
      <c r="A3708" s="2" t="s">
        <v>9399</v>
      </c>
      <c r="B3708" s="2" t="s">
        <v>9399</v>
      </c>
      <c r="C3708" s="2" t="s">
        <v>25</v>
      </c>
      <c r="D3708" s="2" t="s">
        <v>26</v>
      </c>
      <c r="E3708" s="3" t="s">
        <v>332</v>
      </c>
      <c r="F3708" s="3" t="s">
        <v>333</v>
      </c>
      <c r="G3708" s="3" t="s">
        <v>29</v>
      </c>
      <c r="H3708" s="2" t="s">
        <v>55</v>
      </c>
      <c r="I3708" s="2" t="s">
        <v>9400</v>
      </c>
      <c r="J3708" s="3" t="str">
        <f>HYPERLINK("https://www.boe.es/gazeta/dias/1809/02/23/pdfs/GMD-1809-54.pdf#page=3","Abrir facsímil")</f>
        <v>Abrir facsímil</v>
      </c>
      <c r="K3708" s="3" t="s">
        <v>57</v>
      </c>
    </row>
    <row r="3709" spans="1:11" ht="42" customHeight="1">
      <c r="A3709" s="2" t="s">
        <v>9399</v>
      </c>
      <c r="B3709" s="2" t="s">
        <v>9399</v>
      </c>
      <c r="C3709" s="2" t="s">
        <v>25</v>
      </c>
      <c r="D3709" s="2" t="s">
        <v>72</v>
      </c>
      <c r="E3709" s="3" t="s">
        <v>1514</v>
      </c>
      <c r="F3709" s="3" t="s">
        <v>1515</v>
      </c>
      <c r="G3709" s="3" t="s">
        <v>1516</v>
      </c>
      <c r="H3709" s="2" t="s">
        <v>55</v>
      </c>
      <c r="I3709" s="2" t="s">
        <v>9401</v>
      </c>
      <c r="J3709" s="3" t="str">
        <f>HYPERLINK("https://www.boe.es/gazeta/dias/1809/04/17/pdfs/GGB-G-1809-19.pdf#page=4","Abrir facsímil")</f>
        <v>Abrir facsímil</v>
      </c>
      <c r="K3709" s="3" t="s">
        <v>57</v>
      </c>
    </row>
    <row r="3710" spans="1:11" ht="42" customHeight="1">
      <c r="A3710" s="2" t="s">
        <v>9402</v>
      </c>
      <c r="B3710" s="2" t="s">
        <v>9402</v>
      </c>
      <c r="C3710" s="2" t="s">
        <v>17</v>
      </c>
      <c r="D3710" s="2" t="s">
        <v>18</v>
      </c>
      <c r="E3710" s="3" t="s">
        <v>3880</v>
      </c>
      <c r="F3710" s="3" t="s">
        <v>5444</v>
      </c>
      <c r="G3710" s="3" t="s">
        <v>239</v>
      </c>
      <c r="H3710" s="2" t="s">
        <v>55</v>
      </c>
      <c r="I3710" s="2" t="s">
        <v>9403</v>
      </c>
      <c r="J3710" s="3" t="str">
        <f>HYPERLINK("https://www.boe.es/gazeta/dias/1809/03/25/pdfs/GMD-1809-84.pdf#page=3","Abrir facsímil")</f>
        <v>Abrir facsímil</v>
      </c>
      <c r="K3710" s="3" t="s">
        <v>57</v>
      </c>
    </row>
    <row r="3711" spans="1:11" ht="42" customHeight="1">
      <c r="A3711" s="2" t="s">
        <v>9402</v>
      </c>
      <c r="B3711" s="2" t="s">
        <v>9402</v>
      </c>
      <c r="C3711" s="2" t="s">
        <v>47</v>
      </c>
      <c r="D3711" s="2" t="s">
        <v>18</v>
      </c>
      <c r="E3711" s="3" t="s">
        <v>2599</v>
      </c>
      <c r="F3711" s="3" t="s">
        <v>2600</v>
      </c>
      <c r="G3711" s="3" t="s">
        <v>21</v>
      </c>
      <c r="H3711" s="2" t="s">
        <v>55</v>
      </c>
      <c r="I3711" s="2" t="s">
        <v>9404</v>
      </c>
      <c r="J3711" s="3" t="str">
        <f>HYPERLINK("https://www.boe.es/gazeta/dias/1809/05/11/pdfs/GMD-1809-131.pdf#page=4","Abrir facsímil")</f>
        <v>Abrir facsímil</v>
      </c>
      <c r="K3711" s="3" t="s">
        <v>57</v>
      </c>
    </row>
    <row r="3712" spans="1:11" ht="42" customHeight="1">
      <c r="A3712" s="2" t="s">
        <v>9402</v>
      </c>
      <c r="B3712" s="2" t="s">
        <v>9402</v>
      </c>
      <c r="C3712" s="2" t="s">
        <v>47</v>
      </c>
      <c r="D3712" s="2" t="s">
        <v>18</v>
      </c>
      <c r="E3712" s="3" t="s">
        <v>1581</v>
      </c>
      <c r="F3712" s="3" t="s">
        <v>1582</v>
      </c>
      <c r="G3712" s="3" t="s">
        <v>9405</v>
      </c>
      <c r="H3712" s="2" t="s">
        <v>55</v>
      </c>
      <c r="I3712" s="2" t="s">
        <v>9406</v>
      </c>
      <c r="J3712" s="3" t="str">
        <f>HYPERLINK("https://www.boe.es/gazeta/dias/1809/05/30/pdfs/GMD-1809-150.pdf#page=1","Abrir facsímil")</f>
        <v>Abrir facsímil</v>
      </c>
      <c r="K3712" s="3" t="s">
        <v>57</v>
      </c>
    </row>
    <row r="3713" spans="1:11" ht="42" customHeight="1">
      <c r="A3713" s="2" t="s">
        <v>9402</v>
      </c>
      <c r="B3713" s="2" t="s">
        <v>9402</v>
      </c>
      <c r="C3713" s="2" t="s">
        <v>47</v>
      </c>
      <c r="D3713" s="2" t="s">
        <v>107</v>
      </c>
      <c r="E3713" s="3" t="s">
        <v>3051</v>
      </c>
      <c r="F3713" s="3" t="s">
        <v>3052</v>
      </c>
      <c r="G3713" s="3" t="s">
        <v>234</v>
      </c>
      <c r="H3713" s="2" t="s">
        <v>55</v>
      </c>
      <c r="I3713" s="2" t="s">
        <v>9407</v>
      </c>
      <c r="J3713" s="3" t="str">
        <f>HYPERLINK("https://www.boe.es/gazeta/dias/1809/06/06/pdfs/GMD-1809-157.pdf#page=3","Abrir facsímil")</f>
        <v>Abrir facsímil</v>
      </c>
      <c r="K3713" s="3" t="s">
        <v>57</v>
      </c>
    </row>
    <row r="3714" spans="1:11" ht="42" customHeight="1">
      <c r="A3714" s="2" t="s">
        <v>9402</v>
      </c>
      <c r="B3714" s="2" t="s">
        <v>9402</v>
      </c>
      <c r="C3714" s="2" t="s">
        <v>47</v>
      </c>
      <c r="D3714" s="2" t="s">
        <v>107</v>
      </c>
      <c r="E3714" s="3" t="s">
        <v>1489</v>
      </c>
      <c r="F3714" s="3" t="s">
        <v>1490</v>
      </c>
      <c r="G3714" s="3" t="s">
        <v>129</v>
      </c>
      <c r="H3714" s="2" t="s">
        <v>55</v>
      </c>
      <c r="I3714" s="2" t="s">
        <v>9408</v>
      </c>
      <c r="J3714" s="3" t="str">
        <f>HYPERLINK("https://www.boe.es/gazeta/dias/1809/06/28/pdfs/GMD-1809-179.pdf#page=2","Abrir facsímil")</f>
        <v>Abrir facsímil</v>
      </c>
      <c r="K3714" s="3" t="s">
        <v>57</v>
      </c>
    </row>
    <row r="3715" spans="1:11" ht="42" customHeight="1">
      <c r="A3715" s="2" t="s">
        <v>9402</v>
      </c>
      <c r="B3715" s="2" t="s">
        <v>9402</v>
      </c>
      <c r="C3715" s="2" t="s">
        <v>25</v>
      </c>
      <c r="D3715" s="2" t="s">
        <v>26</v>
      </c>
      <c r="E3715" s="3" t="s">
        <v>1560</v>
      </c>
      <c r="F3715" s="3" t="s">
        <v>1561</v>
      </c>
      <c r="G3715" s="3" t="s">
        <v>9409</v>
      </c>
      <c r="H3715" s="2" t="s">
        <v>55</v>
      </c>
      <c r="I3715" s="2" t="s">
        <v>9410</v>
      </c>
      <c r="J3715" s="3" t="str">
        <f>HYPERLINK("https://www.boe.es/gazeta/dias/1809/07/03/pdfs/GMD-1809-184.pdf#page=4","Abrir facsímil")</f>
        <v>Abrir facsímil</v>
      </c>
      <c r="K3715" s="3" t="s">
        <v>57</v>
      </c>
    </row>
    <row r="3716" spans="1:11" ht="42" customHeight="1">
      <c r="A3716" s="2" t="s">
        <v>9402</v>
      </c>
      <c r="B3716" s="2" t="s">
        <v>9402</v>
      </c>
      <c r="C3716" s="2" t="s">
        <v>47</v>
      </c>
      <c r="D3716" s="2" t="s">
        <v>18</v>
      </c>
      <c r="E3716" s="3" t="s">
        <v>1865</v>
      </c>
      <c r="F3716" s="3" t="s">
        <v>4138</v>
      </c>
      <c r="G3716" s="3" t="s">
        <v>3934</v>
      </c>
      <c r="H3716" s="2" t="s">
        <v>55</v>
      </c>
      <c r="I3716" s="2" t="s">
        <v>9411</v>
      </c>
      <c r="J3716" s="3" t="str">
        <f>HYPERLINK("https://www.boe.es/gazeta/dias/1809/08/08/pdfs/GMD-1809-221.pdf#page=3","Abrir facsímil")</f>
        <v>Abrir facsímil</v>
      </c>
      <c r="K3716" s="3" t="s">
        <v>57</v>
      </c>
    </row>
    <row r="3717" spans="1:11" ht="42" customHeight="1">
      <c r="A3717" s="2" t="s">
        <v>9402</v>
      </c>
      <c r="B3717" s="2" t="s">
        <v>9402</v>
      </c>
      <c r="C3717" s="2" t="s">
        <v>47</v>
      </c>
      <c r="D3717" s="2" t="s">
        <v>107</v>
      </c>
      <c r="E3717" s="3" t="s">
        <v>207</v>
      </c>
      <c r="F3717" s="3" t="s">
        <v>208</v>
      </c>
      <c r="G3717" s="3" t="s">
        <v>641</v>
      </c>
      <c r="H3717" s="2" t="s">
        <v>55</v>
      </c>
      <c r="I3717" s="2" t="s">
        <v>9412</v>
      </c>
      <c r="J3717" s="3" t="str">
        <f>HYPERLINK("https://www.boe.es/gazeta/dias/1809/09/16/pdfs/GMD-1809-260.pdf#page=2","Abrir facsímil")</f>
        <v>Abrir facsímil</v>
      </c>
      <c r="K3717" s="3" t="s">
        <v>57</v>
      </c>
    </row>
    <row r="3718" spans="1:11" ht="42" customHeight="1">
      <c r="A3718" s="2" t="s">
        <v>9402</v>
      </c>
      <c r="B3718" s="2" t="s">
        <v>9402</v>
      </c>
      <c r="C3718" s="2" t="s">
        <v>25</v>
      </c>
      <c r="D3718" s="2" t="s">
        <v>26</v>
      </c>
      <c r="E3718" s="3" t="s">
        <v>1822</v>
      </c>
      <c r="F3718" s="3" t="s">
        <v>1823</v>
      </c>
      <c r="G3718" s="3" t="s">
        <v>154</v>
      </c>
      <c r="H3718" s="2" t="s">
        <v>55</v>
      </c>
      <c r="I3718" s="2" t="s">
        <v>9413</v>
      </c>
      <c r="J3718" s="3" t="str">
        <f>HYPERLINK("https://www.boe.es/gazeta/dias/1809/10/11/pdfs/GMD-1809-285.pdf#page=2","Abrir facsímil")</f>
        <v>Abrir facsímil</v>
      </c>
      <c r="K3718" s="3" t="s">
        <v>57</v>
      </c>
    </row>
    <row r="3719" spans="1:11" ht="42" customHeight="1">
      <c r="A3719" s="2" t="s">
        <v>9402</v>
      </c>
      <c r="B3719" s="2" t="s">
        <v>9402</v>
      </c>
      <c r="C3719" s="2" t="s">
        <v>47</v>
      </c>
      <c r="D3719" s="2" t="s">
        <v>18</v>
      </c>
      <c r="E3719" s="3" t="s">
        <v>616</v>
      </c>
      <c r="F3719" s="3" t="s">
        <v>617</v>
      </c>
      <c r="G3719" s="3" t="s">
        <v>75</v>
      </c>
      <c r="H3719" s="2" t="s">
        <v>55</v>
      </c>
      <c r="I3719" s="2" t="s">
        <v>9414</v>
      </c>
      <c r="J3719" s="3" t="str">
        <f>HYPERLINK("https://www.boe.es/gazeta/dias/1809/10/15/pdfs/GMD-1809-289.pdf#page=2","Abrir facsímil")</f>
        <v>Abrir facsímil</v>
      </c>
      <c r="K3719" s="3" t="s">
        <v>57</v>
      </c>
    </row>
    <row r="3720" spans="1:11" ht="42" customHeight="1">
      <c r="A3720" s="2" t="s">
        <v>9402</v>
      </c>
      <c r="B3720" s="2" t="s">
        <v>9402</v>
      </c>
      <c r="C3720" s="2" t="s">
        <v>47</v>
      </c>
      <c r="D3720" s="2" t="s">
        <v>18</v>
      </c>
      <c r="E3720" s="3" t="s">
        <v>2709</v>
      </c>
      <c r="F3720" s="3" t="s">
        <v>2710</v>
      </c>
      <c r="G3720" s="3" t="s">
        <v>525</v>
      </c>
      <c r="H3720" s="2" t="s">
        <v>55</v>
      </c>
      <c r="I3720" s="2" t="s">
        <v>9415</v>
      </c>
      <c r="J3720" s="3" t="str">
        <f>HYPERLINK("https://www.boe.es/gazeta/dias/1809/11/17/pdfs/GMD-1809-322.pdf#page=2","Abrir facsímil")</f>
        <v>Abrir facsímil</v>
      </c>
      <c r="K3720" s="3" t="s">
        <v>57</v>
      </c>
    </row>
    <row r="3721" spans="1:11" ht="42" customHeight="1">
      <c r="A3721" s="2" t="s">
        <v>9402</v>
      </c>
      <c r="B3721" s="2" t="s">
        <v>9402</v>
      </c>
      <c r="C3721" s="2" t="s">
        <v>47</v>
      </c>
      <c r="D3721" s="2" t="s">
        <v>18</v>
      </c>
      <c r="E3721" s="3" t="s">
        <v>2709</v>
      </c>
      <c r="F3721" s="3" t="s">
        <v>2710</v>
      </c>
      <c r="G3721" s="3" t="s">
        <v>21</v>
      </c>
      <c r="H3721" s="2" t="s">
        <v>55</v>
      </c>
      <c r="I3721" s="2" t="s">
        <v>9416</v>
      </c>
      <c r="J3721" s="3" t="str">
        <f>HYPERLINK("https://www.boe.es/gazeta/dias/1809/11/17/pdfs/GMD-1809-322.pdf#page=3","Abrir facsímil")</f>
        <v>Abrir facsímil</v>
      </c>
      <c r="K3721" s="3" t="s">
        <v>57</v>
      </c>
    </row>
    <row r="3722" spans="1:11" ht="42" customHeight="1">
      <c r="A3722" s="2" t="s">
        <v>9417</v>
      </c>
      <c r="B3722" s="2" t="s">
        <v>9418</v>
      </c>
      <c r="C3722" s="2" t="s">
        <v>25</v>
      </c>
      <c r="D3722" s="2" t="s">
        <v>80</v>
      </c>
      <c r="E3722" s="3" t="s">
        <v>3796</v>
      </c>
      <c r="F3722" s="3" t="s">
        <v>3797</v>
      </c>
      <c r="G3722" s="3" t="s">
        <v>225</v>
      </c>
      <c r="H3722" s="2" t="s">
        <v>55</v>
      </c>
      <c r="I3722" s="2" t="s">
        <v>9419</v>
      </c>
      <c r="J3722" s="3" t="str">
        <f>HYPERLINK("https://www.boe.es/gazeta/dias/1809/02/18/pdfs/GGB-1809-8E.pdf#page=4","Abrir facsímil")</f>
        <v>Abrir facsímil</v>
      </c>
      <c r="K3722" s="3" t="s">
        <v>57</v>
      </c>
    </row>
    <row r="3723" spans="1:11" ht="42" customHeight="1">
      <c r="A3723" s="2" t="s">
        <v>9420</v>
      </c>
      <c r="B3723" s="2" t="s">
        <v>9421</v>
      </c>
      <c r="C3723" s="2" t="s">
        <v>369</v>
      </c>
      <c r="D3723" s="2" t="s">
        <v>18</v>
      </c>
      <c r="E3723" s="3" t="s">
        <v>1670</v>
      </c>
      <c r="F3723" s="3" t="s">
        <v>1671</v>
      </c>
      <c r="G3723" s="3" t="s">
        <v>192</v>
      </c>
      <c r="H3723" s="2" t="s">
        <v>55</v>
      </c>
      <c r="I3723" s="2" t="s">
        <v>9422</v>
      </c>
      <c r="J3723" s="3" t="str">
        <f>HYPERLINK("https://www.boe.es/gazeta/dias/1809/02/22/pdfs/GMD-1809-53.pdf#page=4","Abrir facsímil")</f>
        <v>Abrir facsímil</v>
      </c>
      <c r="K3723" s="3" t="s">
        <v>57</v>
      </c>
    </row>
    <row r="3724" spans="1:11" ht="42" customHeight="1">
      <c r="A3724" s="2" t="s">
        <v>9420</v>
      </c>
      <c r="B3724" s="2" t="s">
        <v>9421</v>
      </c>
      <c r="C3724" s="2" t="s">
        <v>17</v>
      </c>
      <c r="D3724" s="2" t="s">
        <v>18</v>
      </c>
      <c r="E3724" s="3" t="s">
        <v>5307</v>
      </c>
      <c r="F3724" s="3" t="s">
        <v>5308</v>
      </c>
      <c r="G3724" s="3" t="s">
        <v>914</v>
      </c>
      <c r="H3724" s="2" t="s">
        <v>55</v>
      </c>
      <c r="I3724" s="2" t="s">
        <v>9423</v>
      </c>
      <c r="J3724" s="3" t="str">
        <f>HYPERLINK("https://www.boe.es/gazeta/dias/1809/03/30/pdfs/GMD-1809-89.pdf#page=1","Abrir facsímil")</f>
        <v>Abrir facsímil</v>
      </c>
      <c r="K3724" s="3" t="s">
        <v>57</v>
      </c>
    </row>
    <row r="3725" spans="1:11" ht="42" customHeight="1">
      <c r="A3725" s="2" t="s">
        <v>9424</v>
      </c>
      <c r="B3725" s="2" t="s">
        <v>9425</v>
      </c>
      <c r="C3725" s="2" t="s">
        <v>17</v>
      </c>
      <c r="D3725" s="2" t="s">
        <v>18</v>
      </c>
      <c r="E3725" s="3" t="s">
        <v>418</v>
      </c>
      <c r="F3725" s="3" t="s">
        <v>419</v>
      </c>
      <c r="G3725" s="3" t="s">
        <v>914</v>
      </c>
      <c r="H3725" s="2" t="s">
        <v>55</v>
      </c>
      <c r="I3725" s="2" t="s">
        <v>9426</v>
      </c>
      <c r="J3725" s="3" t="str">
        <f>HYPERLINK("https://www.boe.es/gazeta/dias/1809/03/29/pdfs/GMD-1809-88.pdf#page=4","Abrir facsímil")</f>
        <v>Abrir facsímil</v>
      </c>
      <c r="K3725" s="3" t="s">
        <v>57</v>
      </c>
    </row>
    <row r="3726" spans="1:11" ht="42" customHeight="1">
      <c r="A3726" s="2" t="s">
        <v>9427</v>
      </c>
      <c r="B3726" s="2" t="s">
        <v>9427</v>
      </c>
      <c r="C3726" s="2" t="s">
        <v>47</v>
      </c>
      <c r="D3726" s="2" t="s">
        <v>18</v>
      </c>
      <c r="E3726" s="3" t="s">
        <v>2408</v>
      </c>
      <c r="F3726" s="3" t="s">
        <v>2409</v>
      </c>
      <c r="G3726" s="3" t="s">
        <v>75</v>
      </c>
      <c r="H3726" s="2" t="s">
        <v>55</v>
      </c>
      <c r="I3726" s="2" t="s">
        <v>9428</v>
      </c>
      <c r="J3726" s="3" t="str">
        <f>HYPERLINK("https://www.boe.es/gazeta/dias/1809/09/20/pdfs/GMD-1809-264.pdf#page=2","Abrir facsímil")</f>
        <v>Abrir facsímil</v>
      </c>
      <c r="K3726" s="3" t="s">
        <v>57</v>
      </c>
    </row>
    <row r="3727" spans="1:11" ht="42" customHeight="1">
      <c r="A3727" s="2" t="s">
        <v>9429</v>
      </c>
      <c r="B3727" s="2" t="s">
        <v>9429</v>
      </c>
      <c r="C3727" s="2" t="s">
        <v>131</v>
      </c>
      <c r="D3727" s="2" t="s">
        <v>107</v>
      </c>
      <c r="E3727" s="3" t="s">
        <v>1439</v>
      </c>
      <c r="F3727" s="3" t="s">
        <v>1440</v>
      </c>
      <c r="G3727" s="3" t="s">
        <v>1441</v>
      </c>
      <c r="H3727" s="2" t="s">
        <v>55</v>
      </c>
      <c r="I3727" s="2" t="s">
        <v>9430</v>
      </c>
      <c r="J3727" s="3" t="str">
        <f>HYPERLINK("https://www.boe.es/gazeta/dias/1809/12/06/pdfs/GMD-1809-341.pdf#page=2","Abrir facsímil")</f>
        <v>Abrir facsímil</v>
      </c>
      <c r="K3727" s="3" t="s">
        <v>57</v>
      </c>
    </row>
    <row r="3728" spans="1:11" ht="42" customHeight="1">
      <c r="A3728" s="2" t="s">
        <v>9431</v>
      </c>
      <c r="B3728" s="2" t="s">
        <v>9431</v>
      </c>
      <c r="C3728" s="2" t="s">
        <v>47</v>
      </c>
      <c r="D3728" s="2" t="s">
        <v>18</v>
      </c>
      <c r="E3728" s="3" t="s">
        <v>3051</v>
      </c>
      <c r="F3728" s="3" t="s">
        <v>3052</v>
      </c>
      <c r="G3728" s="3" t="s">
        <v>234</v>
      </c>
      <c r="H3728" s="2" t="s">
        <v>55</v>
      </c>
      <c r="I3728" s="2" t="s">
        <v>9432</v>
      </c>
      <c r="J3728" s="3" t="str">
        <f>HYPERLINK("https://www.boe.es/gazeta/dias/1809/06/06/pdfs/GMD-1809-157.pdf#page=4","Abrir facsímil")</f>
        <v>Abrir facsímil</v>
      </c>
      <c r="K3728" s="3" t="s">
        <v>57</v>
      </c>
    </row>
    <row r="3729" spans="1:11" ht="42" customHeight="1">
      <c r="A3729" s="2" t="s">
        <v>9433</v>
      </c>
      <c r="B3729" s="2" t="s">
        <v>9433</v>
      </c>
      <c r="C3729" s="2" t="s">
        <v>47</v>
      </c>
      <c r="D3729" s="2" t="s">
        <v>18</v>
      </c>
      <c r="E3729" s="3" t="s">
        <v>458</v>
      </c>
      <c r="F3729" s="3" t="s">
        <v>459</v>
      </c>
      <c r="G3729" s="3" t="s">
        <v>4673</v>
      </c>
      <c r="H3729" s="2" t="s">
        <v>55</v>
      </c>
      <c r="I3729" s="2" t="s">
        <v>9434</v>
      </c>
      <c r="J3729" s="3" t="str">
        <f>HYPERLINK("https://www.boe.es/gazeta/dias/1809/03/14/pdfs/GMD-1809-73.pdf#page=1","Abrir facsímil")</f>
        <v>Abrir facsímil</v>
      </c>
      <c r="K3729" s="3" t="s">
        <v>57</v>
      </c>
    </row>
    <row r="3730" spans="1:11" ht="42" customHeight="1">
      <c r="A3730" s="2" t="s">
        <v>9433</v>
      </c>
      <c r="B3730" s="2" t="s">
        <v>9433</v>
      </c>
      <c r="C3730" s="2" t="s">
        <v>369</v>
      </c>
      <c r="D3730" s="2" t="s">
        <v>18</v>
      </c>
      <c r="E3730" s="3" t="s">
        <v>5307</v>
      </c>
      <c r="F3730" s="3" t="s">
        <v>5308</v>
      </c>
      <c r="G3730" s="3" t="s">
        <v>29</v>
      </c>
      <c r="H3730" s="2" t="s">
        <v>55</v>
      </c>
      <c r="I3730" s="2" t="s">
        <v>9435</v>
      </c>
      <c r="J3730" s="3" t="str">
        <f>HYPERLINK("https://www.boe.es/gazeta/dias/1809/03/30/pdfs/GMD-1809-89.pdf#page=3","Abrir facsímil")</f>
        <v>Abrir facsímil</v>
      </c>
      <c r="K3730" s="3" t="s">
        <v>57</v>
      </c>
    </row>
    <row r="3731" spans="1:11" ht="42" customHeight="1">
      <c r="A3731" s="2" t="s">
        <v>9433</v>
      </c>
      <c r="B3731" s="2" t="s">
        <v>9433</v>
      </c>
      <c r="C3731" s="2" t="s">
        <v>47</v>
      </c>
      <c r="D3731" s="2" t="s">
        <v>107</v>
      </c>
      <c r="E3731" s="3" t="s">
        <v>3366</v>
      </c>
      <c r="F3731" s="3" t="s">
        <v>3367</v>
      </c>
      <c r="G3731" s="3" t="s">
        <v>110</v>
      </c>
      <c r="H3731" s="2" t="s">
        <v>55</v>
      </c>
      <c r="I3731" s="2" t="s">
        <v>9436</v>
      </c>
      <c r="J3731" s="3" t="str">
        <f>HYPERLINK("https://www.boe.es/gazeta/dias/1809/04/10/pdfs/GGB-1809-16.pdf#page=2","Abrir facsímil")</f>
        <v>Abrir facsímil</v>
      </c>
      <c r="K3731" s="3" t="s">
        <v>57</v>
      </c>
    </row>
    <row r="3732" spans="1:11" ht="42" customHeight="1">
      <c r="A3732" s="2" t="s">
        <v>9433</v>
      </c>
      <c r="B3732" s="2" t="s">
        <v>9433</v>
      </c>
      <c r="C3732" s="2" t="s">
        <v>25</v>
      </c>
      <c r="D3732" s="2" t="s">
        <v>26</v>
      </c>
      <c r="E3732" s="3" t="s">
        <v>1608</v>
      </c>
      <c r="F3732" s="3" t="s">
        <v>2350</v>
      </c>
      <c r="G3732" s="3" t="s">
        <v>525</v>
      </c>
      <c r="H3732" s="2" t="s">
        <v>55</v>
      </c>
      <c r="I3732" s="2" t="s">
        <v>9437</v>
      </c>
      <c r="J3732" s="3" t="str">
        <f>HYPERLINK("https://www.boe.es/gazeta/dias/1809/04/15/pdfs/GMD-1809-105.pdf#page=1","Abrir facsímil")</f>
        <v>Abrir facsímil</v>
      </c>
      <c r="K3732" s="3" t="s">
        <v>57</v>
      </c>
    </row>
    <row r="3733" spans="1:11" ht="42" customHeight="1">
      <c r="A3733" s="2" t="s">
        <v>9433</v>
      </c>
      <c r="B3733" s="2" t="s">
        <v>9433</v>
      </c>
      <c r="C3733" s="2" t="s">
        <v>39</v>
      </c>
      <c r="D3733" s="2" t="s">
        <v>107</v>
      </c>
      <c r="E3733" s="3" t="s">
        <v>1514</v>
      </c>
      <c r="F3733" s="3" t="s">
        <v>9438</v>
      </c>
      <c r="G3733" s="3" t="s">
        <v>129</v>
      </c>
      <c r="H3733" s="2" t="s">
        <v>55</v>
      </c>
      <c r="I3733" s="2" t="s">
        <v>9439</v>
      </c>
      <c r="J3733" s="3" t="str">
        <f>HYPERLINK("https://www.boe.es/gazeta/dias/1809/04/17/pdfs/GMD-1809-107.pdf#page=2","Abrir facsímil")</f>
        <v>Abrir facsímil</v>
      </c>
      <c r="K3733" s="3" t="s">
        <v>57</v>
      </c>
    </row>
    <row r="3734" spans="1:11" ht="42" customHeight="1">
      <c r="A3734" s="2" t="s">
        <v>9433</v>
      </c>
      <c r="B3734" s="2" t="s">
        <v>9433</v>
      </c>
      <c r="C3734" s="2" t="s">
        <v>25</v>
      </c>
      <c r="D3734" s="2" t="s">
        <v>107</v>
      </c>
      <c r="E3734" s="3" t="s">
        <v>139</v>
      </c>
      <c r="F3734" s="3" t="s">
        <v>140</v>
      </c>
      <c r="G3734" s="3" t="s">
        <v>120</v>
      </c>
      <c r="H3734" s="2" t="s">
        <v>55</v>
      </c>
      <c r="I3734" s="2" t="s">
        <v>9440</v>
      </c>
      <c r="J3734" s="3" t="str">
        <f>HYPERLINK("https://www.boe.es/gazeta/dias/1809/05/06/pdfs/GMD-1809-126.pdf#page=2","Abrir facsímil")</f>
        <v>Abrir facsímil</v>
      </c>
      <c r="K3734" s="3" t="s">
        <v>57</v>
      </c>
    </row>
    <row r="3735" spans="1:11" ht="42" customHeight="1">
      <c r="A3735" s="2" t="s">
        <v>9433</v>
      </c>
      <c r="B3735" s="2" t="s">
        <v>9433</v>
      </c>
      <c r="C3735" s="2" t="s">
        <v>47</v>
      </c>
      <c r="D3735" s="2" t="s">
        <v>107</v>
      </c>
      <c r="E3735" s="3" t="s">
        <v>739</v>
      </c>
      <c r="F3735" s="3" t="s">
        <v>1137</v>
      </c>
      <c r="G3735" s="3" t="s">
        <v>582</v>
      </c>
      <c r="H3735" s="2" t="s">
        <v>55</v>
      </c>
      <c r="I3735" s="2" t="s">
        <v>9441</v>
      </c>
      <c r="J3735" s="3" t="str">
        <f>HYPERLINK("https://www.boe.es/gazeta/dias/1809/05/08/pdfs/GGB-1809-25.pdf#page=2","Abrir facsímil")</f>
        <v>Abrir facsímil</v>
      </c>
      <c r="K3735" s="3" t="s">
        <v>57</v>
      </c>
    </row>
    <row r="3736" spans="1:11" ht="42" customHeight="1">
      <c r="A3736" s="2" t="s">
        <v>9433</v>
      </c>
      <c r="B3736" s="2" t="s">
        <v>9433</v>
      </c>
      <c r="C3736" s="2" t="s">
        <v>47</v>
      </c>
      <c r="D3736" s="2" t="s">
        <v>107</v>
      </c>
      <c r="E3736" s="3" t="s">
        <v>1332</v>
      </c>
      <c r="F3736" s="3" t="s">
        <v>1333</v>
      </c>
      <c r="G3736" s="3" t="s">
        <v>120</v>
      </c>
      <c r="H3736" s="2" t="s">
        <v>55</v>
      </c>
      <c r="I3736" s="2" t="s">
        <v>9442</v>
      </c>
      <c r="J3736" s="3" t="str">
        <f>HYPERLINK("https://www.boe.es/gazeta/dias/1809/05/09/pdfs/GMD-1809-129.pdf#page=1","Abrir facsímil")</f>
        <v>Abrir facsímil</v>
      </c>
      <c r="K3736" s="3" t="s">
        <v>57</v>
      </c>
    </row>
    <row r="3737" spans="1:11" ht="42" customHeight="1">
      <c r="A3737" s="2" t="s">
        <v>9433</v>
      </c>
      <c r="B3737" s="2" t="s">
        <v>9433</v>
      </c>
      <c r="C3737" s="2" t="s">
        <v>25</v>
      </c>
      <c r="D3737" s="2" t="s">
        <v>18</v>
      </c>
      <c r="E3737" s="3" t="s">
        <v>27</v>
      </c>
      <c r="F3737" s="3" t="s">
        <v>28</v>
      </c>
      <c r="G3737" s="3" t="s">
        <v>75</v>
      </c>
      <c r="H3737" s="2" t="s">
        <v>55</v>
      </c>
      <c r="I3737" s="2" t="s">
        <v>9443</v>
      </c>
      <c r="J3737" s="3" t="str">
        <f>HYPERLINK("https://www.boe.es/gazeta/dias/1809/05/12/pdfs/GMD-1809-132.pdf#page=2","Abrir facsímil")</f>
        <v>Abrir facsímil</v>
      </c>
      <c r="K3737" s="3" t="s">
        <v>57</v>
      </c>
    </row>
    <row r="3738" spans="1:11" ht="42" customHeight="1">
      <c r="A3738" s="2" t="s">
        <v>9433</v>
      </c>
      <c r="B3738" s="2" t="s">
        <v>9433</v>
      </c>
      <c r="C3738" s="2" t="s">
        <v>47</v>
      </c>
      <c r="D3738" s="2" t="s">
        <v>18</v>
      </c>
      <c r="E3738" s="3" t="s">
        <v>27</v>
      </c>
      <c r="F3738" s="3" t="s">
        <v>254</v>
      </c>
      <c r="G3738" s="3" t="s">
        <v>914</v>
      </c>
      <c r="H3738" s="2" t="s">
        <v>55</v>
      </c>
      <c r="I3738" s="2" t="s">
        <v>9444</v>
      </c>
      <c r="J3738" s="3" t="str">
        <f>HYPERLINK("https://www.boe.es/gazeta/dias/1809/05/12/pdfs/GGB-1809-26.pdf#page=5","Abrir facsímil")</f>
        <v>Abrir facsímil</v>
      </c>
      <c r="K3738" s="3" t="s">
        <v>57</v>
      </c>
    </row>
    <row r="3739" spans="1:11" ht="42" customHeight="1">
      <c r="A3739" s="2" t="s">
        <v>9433</v>
      </c>
      <c r="B3739" s="2" t="s">
        <v>9433</v>
      </c>
      <c r="C3739" s="2" t="s">
        <v>47</v>
      </c>
      <c r="D3739" s="2" t="s">
        <v>40</v>
      </c>
      <c r="E3739" s="3" t="s">
        <v>1053</v>
      </c>
      <c r="F3739" s="3" t="s">
        <v>1054</v>
      </c>
      <c r="G3739" s="3" t="s">
        <v>120</v>
      </c>
      <c r="H3739" s="2" t="s">
        <v>55</v>
      </c>
      <c r="I3739" s="2" t="s">
        <v>9445</v>
      </c>
      <c r="J3739" s="3" t="str">
        <f>HYPERLINK("https://www.boe.es/gazeta/dias/1809/05/13/pdfs/GMD-1809-133.pdf#page=1","Abrir facsímil")</f>
        <v>Abrir facsímil</v>
      </c>
      <c r="K3739" s="3" t="s">
        <v>57</v>
      </c>
    </row>
    <row r="3740" spans="1:11" ht="42" customHeight="1">
      <c r="A3740" s="2" t="s">
        <v>9433</v>
      </c>
      <c r="B3740" s="2" t="s">
        <v>9433</v>
      </c>
      <c r="C3740" s="2" t="s">
        <v>47</v>
      </c>
      <c r="D3740" s="2" t="s">
        <v>40</v>
      </c>
      <c r="E3740" s="3" t="s">
        <v>2381</v>
      </c>
      <c r="F3740" s="3" t="s">
        <v>2382</v>
      </c>
      <c r="G3740" s="3" t="s">
        <v>29</v>
      </c>
      <c r="H3740" s="2" t="s">
        <v>55</v>
      </c>
      <c r="I3740" s="2" t="s">
        <v>9446</v>
      </c>
      <c r="J3740" s="3" t="str">
        <f>HYPERLINK("https://www.boe.es/gazeta/dias/1809/05/14/pdfs/GMD-1809-134.pdf#page=3","Abrir facsímil")</f>
        <v>Abrir facsímil</v>
      </c>
      <c r="K3740" s="3" t="s">
        <v>57</v>
      </c>
    </row>
    <row r="3741" spans="1:11" ht="42" customHeight="1">
      <c r="A3741" s="2" t="s">
        <v>9433</v>
      </c>
      <c r="B3741" s="2" t="s">
        <v>9433</v>
      </c>
      <c r="C3741" s="2" t="s">
        <v>25</v>
      </c>
      <c r="D3741" s="2" t="s">
        <v>18</v>
      </c>
      <c r="E3741" s="3" t="s">
        <v>289</v>
      </c>
      <c r="F3741" s="3" t="s">
        <v>290</v>
      </c>
      <c r="G3741" s="3" t="s">
        <v>29</v>
      </c>
      <c r="H3741" s="2" t="s">
        <v>55</v>
      </c>
      <c r="I3741" s="2" t="s">
        <v>9447</v>
      </c>
      <c r="J3741" s="3" t="str">
        <f>HYPERLINK("https://www.boe.es/gazeta/dias/1809/05/15/pdfs/GMD-1809-135.pdf#page=3","Abrir facsímil")</f>
        <v>Abrir facsímil</v>
      </c>
      <c r="K3741" s="3" t="s">
        <v>57</v>
      </c>
    </row>
    <row r="3742" spans="1:11" ht="42" customHeight="1">
      <c r="A3742" s="2" t="s">
        <v>9433</v>
      </c>
      <c r="B3742" s="2" t="s">
        <v>9433</v>
      </c>
      <c r="C3742" s="2" t="s">
        <v>25</v>
      </c>
      <c r="D3742" s="2" t="s">
        <v>26</v>
      </c>
      <c r="E3742" s="3" t="s">
        <v>1648</v>
      </c>
      <c r="F3742" s="3" t="s">
        <v>1649</v>
      </c>
      <c r="G3742" s="3" t="s">
        <v>1935</v>
      </c>
      <c r="H3742" s="2" t="s">
        <v>55</v>
      </c>
      <c r="I3742" s="2" t="s">
        <v>9448</v>
      </c>
      <c r="J3742" s="3" t="str">
        <f>HYPERLINK("https://www.boe.es/gazeta/dias/1809/05/16/pdfs/GMD-1809-136.pdf#page=1","Abrir facsímil")</f>
        <v>Abrir facsímil</v>
      </c>
      <c r="K3742" s="3" t="s">
        <v>57</v>
      </c>
    </row>
    <row r="3743" spans="1:11" ht="42" customHeight="1">
      <c r="A3743" s="2" t="s">
        <v>9433</v>
      </c>
      <c r="B3743" s="2" t="s">
        <v>9433</v>
      </c>
      <c r="C3743" s="2" t="s">
        <v>47</v>
      </c>
      <c r="D3743" s="2" t="s">
        <v>18</v>
      </c>
      <c r="E3743" s="3" t="s">
        <v>1648</v>
      </c>
      <c r="F3743" s="3" t="s">
        <v>1649</v>
      </c>
      <c r="G3743" s="3" t="s">
        <v>687</v>
      </c>
      <c r="H3743" s="2" t="s">
        <v>55</v>
      </c>
      <c r="I3743" s="2" t="s">
        <v>9449</v>
      </c>
      <c r="J3743" s="3" t="str">
        <f>HYPERLINK("https://www.boe.es/gazeta/dias/1809/05/16/pdfs/GMD-1809-136.pdf#page=2","Abrir facsímil")</f>
        <v>Abrir facsímil</v>
      </c>
      <c r="K3743" s="3" t="s">
        <v>57</v>
      </c>
    </row>
    <row r="3744" spans="1:11" ht="42" customHeight="1">
      <c r="A3744" s="2" t="s">
        <v>9433</v>
      </c>
      <c r="B3744" s="2" t="s">
        <v>9433</v>
      </c>
      <c r="C3744" s="2" t="s">
        <v>25</v>
      </c>
      <c r="D3744" s="2" t="s">
        <v>26</v>
      </c>
      <c r="E3744" s="3" t="s">
        <v>1648</v>
      </c>
      <c r="F3744" s="3" t="s">
        <v>1649</v>
      </c>
      <c r="G3744" s="3" t="s">
        <v>239</v>
      </c>
      <c r="H3744" s="2" t="s">
        <v>55</v>
      </c>
      <c r="I3744" s="2" t="s">
        <v>9450</v>
      </c>
      <c r="J3744" s="3" t="str">
        <f>HYPERLINK("https://www.boe.es/gazeta/dias/1809/05/16/pdfs/GMD-1809-136.pdf#page=3","Abrir facsímil")</f>
        <v>Abrir facsímil</v>
      </c>
      <c r="K3744" s="3" t="s">
        <v>57</v>
      </c>
    </row>
    <row r="3745" spans="1:11" ht="42" customHeight="1">
      <c r="A3745" s="2" t="s">
        <v>9433</v>
      </c>
      <c r="B3745" s="2" t="s">
        <v>9433</v>
      </c>
      <c r="C3745" s="2" t="s">
        <v>47</v>
      </c>
      <c r="D3745" s="2" t="s">
        <v>107</v>
      </c>
      <c r="E3745" s="3" t="s">
        <v>767</v>
      </c>
      <c r="F3745" s="3" t="s">
        <v>768</v>
      </c>
      <c r="G3745" s="3" t="s">
        <v>120</v>
      </c>
      <c r="H3745" s="2" t="s">
        <v>55</v>
      </c>
      <c r="I3745" s="2" t="s">
        <v>9451</v>
      </c>
      <c r="J3745" s="3" t="str">
        <f>HYPERLINK("https://www.boe.es/gazeta/dias/1809/05/18/pdfs/GMD-1809-138.pdf#page=1","Abrir facsímil")</f>
        <v>Abrir facsímil</v>
      </c>
      <c r="K3745" s="3" t="s">
        <v>57</v>
      </c>
    </row>
    <row r="3746" spans="1:11" ht="42" customHeight="1">
      <c r="A3746" s="2" t="s">
        <v>9433</v>
      </c>
      <c r="B3746" s="2" t="s">
        <v>9433</v>
      </c>
      <c r="C3746" s="2" t="s">
        <v>47</v>
      </c>
      <c r="D3746" s="2" t="s">
        <v>18</v>
      </c>
      <c r="E3746" s="3" t="s">
        <v>749</v>
      </c>
      <c r="F3746" s="3" t="s">
        <v>1740</v>
      </c>
      <c r="G3746" s="3" t="s">
        <v>120</v>
      </c>
      <c r="H3746" s="2" t="s">
        <v>55</v>
      </c>
      <c r="I3746" s="2" t="s">
        <v>9452</v>
      </c>
      <c r="J3746" s="3" t="str">
        <f>HYPERLINK("https://www.boe.es/gazeta/dias/1809/05/19/pdfs/GMD-1809-139.pdf#page=3","Abrir facsímil")</f>
        <v>Abrir facsímil</v>
      </c>
      <c r="K3746" s="3" t="s">
        <v>57</v>
      </c>
    </row>
    <row r="3747" spans="1:11" ht="42" customHeight="1">
      <c r="A3747" s="2" t="s">
        <v>9433</v>
      </c>
      <c r="B3747" s="2" t="s">
        <v>9433</v>
      </c>
      <c r="C3747" s="2" t="s">
        <v>47</v>
      </c>
      <c r="D3747" s="2" t="s">
        <v>18</v>
      </c>
      <c r="E3747" s="3" t="s">
        <v>749</v>
      </c>
      <c r="F3747" s="3" t="s">
        <v>750</v>
      </c>
      <c r="G3747" s="3" t="s">
        <v>120</v>
      </c>
      <c r="H3747" s="2" t="s">
        <v>55</v>
      </c>
      <c r="I3747" s="2" t="s">
        <v>9453</v>
      </c>
      <c r="J3747" s="3" t="str">
        <f>HYPERLINK("https://www.boe.es/gazeta/dias/1809/05/19/pdfs/GGB-1809-29.pdf#page=6","Abrir facsímil")</f>
        <v>Abrir facsímil</v>
      </c>
      <c r="K3747" s="3" t="s">
        <v>57</v>
      </c>
    </row>
    <row r="3748" spans="1:11" ht="42" customHeight="1">
      <c r="A3748" s="2" t="s">
        <v>9433</v>
      </c>
      <c r="B3748" s="2" t="s">
        <v>9433</v>
      </c>
      <c r="C3748" s="2" t="s">
        <v>47</v>
      </c>
      <c r="D3748" s="2" t="s">
        <v>107</v>
      </c>
      <c r="E3748" s="3" t="s">
        <v>755</v>
      </c>
      <c r="F3748" s="3" t="s">
        <v>756</v>
      </c>
      <c r="G3748" s="3" t="s">
        <v>6007</v>
      </c>
      <c r="H3748" s="2" t="s">
        <v>55</v>
      </c>
      <c r="I3748" s="2" t="s">
        <v>9454</v>
      </c>
      <c r="J3748" s="3" t="str">
        <f>HYPERLINK("https://www.boe.es/gazeta/dias/1809/05/20/pdfs/GMD-1809-140.pdf#page=1","Abrir facsímil")</f>
        <v>Abrir facsímil</v>
      </c>
      <c r="K3748" s="3" t="s">
        <v>57</v>
      </c>
    </row>
    <row r="3749" spans="1:11" ht="42" customHeight="1">
      <c r="A3749" s="2" t="s">
        <v>9433</v>
      </c>
      <c r="B3749" s="2" t="s">
        <v>9433</v>
      </c>
      <c r="C3749" s="2" t="s">
        <v>25</v>
      </c>
      <c r="D3749" s="2" t="s">
        <v>26</v>
      </c>
      <c r="E3749" s="3" t="s">
        <v>9455</v>
      </c>
      <c r="F3749" s="3" t="s">
        <v>9456</v>
      </c>
      <c r="G3749" s="3" t="s">
        <v>9457</v>
      </c>
      <c r="H3749" s="2" t="s">
        <v>55</v>
      </c>
      <c r="I3749" s="2" t="s">
        <v>9458</v>
      </c>
      <c r="J3749" s="3" t="str">
        <f>HYPERLINK("https://www.boe.es/gazeta/dias/1809/05/24/pdfs/GMD-1809-144.pdf#page=1","Abrir facsímil")</f>
        <v>Abrir facsímil</v>
      </c>
      <c r="K3749" s="3" t="s">
        <v>57</v>
      </c>
    </row>
    <row r="3750" spans="1:11" ht="42" customHeight="1">
      <c r="A3750" s="2" t="s">
        <v>9433</v>
      </c>
      <c r="B3750" s="2" t="s">
        <v>9433</v>
      </c>
      <c r="C3750" s="2" t="s">
        <v>25</v>
      </c>
      <c r="D3750" s="2" t="s">
        <v>107</v>
      </c>
      <c r="E3750" s="3" t="s">
        <v>5350</v>
      </c>
      <c r="F3750" s="3" t="s">
        <v>5351</v>
      </c>
      <c r="G3750" s="3" t="s">
        <v>62</v>
      </c>
      <c r="H3750" s="2" t="s">
        <v>55</v>
      </c>
      <c r="I3750" s="2" t="s">
        <v>9459</v>
      </c>
      <c r="J3750" s="3" t="str">
        <f>HYPERLINK("https://www.boe.es/gazeta/dias/1809/05/25/pdfs/GMD-1809-145.pdf#page=1","Abrir facsímil")</f>
        <v>Abrir facsímil</v>
      </c>
      <c r="K3750" s="3" t="s">
        <v>57</v>
      </c>
    </row>
    <row r="3751" spans="1:11" ht="42" customHeight="1">
      <c r="A3751" s="2" t="s">
        <v>9433</v>
      </c>
      <c r="B3751" s="2" t="s">
        <v>9433</v>
      </c>
      <c r="C3751" s="2" t="s">
        <v>131</v>
      </c>
      <c r="D3751" s="2" t="s">
        <v>18</v>
      </c>
      <c r="E3751" s="3" t="s">
        <v>5350</v>
      </c>
      <c r="F3751" s="3" t="s">
        <v>5351</v>
      </c>
      <c r="G3751" s="3" t="s">
        <v>110</v>
      </c>
      <c r="H3751" s="2" t="s">
        <v>55</v>
      </c>
      <c r="I3751" s="2" t="s">
        <v>9460</v>
      </c>
      <c r="J3751" s="3" t="str">
        <f>HYPERLINK("https://www.boe.es/gazeta/dias/1809/05/25/pdfs/GMD-1809-145.pdf#page=4","Abrir facsímil")</f>
        <v>Abrir facsímil</v>
      </c>
      <c r="K3751" s="3" t="s">
        <v>57</v>
      </c>
    </row>
    <row r="3752" spans="1:11" ht="42" customHeight="1">
      <c r="A3752" s="2" t="s">
        <v>9433</v>
      </c>
      <c r="B3752" s="2" t="s">
        <v>9433</v>
      </c>
      <c r="C3752" s="2" t="s">
        <v>25</v>
      </c>
      <c r="D3752" s="2" t="s">
        <v>26</v>
      </c>
      <c r="E3752" s="3" t="s">
        <v>1678</v>
      </c>
      <c r="F3752" s="3" t="s">
        <v>6697</v>
      </c>
      <c r="G3752" s="3" t="s">
        <v>129</v>
      </c>
      <c r="H3752" s="2" t="s">
        <v>55</v>
      </c>
      <c r="I3752" s="2" t="s">
        <v>9461</v>
      </c>
      <c r="J3752" s="3" t="str">
        <f>HYPERLINK("https://www.boe.es/gazeta/dias/1809/05/29/pdfs/GMD-1809-149.pdf#page=2","Abrir facsímil")</f>
        <v>Abrir facsímil</v>
      </c>
      <c r="K3752" s="3" t="s">
        <v>57</v>
      </c>
    </row>
    <row r="3753" spans="1:11" ht="42" customHeight="1">
      <c r="A3753" s="2" t="s">
        <v>9433</v>
      </c>
      <c r="B3753" s="2" t="s">
        <v>9433</v>
      </c>
      <c r="C3753" s="2" t="s">
        <v>47</v>
      </c>
      <c r="D3753" s="2" t="s">
        <v>107</v>
      </c>
      <c r="E3753" s="3" t="s">
        <v>1678</v>
      </c>
      <c r="F3753" s="3" t="s">
        <v>6697</v>
      </c>
      <c r="G3753" s="3" t="s">
        <v>6698</v>
      </c>
      <c r="H3753" s="2" t="s">
        <v>55</v>
      </c>
      <c r="I3753" s="2" t="s">
        <v>9462</v>
      </c>
      <c r="J3753" s="3" t="str">
        <f>HYPERLINK("https://www.boe.es/gazeta/dias/1809/05/29/pdfs/GMD-1809-149.pdf#page=3","Abrir facsímil")</f>
        <v>Abrir facsímil</v>
      </c>
      <c r="K3753" s="3" t="s">
        <v>57</v>
      </c>
    </row>
    <row r="3754" spans="1:11" ht="42" customHeight="1">
      <c r="A3754" s="2" t="s">
        <v>9433</v>
      </c>
      <c r="B3754" s="2" t="s">
        <v>9433</v>
      </c>
      <c r="C3754" s="2" t="s">
        <v>47</v>
      </c>
      <c r="D3754" s="2" t="s">
        <v>107</v>
      </c>
      <c r="E3754" s="3" t="s">
        <v>1678</v>
      </c>
      <c r="F3754" s="3" t="s">
        <v>1679</v>
      </c>
      <c r="G3754" s="3" t="s">
        <v>239</v>
      </c>
      <c r="H3754" s="2" t="s">
        <v>55</v>
      </c>
      <c r="I3754" s="2" t="s">
        <v>9463</v>
      </c>
      <c r="J3754" s="3" t="str">
        <f>HYPERLINK("https://www.boe.es/gazeta/dias/1809/05/29/pdfs/GGB-1809-32.pdf#page=1","Abrir facsímil")</f>
        <v>Abrir facsímil</v>
      </c>
      <c r="K3754" s="3" t="s">
        <v>57</v>
      </c>
    </row>
    <row r="3755" spans="1:11" ht="42" customHeight="1">
      <c r="A3755" s="2" t="s">
        <v>9433</v>
      </c>
      <c r="B3755" s="2" t="s">
        <v>9433</v>
      </c>
      <c r="C3755" s="2" t="s">
        <v>47</v>
      </c>
      <c r="D3755" s="2" t="s">
        <v>18</v>
      </c>
      <c r="E3755" s="3" t="s">
        <v>761</v>
      </c>
      <c r="F3755" s="3" t="s">
        <v>762</v>
      </c>
      <c r="G3755" s="3" t="s">
        <v>3771</v>
      </c>
      <c r="H3755" s="2" t="s">
        <v>55</v>
      </c>
      <c r="I3755" s="2" t="s">
        <v>9464</v>
      </c>
      <c r="J3755" s="3" t="str">
        <f>HYPERLINK("https://www.boe.es/gazeta/dias/1809/06/02/pdfs/GMD-1809-153.pdf#page=2","Abrir facsímil")</f>
        <v>Abrir facsímil</v>
      </c>
      <c r="K3755" s="3" t="s">
        <v>57</v>
      </c>
    </row>
    <row r="3756" spans="1:11" ht="42" customHeight="1">
      <c r="A3756" s="2" t="s">
        <v>9433</v>
      </c>
      <c r="B3756" s="2" t="s">
        <v>9433</v>
      </c>
      <c r="C3756" s="2" t="s">
        <v>25</v>
      </c>
      <c r="D3756" s="2" t="s">
        <v>26</v>
      </c>
      <c r="E3756" s="3" t="s">
        <v>268</v>
      </c>
      <c r="F3756" s="3" t="s">
        <v>269</v>
      </c>
      <c r="G3756" s="3" t="s">
        <v>154</v>
      </c>
      <c r="H3756" s="2" t="s">
        <v>55</v>
      </c>
      <c r="I3756" s="2" t="s">
        <v>9465</v>
      </c>
      <c r="J3756" s="3" t="str">
        <f>HYPERLINK("https://www.boe.es/gazeta/dias/1809/06/05/pdfs/GMD-1809-156.pdf#page=2","Abrir facsímil")</f>
        <v>Abrir facsímil</v>
      </c>
      <c r="K3756" s="3" t="s">
        <v>57</v>
      </c>
    </row>
    <row r="3757" spans="1:11" ht="42" customHeight="1">
      <c r="A3757" s="2" t="s">
        <v>9433</v>
      </c>
      <c r="B3757" s="2" t="s">
        <v>9433</v>
      </c>
      <c r="C3757" s="2" t="s">
        <v>47</v>
      </c>
      <c r="D3757" s="2" t="s">
        <v>107</v>
      </c>
      <c r="E3757" s="3" t="s">
        <v>268</v>
      </c>
      <c r="F3757" s="3" t="s">
        <v>269</v>
      </c>
      <c r="G3757" s="3" t="s">
        <v>29</v>
      </c>
      <c r="H3757" s="2" t="s">
        <v>55</v>
      </c>
      <c r="I3757" s="2" t="s">
        <v>9466</v>
      </c>
      <c r="J3757" s="3" t="str">
        <f>HYPERLINK("https://www.boe.es/gazeta/dias/1809/06/05/pdfs/GMD-1809-156.pdf#page=3","Abrir facsímil")</f>
        <v>Abrir facsímil</v>
      </c>
      <c r="K3757" s="3" t="s">
        <v>57</v>
      </c>
    </row>
    <row r="3758" spans="1:11" ht="42" customHeight="1">
      <c r="A3758" s="2" t="s">
        <v>9433</v>
      </c>
      <c r="B3758" s="2" t="s">
        <v>9433</v>
      </c>
      <c r="C3758" s="2" t="s">
        <v>47</v>
      </c>
      <c r="D3758" s="2" t="s">
        <v>18</v>
      </c>
      <c r="E3758" s="3" t="s">
        <v>3051</v>
      </c>
      <c r="F3758" s="3" t="s">
        <v>3052</v>
      </c>
      <c r="G3758" s="3" t="s">
        <v>234</v>
      </c>
      <c r="H3758" s="2" t="s">
        <v>55</v>
      </c>
      <c r="I3758" s="2" t="s">
        <v>9467</v>
      </c>
      <c r="J3758" s="3" t="str">
        <f>HYPERLINK("https://www.boe.es/gazeta/dias/1809/06/06/pdfs/GMD-1809-157.pdf#page=3","Abrir facsímil")</f>
        <v>Abrir facsímil</v>
      </c>
      <c r="K3758" s="3" t="s">
        <v>57</v>
      </c>
    </row>
    <row r="3759" spans="1:11" ht="42" customHeight="1">
      <c r="A3759" s="2" t="s">
        <v>9433</v>
      </c>
      <c r="B3759" s="2" t="s">
        <v>9433</v>
      </c>
      <c r="C3759" s="2" t="s">
        <v>25</v>
      </c>
      <c r="D3759" s="2" t="s">
        <v>26</v>
      </c>
      <c r="E3759" s="3" t="s">
        <v>134</v>
      </c>
      <c r="F3759" s="3" t="s">
        <v>135</v>
      </c>
      <c r="G3759" s="3" t="s">
        <v>225</v>
      </c>
      <c r="H3759" s="2" t="s">
        <v>55</v>
      </c>
      <c r="I3759" s="2" t="s">
        <v>9468</v>
      </c>
      <c r="J3759" s="3" t="str">
        <f>HYPERLINK("https://www.boe.es/gazeta/dias/1809/06/07/pdfs/GMD-1809-158.pdf#page=4","Abrir facsímil")</f>
        <v>Abrir facsímil</v>
      </c>
      <c r="K3759" s="3" t="s">
        <v>57</v>
      </c>
    </row>
    <row r="3760" spans="1:11" ht="42" customHeight="1">
      <c r="A3760" s="2" t="s">
        <v>9433</v>
      </c>
      <c r="B3760" s="2" t="s">
        <v>9433</v>
      </c>
      <c r="C3760" s="2" t="s">
        <v>47</v>
      </c>
      <c r="D3760" s="2" t="s">
        <v>18</v>
      </c>
      <c r="E3760" s="3" t="s">
        <v>1551</v>
      </c>
      <c r="F3760" s="3" t="s">
        <v>9469</v>
      </c>
      <c r="G3760" s="3" t="s">
        <v>270</v>
      </c>
      <c r="H3760" s="2" t="s">
        <v>55</v>
      </c>
      <c r="I3760" s="2" t="s">
        <v>9470</v>
      </c>
      <c r="J3760" s="3" t="str">
        <f>HYPERLINK("https://www.boe.es/gazeta/dias/1809/06/12/pdfs/GMD-1809-163.pdf#page=1","Abrir facsímil")</f>
        <v>Abrir facsímil</v>
      </c>
      <c r="K3760" s="3" t="s">
        <v>57</v>
      </c>
    </row>
    <row r="3761" spans="1:11" ht="42" customHeight="1">
      <c r="A3761" s="2" t="s">
        <v>9433</v>
      </c>
      <c r="B3761" s="2" t="s">
        <v>9433</v>
      </c>
      <c r="C3761" s="2" t="s">
        <v>25</v>
      </c>
      <c r="D3761" s="2" t="s">
        <v>26</v>
      </c>
      <c r="E3761" s="3" t="s">
        <v>1551</v>
      </c>
      <c r="F3761" s="3" t="s">
        <v>9469</v>
      </c>
      <c r="G3761" s="3" t="s">
        <v>129</v>
      </c>
      <c r="H3761" s="2" t="s">
        <v>55</v>
      </c>
      <c r="I3761" s="2" t="s">
        <v>9471</v>
      </c>
      <c r="J3761" s="3" t="str">
        <f>HYPERLINK("https://www.boe.es/gazeta/dias/1809/06/12/pdfs/GMD-1809-163.pdf#page=2","Abrir facsímil")</f>
        <v>Abrir facsímil</v>
      </c>
      <c r="K3761" s="3" t="s">
        <v>57</v>
      </c>
    </row>
    <row r="3762" spans="1:11" ht="42" customHeight="1">
      <c r="A3762" s="2" t="s">
        <v>9433</v>
      </c>
      <c r="B3762" s="2" t="s">
        <v>9433</v>
      </c>
      <c r="C3762" s="2" t="s">
        <v>47</v>
      </c>
      <c r="D3762" s="2" t="s">
        <v>18</v>
      </c>
      <c r="E3762" s="3" t="s">
        <v>7192</v>
      </c>
      <c r="F3762" s="3" t="s">
        <v>7193</v>
      </c>
      <c r="G3762" s="3" t="s">
        <v>239</v>
      </c>
      <c r="H3762" s="2" t="s">
        <v>55</v>
      </c>
      <c r="I3762" s="2" t="s">
        <v>9472</v>
      </c>
      <c r="J3762" s="3" t="str">
        <f>HYPERLINK("https://www.boe.es/gazeta/dias/1809/06/14/pdfs/GMD-1809-165.pdf#page=3","Abrir facsímil")</f>
        <v>Abrir facsímil</v>
      </c>
      <c r="K3762" s="3" t="s">
        <v>57</v>
      </c>
    </row>
    <row r="3763" spans="1:11" ht="42" customHeight="1">
      <c r="A3763" s="2" t="s">
        <v>9433</v>
      </c>
      <c r="B3763" s="2" t="s">
        <v>9433</v>
      </c>
      <c r="C3763" s="2" t="s">
        <v>47</v>
      </c>
      <c r="D3763" s="2" t="s">
        <v>18</v>
      </c>
      <c r="E3763" s="3" t="s">
        <v>1502</v>
      </c>
      <c r="F3763" s="3" t="s">
        <v>1503</v>
      </c>
      <c r="G3763" s="3" t="s">
        <v>9473</v>
      </c>
      <c r="H3763" s="2" t="s">
        <v>55</v>
      </c>
      <c r="I3763" s="2" t="s">
        <v>9474</v>
      </c>
      <c r="J3763" s="3" t="str">
        <f>HYPERLINK("https://www.boe.es/gazeta/dias/1809/06/18/pdfs/GMD-1809-169.pdf#page=1","Abrir facsímil")</f>
        <v>Abrir facsímil</v>
      </c>
      <c r="K3763" s="3" t="s">
        <v>57</v>
      </c>
    </row>
    <row r="3764" spans="1:11" ht="42" customHeight="1">
      <c r="A3764" s="2" t="s">
        <v>9433</v>
      </c>
      <c r="B3764" s="2" t="s">
        <v>9433</v>
      </c>
      <c r="C3764" s="2" t="s">
        <v>47</v>
      </c>
      <c r="D3764" s="2" t="s">
        <v>18</v>
      </c>
      <c r="E3764" s="3" t="s">
        <v>167</v>
      </c>
      <c r="F3764" s="3" t="s">
        <v>9475</v>
      </c>
      <c r="G3764" s="3" t="s">
        <v>29</v>
      </c>
      <c r="H3764" s="2" t="s">
        <v>55</v>
      </c>
      <c r="I3764" s="2" t="s">
        <v>9476</v>
      </c>
      <c r="J3764" s="3" t="str">
        <f>HYPERLINK("https://www.boe.es/gazeta/dias/1809/06/19/pdfs/GMD-1809-170.pdf#page=3","Abrir facsímil")</f>
        <v>Abrir facsímil</v>
      </c>
      <c r="K3764" s="3" t="s">
        <v>57</v>
      </c>
    </row>
    <row r="3765" spans="1:11" ht="42" customHeight="1">
      <c r="A3765" s="2" t="s">
        <v>9433</v>
      </c>
      <c r="B3765" s="2" t="s">
        <v>9433</v>
      </c>
      <c r="C3765" s="2" t="s">
        <v>47</v>
      </c>
      <c r="D3765" s="2" t="s">
        <v>18</v>
      </c>
      <c r="E3765" s="3" t="s">
        <v>1110</v>
      </c>
      <c r="F3765" s="3" t="s">
        <v>1111</v>
      </c>
      <c r="G3765" s="3" t="s">
        <v>62</v>
      </c>
      <c r="H3765" s="2" t="s">
        <v>55</v>
      </c>
      <c r="I3765" s="2" t="s">
        <v>9477</v>
      </c>
      <c r="J3765" s="3" t="str">
        <f>HYPERLINK("https://www.boe.es/gazeta/dias/1809/06/20/pdfs/GMD-1809-171.pdf#page=2","Abrir facsímil")</f>
        <v>Abrir facsímil</v>
      </c>
      <c r="K3765" s="3" t="s">
        <v>57</v>
      </c>
    </row>
    <row r="3766" spans="1:11" ht="42" customHeight="1">
      <c r="A3766" s="2" t="s">
        <v>9433</v>
      </c>
      <c r="B3766" s="2" t="s">
        <v>9433</v>
      </c>
      <c r="C3766" s="2" t="s">
        <v>79</v>
      </c>
      <c r="D3766" s="2" t="s">
        <v>18</v>
      </c>
      <c r="E3766" s="3" t="s">
        <v>508</v>
      </c>
      <c r="F3766" s="3" t="s">
        <v>509</v>
      </c>
      <c r="G3766" s="3" t="s">
        <v>316</v>
      </c>
      <c r="H3766" s="2" t="s">
        <v>55</v>
      </c>
      <c r="I3766" s="2" t="s">
        <v>9478</v>
      </c>
      <c r="J3766" s="3" t="str">
        <f>HYPERLINK("https://www.boe.es/gazeta/dias/1809/06/21/pdfs/GMD-1809-172.pdf#page=4","Abrir facsímil")</f>
        <v>Abrir facsímil</v>
      </c>
      <c r="K3766" s="3" t="s">
        <v>57</v>
      </c>
    </row>
    <row r="3767" spans="1:11" ht="42" customHeight="1">
      <c r="A3767" s="2" t="s">
        <v>9433</v>
      </c>
      <c r="B3767" s="2" t="s">
        <v>9433</v>
      </c>
      <c r="C3767" s="2" t="s">
        <v>288</v>
      </c>
      <c r="D3767" s="2" t="s">
        <v>18</v>
      </c>
      <c r="E3767" s="3" t="s">
        <v>730</v>
      </c>
      <c r="F3767" s="3" t="s">
        <v>731</v>
      </c>
      <c r="G3767" s="3" t="s">
        <v>62</v>
      </c>
      <c r="H3767" s="2" t="s">
        <v>55</v>
      </c>
      <c r="I3767" s="2" t="s">
        <v>9479</v>
      </c>
      <c r="J3767" s="3" t="str">
        <f>HYPERLINK("https://www.boe.es/gazeta/dias/1809/06/23/pdfs/GMD-1809-174.pdf#page=2","Abrir facsímil")</f>
        <v>Abrir facsímil</v>
      </c>
      <c r="K3767" s="3" t="s">
        <v>57</v>
      </c>
    </row>
    <row r="3768" spans="1:11" ht="42" customHeight="1">
      <c r="A3768" s="2" t="s">
        <v>9433</v>
      </c>
      <c r="B3768" s="2" t="s">
        <v>9433</v>
      </c>
      <c r="C3768" s="2" t="s">
        <v>25</v>
      </c>
      <c r="D3768" s="2" t="s">
        <v>26</v>
      </c>
      <c r="E3768" s="3" t="s">
        <v>730</v>
      </c>
      <c r="F3768" s="3" t="s">
        <v>3423</v>
      </c>
      <c r="G3768" s="3" t="s">
        <v>918</v>
      </c>
      <c r="H3768" s="2" t="s">
        <v>55</v>
      </c>
      <c r="I3768" s="2" t="s">
        <v>9480</v>
      </c>
      <c r="J3768" s="3" t="str">
        <f>HYPERLINK("https://www.boe.es/gazeta/dias/1809/06/23/pdfs/GGB-1809-39.pdf#page=3","Abrir facsímil")</f>
        <v>Abrir facsímil</v>
      </c>
      <c r="K3768" s="3" t="s">
        <v>57</v>
      </c>
    </row>
    <row r="3769" spans="1:11" ht="42" customHeight="1">
      <c r="A3769" s="2" t="s">
        <v>9433</v>
      </c>
      <c r="B3769" s="2" t="s">
        <v>9433</v>
      </c>
      <c r="C3769" s="2" t="s">
        <v>25</v>
      </c>
      <c r="D3769" s="2" t="s">
        <v>26</v>
      </c>
      <c r="E3769" s="3" t="s">
        <v>730</v>
      </c>
      <c r="F3769" s="3" t="s">
        <v>3423</v>
      </c>
      <c r="G3769" s="3" t="s">
        <v>379</v>
      </c>
      <c r="H3769" s="2" t="s">
        <v>55</v>
      </c>
      <c r="I3769" s="2" t="s">
        <v>9481</v>
      </c>
      <c r="J3769" s="3" t="str">
        <f>HYPERLINK("https://www.boe.es/gazeta/dias/1809/06/23/pdfs/GGB-1809-39.pdf#page=4","Abrir facsímil")</f>
        <v>Abrir facsímil</v>
      </c>
      <c r="K3769" s="3" t="s">
        <v>57</v>
      </c>
    </row>
    <row r="3770" spans="1:11" ht="42" customHeight="1">
      <c r="A3770" s="2" t="s">
        <v>9433</v>
      </c>
      <c r="B3770" s="2" t="s">
        <v>9433</v>
      </c>
      <c r="C3770" s="2" t="s">
        <v>39</v>
      </c>
      <c r="D3770" s="2" t="s">
        <v>18</v>
      </c>
      <c r="E3770" s="3" t="s">
        <v>2742</v>
      </c>
      <c r="F3770" s="3" t="s">
        <v>2743</v>
      </c>
      <c r="G3770" s="3" t="s">
        <v>75</v>
      </c>
      <c r="H3770" s="2" t="s">
        <v>55</v>
      </c>
      <c r="I3770" s="2" t="s">
        <v>9482</v>
      </c>
      <c r="J3770" s="3" t="str">
        <f>HYPERLINK("https://www.boe.es/gazeta/dias/1809/06/24/pdfs/GMD-1809-175.pdf#page=4","Abrir facsímil")</f>
        <v>Abrir facsímil</v>
      </c>
      <c r="K3770" s="3" t="s">
        <v>57</v>
      </c>
    </row>
    <row r="3771" spans="1:11" ht="42" customHeight="1">
      <c r="A3771" s="2" t="s">
        <v>9433</v>
      </c>
      <c r="B3771" s="2" t="s">
        <v>9433</v>
      </c>
      <c r="C3771" s="2" t="s">
        <v>25</v>
      </c>
      <c r="D3771" s="2" t="s">
        <v>18</v>
      </c>
      <c r="E3771" s="3" t="s">
        <v>2888</v>
      </c>
      <c r="F3771" s="3" t="s">
        <v>2889</v>
      </c>
      <c r="G3771" s="3" t="s">
        <v>62</v>
      </c>
      <c r="H3771" s="2" t="s">
        <v>55</v>
      </c>
      <c r="I3771" s="2" t="s">
        <v>9483</v>
      </c>
      <c r="J3771" s="3" t="str">
        <f>HYPERLINK("https://www.boe.es/gazeta/dias/1809/06/25/pdfs/GMD-1809-176.pdf#page=2","Abrir facsímil")</f>
        <v>Abrir facsímil</v>
      </c>
      <c r="K3771" s="3" t="s">
        <v>57</v>
      </c>
    </row>
    <row r="3772" spans="1:11" ht="42" customHeight="1">
      <c r="A3772" s="2" t="s">
        <v>9433</v>
      </c>
      <c r="B3772" s="2" t="s">
        <v>9433</v>
      </c>
      <c r="C3772" s="2" t="s">
        <v>47</v>
      </c>
      <c r="D3772" s="2" t="s">
        <v>107</v>
      </c>
      <c r="E3772" s="3" t="s">
        <v>1489</v>
      </c>
      <c r="F3772" s="3" t="s">
        <v>1490</v>
      </c>
      <c r="G3772" s="3" t="s">
        <v>129</v>
      </c>
      <c r="H3772" s="2" t="s">
        <v>55</v>
      </c>
      <c r="I3772" s="2" t="s">
        <v>9484</v>
      </c>
      <c r="J3772" s="3" t="str">
        <f>HYPERLINK("https://www.boe.es/gazeta/dias/1809/06/28/pdfs/GMD-1809-179.pdf#page=2","Abrir facsímil")</f>
        <v>Abrir facsímil</v>
      </c>
      <c r="K3772" s="3" t="s">
        <v>57</v>
      </c>
    </row>
    <row r="3773" spans="1:11" ht="42" customHeight="1">
      <c r="A3773" s="2" t="s">
        <v>9433</v>
      </c>
      <c r="B3773" s="2" t="s">
        <v>9433</v>
      </c>
      <c r="C3773" s="2" t="s">
        <v>25</v>
      </c>
      <c r="D3773" s="2" t="s">
        <v>26</v>
      </c>
      <c r="E3773" s="3" t="s">
        <v>1126</v>
      </c>
      <c r="F3773" s="3" t="s">
        <v>1444</v>
      </c>
      <c r="G3773" s="3" t="s">
        <v>75</v>
      </c>
      <c r="H3773" s="2" t="s">
        <v>55</v>
      </c>
      <c r="I3773" s="2" t="s">
        <v>9485</v>
      </c>
      <c r="J3773" s="3" t="str">
        <f>HYPERLINK("https://www.boe.es/gazeta/dias/1809/06/30/pdfs/GGB-1809-41.pdf#page=6","Abrir facsímil")</f>
        <v>Abrir facsímil</v>
      </c>
      <c r="K3773" s="3" t="s">
        <v>57</v>
      </c>
    </row>
    <row r="3774" spans="1:11" ht="42" customHeight="1">
      <c r="A3774" s="2" t="s">
        <v>9433</v>
      </c>
      <c r="B3774" s="2" t="s">
        <v>9433</v>
      </c>
      <c r="C3774" s="2" t="s">
        <v>47</v>
      </c>
      <c r="D3774" s="2" t="s">
        <v>18</v>
      </c>
      <c r="E3774" s="3" t="s">
        <v>5009</v>
      </c>
      <c r="F3774" s="3" t="s">
        <v>5010</v>
      </c>
      <c r="G3774" s="3" t="s">
        <v>239</v>
      </c>
      <c r="H3774" s="2" t="s">
        <v>55</v>
      </c>
      <c r="I3774" s="2" t="s">
        <v>9486</v>
      </c>
      <c r="J3774" s="3" t="str">
        <f>HYPERLINK("https://www.boe.es/gazeta/dias/1809/07/02/pdfs/GMD-1809-183.pdf#page=2","Abrir facsímil")</f>
        <v>Abrir facsímil</v>
      </c>
      <c r="K3774" s="3" t="s">
        <v>57</v>
      </c>
    </row>
    <row r="3775" spans="1:11" ht="42" customHeight="1">
      <c r="A3775" s="2" t="s">
        <v>9433</v>
      </c>
      <c r="B3775" s="2" t="s">
        <v>9433</v>
      </c>
      <c r="C3775" s="2" t="s">
        <v>369</v>
      </c>
      <c r="D3775" s="2" t="s">
        <v>107</v>
      </c>
      <c r="E3775" s="3" t="s">
        <v>1560</v>
      </c>
      <c r="F3775" s="3" t="s">
        <v>1561</v>
      </c>
      <c r="G3775" s="3" t="s">
        <v>21</v>
      </c>
      <c r="H3775" s="2" t="s">
        <v>55</v>
      </c>
      <c r="I3775" s="2" t="s">
        <v>9487</v>
      </c>
      <c r="J3775" s="3" t="str">
        <f>HYPERLINK("https://www.boe.es/gazeta/dias/1809/07/03/pdfs/GMD-1809-184.pdf#page=2","Abrir facsímil")</f>
        <v>Abrir facsímil</v>
      </c>
      <c r="K3775" s="3" t="s">
        <v>57</v>
      </c>
    </row>
    <row r="3776" spans="1:11" ht="42" customHeight="1">
      <c r="A3776" s="2" t="s">
        <v>9433</v>
      </c>
      <c r="B3776" s="2" t="s">
        <v>9433</v>
      </c>
      <c r="C3776" s="2" t="s">
        <v>25</v>
      </c>
      <c r="D3776" s="2" t="s">
        <v>26</v>
      </c>
      <c r="E3776" s="3" t="s">
        <v>1560</v>
      </c>
      <c r="F3776" s="3" t="s">
        <v>1561</v>
      </c>
      <c r="G3776" s="3" t="s">
        <v>154</v>
      </c>
      <c r="H3776" s="2" t="s">
        <v>55</v>
      </c>
      <c r="I3776" s="2" t="s">
        <v>9488</v>
      </c>
      <c r="J3776" s="3" t="str">
        <f>HYPERLINK("https://www.boe.es/gazeta/dias/1809/07/03/pdfs/GMD-1809-184.pdf#page=3","Abrir facsímil")</f>
        <v>Abrir facsímil</v>
      </c>
      <c r="K3776" s="3" t="s">
        <v>57</v>
      </c>
    </row>
    <row r="3777" spans="1:11" ht="42" customHeight="1">
      <c r="A3777" s="2" t="s">
        <v>9433</v>
      </c>
      <c r="B3777" s="2" t="s">
        <v>9433</v>
      </c>
      <c r="C3777" s="2" t="s">
        <v>25</v>
      </c>
      <c r="D3777" s="2" t="s">
        <v>26</v>
      </c>
      <c r="E3777" s="3" t="s">
        <v>904</v>
      </c>
      <c r="F3777" s="3" t="s">
        <v>905</v>
      </c>
      <c r="G3777" s="3" t="s">
        <v>270</v>
      </c>
      <c r="H3777" s="2" t="s">
        <v>55</v>
      </c>
      <c r="I3777" s="2" t="s">
        <v>9489</v>
      </c>
      <c r="J3777" s="3" t="str">
        <f>HYPERLINK("https://www.boe.es/gazeta/dias/1809/07/07/pdfs/GGB-1809-43.pdf#page=2","Abrir facsímil")</f>
        <v>Abrir facsímil</v>
      </c>
      <c r="K3777" s="3" t="s">
        <v>57</v>
      </c>
    </row>
    <row r="3778" spans="1:11" ht="42" customHeight="1">
      <c r="A3778" s="2" t="s">
        <v>9433</v>
      </c>
      <c r="B3778" s="2" t="s">
        <v>9433</v>
      </c>
      <c r="C3778" s="2" t="s">
        <v>25</v>
      </c>
      <c r="D3778" s="2" t="s">
        <v>26</v>
      </c>
      <c r="E3778" s="3" t="s">
        <v>904</v>
      </c>
      <c r="F3778" s="3" t="s">
        <v>905</v>
      </c>
      <c r="G3778" s="3" t="s">
        <v>225</v>
      </c>
      <c r="H3778" s="2" t="s">
        <v>55</v>
      </c>
      <c r="I3778" s="2" t="s">
        <v>9490</v>
      </c>
      <c r="J3778" s="3" t="str">
        <f>HYPERLINK("https://www.boe.es/gazeta/dias/1809/07/07/pdfs/GGB-1809-43.pdf#page=4","Abrir facsímil")</f>
        <v>Abrir facsímil</v>
      </c>
      <c r="K3778" s="3" t="s">
        <v>57</v>
      </c>
    </row>
    <row r="3779" spans="1:11" ht="42" customHeight="1">
      <c r="A3779" s="2" t="s">
        <v>9433</v>
      </c>
      <c r="B3779" s="2" t="s">
        <v>9433</v>
      </c>
      <c r="C3779" s="2" t="s">
        <v>47</v>
      </c>
      <c r="D3779" s="2" t="s">
        <v>18</v>
      </c>
      <c r="E3779" s="3" t="s">
        <v>1856</v>
      </c>
      <c r="F3779" s="3" t="s">
        <v>1857</v>
      </c>
      <c r="G3779" s="3" t="s">
        <v>9491</v>
      </c>
      <c r="H3779" s="2" t="s">
        <v>55</v>
      </c>
      <c r="I3779" s="2" t="s">
        <v>9492</v>
      </c>
      <c r="J3779" s="3" t="str">
        <f>HYPERLINK("https://www.boe.es/gazeta/dias/1809/07/12/pdfs/GMD-1809-193.pdf#page=2","Abrir facsímil")</f>
        <v>Abrir facsímil</v>
      </c>
      <c r="K3779" s="3" t="s">
        <v>57</v>
      </c>
    </row>
    <row r="3780" spans="1:11" ht="42" customHeight="1">
      <c r="A3780" s="2" t="s">
        <v>9433</v>
      </c>
      <c r="B3780" s="2" t="s">
        <v>9433</v>
      </c>
      <c r="C3780" s="2" t="s">
        <v>47</v>
      </c>
      <c r="D3780" s="2" t="s">
        <v>107</v>
      </c>
      <c r="E3780" s="3" t="s">
        <v>9493</v>
      </c>
      <c r="F3780" s="3" t="s">
        <v>9494</v>
      </c>
      <c r="G3780" s="3" t="s">
        <v>651</v>
      </c>
      <c r="H3780" s="2" t="s">
        <v>55</v>
      </c>
      <c r="I3780" s="2" t="s">
        <v>9495</v>
      </c>
      <c r="J3780" s="3" t="str">
        <f>HYPERLINK("https://www.boe.es/gazeta/dias/1809/07/13/pdfs/GMD-1809-194.pdf#page=2","Abrir facsímil")</f>
        <v>Abrir facsímil</v>
      </c>
      <c r="K3780" s="3" t="s">
        <v>57</v>
      </c>
    </row>
    <row r="3781" spans="1:11" ht="42" customHeight="1">
      <c r="A3781" s="2" t="s">
        <v>9433</v>
      </c>
      <c r="B3781" s="2" t="s">
        <v>9433</v>
      </c>
      <c r="C3781" s="2" t="s">
        <v>47</v>
      </c>
      <c r="D3781" s="2" t="s">
        <v>18</v>
      </c>
      <c r="E3781" s="3" t="s">
        <v>2395</v>
      </c>
      <c r="F3781" s="3" t="s">
        <v>2396</v>
      </c>
      <c r="G3781" s="3" t="s">
        <v>2397</v>
      </c>
      <c r="H3781" s="2" t="s">
        <v>55</v>
      </c>
      <c r="I3781" s="2" t="s">
        <v>9496</v>
      </c>
      <c r="J3781" s="3" t="str">
        <f>HYPERLINK("https://www.boe.es/gazeta/dias/1809/07/14/pdfs/GMD-1809-195.pdf#page=2","Abrir facsímil")</f>
        <v>Abrir facsímil</v>
      </c>
      <c r="K3781" s="3" t="s">
        <v>57</v>
      </c>
    </row>
    <row r="3782" spans="1:11" ht="42" customHeight="1">
      <c r="A3782" s="2" t="s">
        <v>9433</v>
      </c>
      <c r="B3782" s="2" t="s">
        <v>9433</v>
      </c>
      <c r="C3782" s="2" t="s">
        <v>47</v>
      </c>
      <c r="D3782" s="2" t="s">
        <v>18</v>
      </c>
      <c r="E3782" s="3" t="s">
        <v>6238</v>
      </c>
      <c r="F3782" s="3" t="s">
        <v>6239</v>
      </c>
      <c r="G3782" s="3" t="s">
        <v>75</v>
      </c>
      <c r="H3782" s="2" t="s">
        <v>55</v>
      </c>
      <c r="I3782" s="2" t="s">
        <v>9497</v>
      </c>
      <c r="J3782" s="3" t="str">
        <f>HYPERLINK("https://www.boe.es/gazeta/dias/1809/07/17/pdfs/GMD-1809-198.pdf#page=2","Abrir facsímil")</f>
        <v>Abrir facsímil</v>
      </c>
      <c r="K3782" s="3" t="s">
        <v>57</v>
      </c>
    </row>
    <row r="3783" spans="1:11" ht="42" customHeight="1">
      <c r="A3783" s="2" t="s">
        <v>9433</v>
      </c>
      <c r="B3783" s="2" t="s">
        <v>9433</v>
      </c>
      <c r="C3783" s="2" t="s">
        <v>47</v>
      </c>
      <c r="D3783" s="2" t="s">
        <v>107</v>
      </c>
      <c r="E3783" s="3" t="s">
        <v>1652</v>
      </c>
      <c r="F3783" s="3" t="s">
        <v>5647</v>
      </c>
      <c r="G3783" s="3" t="s">
        <v>225</v>
      </c>
      <c r="H3783" s="2" t="s">
        <v>55</v>
      </c>
      <c r="I3783" s="2" t="s">
        <v>9498</v>
      </c>
      <c r="J3783" s="3" t="str">
        <f>HYPERLINK("https://www.boe.es/gazeta/dias/1809/07/25/pdfs/GMD-1809-206.pdf#page=4","Abrir facsímil")</f>
        <v>Abrir facsímil</v>
      </c>
      <c r="K3783" s="3" t="s">
        <v>57</v>
      </c>
    </row>
    <row r="3784" spans="1:11" ht="42" customHeight="1">
      <c r="A3784" s="2" t="s">
        <v>9433</v>
      </c>
      <c r="B3784" s="2" t="s">
        <v>9433</v>
      </c>
      <c r="C3784" s="2" t="s">
        <v>47</v>
      </c>
      <c r="D3784" s="2" t="s">
        <v>107</v>
      </c>
      <c r="E3784" s="3" t="s">
        <v>384</v>
      </c>
      <c r="F3784" s="3" t="s">
        <v>7409</v>
      </c>
      <c r="G3784" s="3" t="s">
        <v>7410</v>
      </c>
      <c r="H3784" s="2" t="s">
        <v>55</v>
      </c>
      <c r="I3784" s="2" t="s">
        <v>9499</v>
      </c>
      <c r="J3784" s="3" t="str">
        <f>HYPERLINK("https://www.boe.es/gazeta/dias/1809/07/27/pdfs/GMD-1809-209E.pdf#page=1","Abrir facsímil")</f>
        <v>Abrir facsímil</v>
      </c>
      <c r="K3784" s="3" t="s">
        <v>57</v>
      </c>
    </row>
    <row r="3785" spans="1:11" ht="42" customHeight="1">
      <c r="A3785" s="2" t="s">
        <v>9433</v>
      </c>
      <c r="B3785" s="2" t="s">
        <v>9433</v>
      </c>
      <c r="C3785" s="2" t="s">
        <v>25</v>
      </c>
      <c r="D3785" s="2" t="s">
        <v>26</v>
      </c>
      <c r="E3785" s="3" t="s">
        <v>3265</v>
      </c>
      <c r="F3785" s="3" t="s">
        <v>3266</v>
      </c>
      <c r="G3785" s="3" t="s">
        <v>129</v>
      </c>
      <c r="H3785" s="2" t="s">
        <v>55</v>
      </c>
      <c r="I3785" s="2" t="s">
        <v>9500</v>
      </c>
      <c r="J3785" s="3" t="str">
        <f>HYPERLINK("https://www.boe.es/gazeta/dias/1809/07/31/pdfs/GMD-1809-213.pdf#page=2","Abrir facsímil")</f>
        <v>Abrir facsímil</v>
      </c>
      <c r="K3785" s="3" t="s">
        <v>57</v>
      </c>
    </row>
    <row r="3786" spans="1:11" ht="42" customHeight="1">
      <c r="A3786" s="2" t="s">
        <v>9433</v>
      </c>
      <c r="B3786" s="2" t="s">
        <v>9433</v>
      </c>
      <c r="C3786" s="2" t="s">
        <v>25</v>
      </c>
      <c r="D3786" s="2" t="s">
        <v>26</v>
      </c>
      <c r="E3786" s="3" t="s">
        <v>1481</v>
      </c>
      <c r="F3786" s="3" t="s">
        <v>1482</v>
      </c>
      <c r="G3786" s="3" t="s">
        <v>75</v>
      </c>
      <c r="H3786" s="2" t="s">
        <v>55</v>
      </c>
      <c r="I3786" s="2" t="s">
        <v>9501</v>
      </c>
      <c r="J3786" s="3" t="str">
        <f>HYPERLINK("https://www.boe.es/gazeta/dias/1809/08/02/pdfs/GMD-1809-215.pdf#page=2","Abrir facsímil")</f>
        <v>Abrir facsímil</v>
      </c>
      <c r="K3786" s="3" t="s">
        <v>57</v>
      </c>
    </row>
    <row r="3787" spans="1:11" ht="42" customHeight="1">
      <c r="A3787" s="2" t="s">
        <v>9433</v>
      </c>
      <c r="B3787" s="2" t="s">
        <v>9433</v>
      </c>
      <c r="C3787" s="2" t="s">
        <v>39</v>
      </c>
      <c r="D3787" s="2" t="s">
        <v>107</v>
      </c>
      <c r="E3787" s="3" t="s">
        <v>1692</v>
      </c>
      <c r="F3787" s="3" t="s">
        <v>1693</v>
      </c>
      <c r="G3787" s="3" t="s">
        <v>7145</v>
      </c>
      <c r="H3787" s="2" t="s">
        <v>55</v>
      </c>
      <c r="I3787" s="2" t="s">
        <v>9502</v>
      </c>
      <c r="J3787" s="3" t="str">
        <f>HYPERLINK("https://www.boe.es/gazeta/dias/1809/08/06/pdfs/GMD-1809-219.pdf#page=1","Abrir facsímil")</f>
        <v>Abrir facsímil</v>
      </c>
      <c r="K3787" s="3" t="s">
        <v>57</v>
      </c>
    </row>
    <row r="3788" spans="1:11" ht="42" customHeight="1">
      <c r="A3788" s="2" t="s">
        <v>9433</v>
      </c>
      <c r="B3788" s="2" t="s">
        <v>9433</v>
      </c>
      <c r="C3788" s="2" t="s">
        <v>25</v>
      </c>
      <c r="D3788" s="2" t="s">
        <v>18</v>
      </c>
      <c r="E3788" s="3" t="s">
        <v>2002</v>
      </c>
      <c r="F3788" s="3" t="s">
        <v>2003</v>
      </c>
      <c r="G3788" s="3" t="s">
        <v>789</v>
      </c>
      <c r="H3788" s="2" t="s">
        <v>55</v>
      </c>
      <c r="I3788" s="2" t="s">
        <v>9503</v>
      </c>
      <c r="J3788" s="3" t="str">
        <f>HYPERLINK("https://www.boe.es/gazeta/dias/1809/08/07/pdfs/GMD-1809-220.pdf#page=2","Abrir facsímil")</f>
        <v>Abrir facsímil</v>
      </c>
      <c r="K3788" s="3" t="s">
        <v>57</v>
      </c>
    </row>
    <row r="3789" spans="1:11" ht="42" customHeight="1">
      <c r="A3789" s="2" t="s">
        <v>9433</v>
      </c>
      <c r="B3789" s="2" t="s">
        <v>9433</v>
      </c>
      <c r="C3789" s="2" t="s">
        <v>25</v>
      </c>
      <c r="D3789" s="2" t="s">
        <v>26</v>
      </c>
      <c r="E3789" s="3" t="s">
        <v>1865</v>
      </c>
      <c r="F3789" s="3" t="s">
        <v>1866</v>
      </c>
      <c r="G3789" s="3" t="s">
        <v>1516</v>
      </c>
      <c r="H3789" s="2" t="s">
        <v>55</v>
      </c>
      <c r="I3789" s="2" t="s">
        <v>9504</v>
      </c>
      <c r="J3789" s="3" t="str">
        <f>HYPERLINK("https://www.boe.es/gazeta/dias/1809/08/08/pdfs/GGB-1809-32.pdf#page=7","Abrir facsímil")</f>
        <v>Abrir facsímil</v>
      </c>
      <c r="K3789" s="3" t="s">
        <v>57</v>
      </c>
    </row>
    <row r="3790" spans="1:11" ht="42" customHeight="1">
      <c r="A3790" s="2" t="s">
        <v>9433</v>
      </c>
      <c r="B3790" s="2" t="s">
        <v>9433</v>
      </c>
      <c r="C3790" s="2" t="s">
        <v>25</v>
      </c>
      <c r="D3790" s="2" t="s">
        <v>26</v>
      </c>
      <c r="E3790" s="3" t="s">
        <v>660</v>
      </c>
      <c r="F3790" s="3" t="s">
        <v>661</v>
      </c>
      <c r="G3790" s="3" t="s">
        <v>3028</v>
      </c>
      <c r="H3790" s="2" t="s">
        <v>55</v>
      </c>
      <c r="I3790" s="2" t="s">
        <v>9505</v>
      </c>
      <c r="J3790" s="3" t="str">
        <f>HYPERLINK("https://www.boe.es/gazeta/dias/1809/08/11/pdfs/GMD-1809-224.pdf#page=1","Abrir facsímil")</f>
        <v>Abrir facsímil</v>
      </c>
      <c r="K3790" s="3" t="s">
        <v>57</v>
      </c>
    </row>
    <row r="3791" spans="1:11" ht="42" customHeight="1">
      <c r="A3791" s="2" t="s">
        <v>9433</v>
      </c>
      <c r="B3791" s="2" t="s">
        <v>9433</v>
      </c>
      <c r="C3791" s="2" t="s">
        <v>2176</v>
      </c>
      <c r="D3791" s="2" t="s">
        <v>18</v>
      </c>
      <c r="E3791" s="3" t="s">
        <v>3096</v>
      </c>
      <c r="F3791" s="3" t="s">
        <v>4183</v>
      </c>
      <c r="G3791" s="3" t="s">
        <v>4184</v>
      </c>
      <c r="H3791" s="2" t="s">
        <v>55</v>
      </c>
      <c r="I3791" s="2" t="s">
        <v>9506</v>
      </c>
      <c r="J3791" s="3" t="str">
        <f>HYPERLINK("https://www.boe.es/gazeta/dias/1809/08/14/pdfs/GMD-1809-227.pdf#page=2","Abrir facsímil")</f>
        <v>Abrir facsímil</v>
      </c>
      <c r="K3791" s="3" t="s">
        <v>57</v>
      </c>
    </row>
    <row r="3792" spans="1:11" ht="42" customHeight="1">
      <c r="A3792" s="2" t="s">
        <v>9433</v>
      </c>
      <c r="B3792" s="2" t="s">
        <v>9433</v>
      </c>
      <c r="C3792" s="2" t="s">
        <v>47</v>
      </c>
      <c r="D3792" s="2" t="s">
        <v>18</v>
      </c>
      <c r="E3792" s="3" t="s">
        <v>370</v>
      </c>
      <c r="F3792" s="3" t="s">
        <v>371</v>
      </c>
      <c r="G3792" s="3" t="s">
        <v>239</v>
      </c>
      <c r="H3792" s="2" t="s">
        <v>55</v>
      </c>
      <c r="I3792" s="2" t="s">
        <v>9507</v>
      </c>
      <c r="J3792" s="3" t="str">
        <f>HYPERLINK("https://www.boe.es/gazeta/dias/1809/08/20/pdfs/GMD-1809-233.pdf#page=1","Abrir facsímil")</f>
        <v>Abrir facsímil</v>
      </c>
      <c r="K3792" s="3" t="s">
        <v>57</v>
      </c>
    </row>
    <row r="3793" spans="1:11" ht="42" customHeight="1">
      <c r="A3793" s="2" t="s">
        <v>9433</v>
      </c>
      <c r="B3793" s="2" t="s">
        <v>9433</v>
      </c>
      <c r="C3793" s="2" t="s">
        <v>39</v>
      </c>
      <c r="D3793" s="2" t="s">
        <v>107</v>
      </c>
      <c r="E3793" s="3" t="s">
        <v>370</v>
      </c>
      <c r="F3793" s="3" t="s">
        <v>371</v>
      </c>
      <c r="G3793" s="3" t="s">
        <v>110</v>
      </c>
      <c r="H3793" s="2" t="s">
        <v>55</v>
      </c>
      <c r="I3793" s="2" t="s">
        <v>9508</v>
      </c>
      <c r="J3793" s="3" t="str">
        <f>HYPERLINK("https://www.boe.es/gazeta/dias/1809/08/20/pdfs/GMD-1809-233.pdf#page=4","Abrir facsímil")</f>
        <v>Abrir facsímil</v>
      </c>
      <c r="K3793" s="3" t="s">
        <v>57</v>
      </c>
    </row>
    <row r="3794" spans="1:11" ht="42" customHeight="1">
      <c r="A3794" s="2" t="s">
        <v>9433</v>
      </c>
      <c r="B3794" s="2" t="s">
        <v>9433</v>
      </c>
      <c r="C3794" s="2" t="s">
        <v>25</v>
      </c>
      <c r="D3794" s="2" t="s">
        <v>26</v>
      </c>
      <c r="E3794" s="3" t="s">
        <v>666</v>
      </c>
      <c r="F3794" s="3" t="s">
        <v>667</v>
      </c>
      <c r="G3794" s="3" t="s">
        <v>8826</v>
      </c>
      <c r="H3794" s="2" t="s">
        <v>55</v>
      </c>
      <c r="I3794" s="2" t="s">
        <v>9509</v>
      </c>
      <c r="J3794" s="3" t="str">
        <f>HYPERLINK("https://www.boe.es/gazeta/dias/1809/08/29/pdfs/GGB-1809-122.pdf#page=2","Abrir facsímil")</f>
        <v>Abrir facsímil</v>
      </c>
      <c r="K3794" s="3" t="s">
        <v>57</v>
      </c>
    </row>
    <row r="3795" spans="1:11" ht="42" customHeight="1">
      <c r="A3795" s="2" t="s">
        <v>9433</v>
      </c>
      <c r="B3795" s="2" t="s">
        <v>9433</v>
      </c>
      <c r="C3795" s="2" t="s">
        <v>25</v>
      </c>
      <c r="D3795" s="2" t="s">
        <v>26</v>
      </c>
      <c r="E3795" s="3" t="s">
        <v>6243</v>
      </c>
      <c r="F3795" s="3" t="s">
        <v>6244</v>
      </c>
      <c r="G3795" s="3" t="s">
        <v>5805</v>
      </c>
      <c r="H3795" s="2" t="s">
        <v>55</v>
      </c>
      <c r="I3795" s="2" t="s">
        <v>9510</v>
      </c>
      <c r="J3795" s="3" t="str">
        <f>HYPERLINK("https://www.boe.es/gazeta/dias/1809/08/30/pdfs/GMD-1809-243.pdf#page=1","Abrir facsímil")</f>
        <v>Abrir facsímil</v>
      </c>
      <c r="K3795" s="3" t="s">
        <v>57</v>
      </c>
    </row>
    <row r="3796" spans="1:11" ht="42" customHeight="1">
      <c r="A3796" s="2" t="s">
        <v>9433</v>
      </c>
      <c r="B3796" s="2" t="s">
        <v>9433</v>
      </c>
      <c r="C3796" s="2" t="s">
        <v>25</v>
      </c>
      <c r="D3796" s="2" t="s">
        <v>18</v>
      </c>
      <c r="E3796" s="3" t="s">
        <v>503</v>
      </c>
      <c r="F3796" s="3" t="s">
        <v>504</v>
      </c>
      <c r="G3796" s="3" t="s">
        <v>62</v>
      </c>
      <c r="H3796" s="2" t="s">
        <v>55</v>
      </c>
      <c r="I3796" s="2" t="s">
        <v>9511</v>
      </c>
      <c r="J3796" s="3" t="str">
        <f>HYPERLINK("https://www.boe.es/gazeta/dias/1809/09/01/pdfs/GMD-1809-245.pdf#page=1","Abrir facsímil")</f>
        <v>Abrir facsímil</v>
      </c>
      <c r="K3796" s="3" t="s">
        <v>57</v>
      </c>
    </row>
    <row r="3797" spans="1:11" ht="42" customHeight="1">
      <c r="A3797" s="2" t="s">
        <v>9433</v>
      </c>
      <c r="B3797" s="2" t="s">
        <v>9433</v>
      </c>
      <c r="C3797" s="2" t="s">
        <v>39</v>
      </c>
      <c r="D3797" s="2" t="s">
        <v>107</v>
      </c>
      <c r="E3797" s="3" t="s">
        <v>536</v>
      </c>
      <c r="F3797" s="3" t="s">
        <v>537</v>
      </c>
      <c r="G3797" s="3" t="s">
        <v>239</v>
      </c>
      <c r="H3797" s="2" t="s">
        <v>55</v>
      </c>
      <c r="I3797" s="2" t="s">
        <v>9512</v>
      </c>
      <c r="J3797" s="3" t="str">
        <f>HYPERLINK("https://www.boe.es/gazeta/dias/1809/09/03/pdfs/GMD-1809-247.pdf#page=1","Abrir facsímil")</f>
        <v>Abrir facsímil</v>
      </c>
      <c r="K3797" s="3" t="s">
        <v>57</v>
      </c>
    </row>
    <row r="3798" spans="1:11" ht="42" customHeight="1">
      <c r="A3798" s="2" t="s">
        <v>9433</v>
      </c>
      <c r="B3798" s="2" t="s">
        <v>9433</v>
      </c>
      <c r="C3798" s="2" t="s">
        <v>47</v>
      </c>
      <c r="D3798" s="2" t="s">
        <v>18</v>
      </c>
      <c r="E3798" s="3" t="s">
        <v>173</v>
      </c>
      <c r="F3798" s="3" t="s">
        <v>7739</v>
      </c>
      <c r="G3798" s="3" t="s">
        <v>1452</v>
      </c>
      <c r="H3798" s="2" t="s">
        <v>55</v>
      </c>
      <c r="I3798" s="2" t="s">
        <v>9513</v>
      </c>
      <c r="J3798" s="3" t="str">
        <f>HYPERLINK("https://www.boe.es/gazeta/dias/1809/09/12/pdfs/GMD-1809-256.pdf#page=1","Abrir facsímil")</f>
        <v>Abrir facsímil</v>
      </c>
      <c r="K3798" s="3" t="s">
        <v>57</v>
      </c>
    </row>
    <row r="3799" spans="1:11" ht="42" customHeight="1">
      <c r="A3799" s="2" t="s">
        <v>9433</v>
      </c>
      <c r="B3799" s="2" t="s">
        <v>9433</v>
      </c>
      <c r="C3799" s="2" t="s">
        <v>47</v>
      </c>
      <c r="D3799" s="2" t="s">
        <v>40</v>
      </c>
      <c r="E3799" s="3" t="s">
        <v>327</v>
      </c>
      <c r="F3799" s="3" t="s">
        <v>2138</v>
      </c>
      <c r="G3799" s="3" t="s">
        <v>260</v>
      </c>
      <c r="H3799" s="2" t="s">
        <v>55</v>
      </c>
      <c r="I3799" s="2" t="s">
        <v>9514</v>
      </c>
      <c r="J3799" s="3" t="str">
        <f>HYPERLINK("https://www.boe.es/gazeta/dias/1809/09/14/pdfs/GMD-1809-258.pdf#page=3","Abrir facsímil")</f>
        <v>Abrir facsímil</v>
      </c>
      <c r="K3799" s="3" t="s">
        <v>57</v>
      </c>
    </row>
    <row r="3800" spans="1:11" ht="42" customHeight="1">
      <c r="A3800" s="2" t="s">
        <v>9433</v>
      </c>
      <c r="B3800" s="2" t="s">
        <v>9433</v>
      </c>
      <c r="C3800" s="2" t="s">
        <v>47</v>
      </c>
      <c r="D3800" s="2" t="s">
        <v>107</v>
      </c>
      <c r="E3800" s="3" t="s">
        <v>207</v>
      </c>
      <c r="F3800" s="3" t="s">
        <v>208</v>
      </c>
      <c r="G3800" s="3" t="s">
        <v>641</v>
      </c>
      <c r="H3800" s="2" t="s">
        <v>55</v>
      </c>
      <c r="I3800" s="2" t="s">
        <v>9515</v>
      </c>
      <c r="J3800" s="3" t="str">
        <f>HYPERLINK("https://www.boe.es/gazeta/dias/1809/09/16/pdfs/GMD-1809-260.pdf#page=2","Abrir facsímil")</f>
        <v>Abrir facsímil</v>
      </c>
      <c r="K3800" s="3" t="s">
        <v>57</v>
      </c>
    </row>
    <row r="3801" spans="1:11" ht="42" customHeight="1">
      <c r="A3801" s="2" t="s">
        <v>9433</v>
      </c>
      <c r="B3801" s="2" t="s">
        <v>9433</v>
      </c>
      <c r="C3801" s="2" t="s">
        <v>131</v>
      </c>
      <c r="D3801" s="2" t="s">
        <v>18</v>
      </c>
      <c r="E3801" s="3" t="s">
        <v>1829</v>
      </c>
      <c r="F3801" s="3" t="s">
        <v>1830</v>
      </c>
      <c r="G3801" s="3" t="s">
        <v>129</v>
      </c>
      <c r="H3801" s="2" t="s">
        <v>55</v>
      </c>
      <c r="I3801" s="2" t="s">
        <v>9516</v>
      </c>
      <c r="J3801" s="3" t="str">
        <f>HYPERLINK("https://www.boe.es/gazeta/dias/1809/09/17/pdfs/GMD-1809-261.pdf#page=2","Abrir facsímil")</f>
        <v>Abrir facsímil</v>
      </c>
      <c r="K3801" s="3" t="s">
        <v>57</v>
      </c>
    </row>
    <row r="3802" spans="1:11" ht="42" customHeight="1">
      <c r="A3802" s="2" t="s">
        <v>9433</v>
      </c>
      <c r="B3802" s="2" t="s">
        <v>9433</v>
      </c>
      <c r="C3802" s="2" t="s">
        <v>25</v>
      </c>
      <c r="D3802" s="2" t="s">
        <v>18</v>
      </c>
      <c r="E3802" s="3" t="s">
        <v>6618</v>
      </c>
      <c r="F3802" s="3" t="s">
        <v>6619</v>
      </c>
      <c r="G3802" s="3" t="s">
        <v>687</v>
      </c>
      <c r="H3802" s="2" t="s">
        <v>55</v>
      </c>
      <c r="I3802" s="2" t="s">
        <v>9517</v>
      </c>
      <c r="J3802" s="3" t="str">
        <f>HYPERLINK("https://www.boe.es/gazeta/dias/1809/09/18/pdfs/GMD-1809-262.pdf#page=3","Abrir facsímil")</f>
        <v>Abrir facsímil</v>
      </c>
      <c r="K3802" s="3" t="s">
        <v>57</v>
      </c>
    </row>
    <row r="3803" spans="1:11" ht="42" customHeight="1">
      <c r="A3803" s="2" t="s">
        <v>9433</v>
      </c>
      <c r="B3803" s="2" t="s">
        <v>9433</v>
      </c>
      <c r="C3803" s="2" t="s">
        <v>47</v>
      </c>
      <c r="D3803" s="2" t="s">
        <v>18</v>
      </c>
      <c r="E3803" s="3" t="s">
        <v>969</v>
      </c>
      <c r="F3803" s="3" t="s">
        <v>6921</v>
      </c>
      <c r="G3803" s="3" t="s">
        <v>154</v>
      </c>
      <c r="H3803" s="2" t="s">
        <v>55</v>
      </c>
      <c r="I3803" s="2" t="s">
        <v>9518</v>
      </c>
      <c r="J3803" s="3" t="str">
        <f>HYPERLINK("https://www.boe.es/gazeta/dias/1809/09/19/pdfs/GMD-1809-263.pdf#page=2","Abrir facsímil")</f>
        <v>Abrir facsímil</v>
      </c>
      <c r="K3803" s="3" t="s">
        <v>57</v>
      </c>
    </row>
    <row r="3804" spans="1:11" ht="42" customHeight="1">
      <c r="A3804" s="2" t="s">
        <v>9433</v>
      </c>
      <c r="B3804" s="2" t="s">
        <v>9433</v>
      </c>
      <c r="C3804" s="2" t="s">
        <v>47</v>
      </c>
      <c r="D3804" s="2" t="s">
        <v>107</v>
      </c>
      <c r="E3804" s="3" t="s">
        <v>1206</v>
      </c>
      <c r="F3804" s="3" t="s">
        <v>1612</v>
      </c>
      <c r="G3804" s="3" t="s">
        <v>225</v>
      </c>
      <c r="H3804" s="2" t="s">
        <v>55</v>
      </c>
      <c r="I3804" s="2" t="s">
        <v>9519</v>
      </c>
      <c r="J3804" s="3" t="str">
        <f>HYPERLINK("https://www.boe.es/gazeta/dias/1809/09/23/pdfs/GMD-1809-267.pdf#page=4","Abrir facsímil")</f>
        <v>Abrir facsímil</v>
      </c>
      <c r="K3804" s="3" t="s">
        <v>57</v>
      </c>
    </row>
    <row r="3805" spans="1:11" ht="42" customHeight="1">
      <c r="A3805" s="2" t="s">
        <v>9433</v>
      </c>
      <c r="B3805" s="2" t="s">
        <v>9433</v>
      </c>
      <c r="C3805" s="2" t="s">
        <v>47</v>
      </c>
      <c r="D3805" s="2" t="s">
        <v>18</v>
      </c>
      <c r="E3805" s="3" t="s">
        <v>2805</v>
      </c>
      <c r="F3805" s="3" t="s">
        <v>2806</v>
      </c>
      <c r="G3805" s="3" t="s">
        <v>234</v>
      </c>
      <c r="H3805" s="2" t="s">
        <v>55</v>
      </c>
      <c r="I3805" s="2" t="s">
        <v>9520</v>
      </c>
      <c r="J3805" s="3" t="str">
        <f>HYPERLINK("https://www.boe.es/gazeta/dias/1809/09/24/pdfs/GMD-1809-268.pdf#page=1","Abrir facsímil")</f>
        <v>Abrir facsímil</v>
      </c>
      <c r="K3805" s="3" t="s">
        <v>57</v>
      </c>
    </row>
    <row r="3806" spans="1:11" ht="42" customHeight="1">
      <c r="A3806" s="2" t="s">
        <v>9433</v>
      </c>
      <c r="B3806" s="2" t="s">
        <v>9433</v>
      </c>
      <c r="C3806" s="2" t="s">
        <v>25</v>
      </c>
      <c r="D3806" s="2" t="s">
        <v>107</v>
      </c>
      <c r="E3806" s="3" t="s">
        <v>387</v>
      </c>
      <c r="F3806" s="3" t="s">
        <v>388</v>
      </c>
      <c r="G3806" s="3" t="s">
        <v>29</v>
      </c>
      <c r="H3806" s="2" t="s">
        <v>55</v>
      </c>
      <c r="I3806" s="2" t="s">
        <v>9521</v>
      </c>
      <c r="J3806" s="3" t="str">
        <f>HYPERLINK("https://www.boe.es/gazeta/dias/1809/09/26/pdfs/GMD-1809-270.pdf#page=3","Abrir facsímil")</f>
        <v>Abrir facsímil</v>
      </c>
      <c r="K3806" s="3" t="s">
        <v>57</v>
      </c>
    </row>
    <row r="3807" spans="1:11" ht="42" customHeight="1">
      <c r="A3807" s="2" t="s">
        <v>9433</v>
      </c>
      <c r="B3807" s="2" t="s">
        <v>9433</v>
      </c>
      <c r="C3807" s="2" t="s">
        <v>47</v>
      </c>
      <c r="D3807" s="2" t="s">
        <v>107</v>
      </c>
      <c r="E3807" s="3" t="s">
        <v>445</v>
      </c>
      <c r="F3807" s="3" t="s">
        <v>446</v>
      </c>
      <c r="G3807" s="3" t="s">
        <v>62</v>
      </c>
      <c r="H3807" s="2" t="s">
        <v>55</v>
      </c>
      <c r="I3807" s="2" t="s">
        <v>9522</v>
      </c>
      <c r="J3807" s="3" t="str">
        <f>HYPERLINK("https://www.boe.es/gazeta/dias/1809/10/01/pdfs/GMD-1809-275.pdf#page=2","Abrir facsímil")</f>
        <v>Abrir facsímil</v>
      </c>
      <c r="K3807" s="3" t="s">
        <v>57</v>
      </c>
    </row>
    <row r="3808" spans="1:11" ht="42" customHeight="1">
      <c r="A3808" s="2" t="s">
        <v>9433</v>
      </c>
      <c r="B3808" s="2" t="s">
        <v>9433</v>
      </c>
      <c r="C3808" s="2" t="s">
        <v>47</v>
      </c>
      <c r="D3808" s="2" t="s">
        <v>107</v>
      </c>
      <c r="E3808" s="3" t="s">
        <v>48</v>
      </c>
      <c r="F3808" s="3" t="s">
        <v>49</v>
      </c>
      <c r="G3808" s="3" t="s">
        <v>239</v>
      </c>
      <c r="H3808" s="2" t="s">
        <v>55</v>
      </c>
      <c r="I3808" s="2" t="s">
        <v>9523</v>
      </c>
      <c r="J3808" s="3" t="str">
        <f>HYPERLINK("https://www.boe.es/gazeta/dias/1809/10/03/pdfs/GMD-1809-277.pdf#page=1","Abrir facsímil")</f>
        <v>Abrir facsímil</v>
      </c>
      <c r="K3808" s="3" t="s">
        <v>57</v>
      </c>
    </row>
    <row r="3809" spans="1:11" ht="42" customHeight="1">
      <c r="A3809" s="2" t="s">
        <v>9433</v>
      </c>
      <c r="B3809" s="2" t="s">
        <v>9433</v>
      </c>
      <c r="C3809" s="2" t="s">
        <v>39</v>
      </c>
      <c r="D3809" s="2" t="s">
        <v>18</v>
      </c>
      <c r="E3809" s="3" t="s">
        <v>48</v>
      </c>
      <c r="F3809" s="3" t="s">
        <v>49</v>
      </c>
      <c r="G3809" s="3" t="s">
        <v>75</v>
      </c>
      <c r="H3809" s="2" t="s">
        <v>55</v>
      </c>
      <c r="I3809" s="2" t="s">
        <v>9524</v>
      </c>
      <c r="J3809" s="3" t="str">
        <f>HYPERLINK("https://www.boe.es/gazeta/dias/1809/10/03/pdfs/GMD-1809-277.pdf#page=2","Abrir facsímil")</f>
        <v>Abrir facsímil</v>
      </c>
      <c r="K3809" s="3" t="s">
        <v>57</v>
      </c>
    </row>
    <row r="3810" spans="1:11" ht="42" customHeight="1">
      <c r="A3810" s="2" t="s">
        <v>9433</v>
      </c>
      <c r="B3810" s="2" t="s">
        <v>9433</v>
      </c>
      <c r="C3810" s="2" t="s">
        <v>25</v>
      </c>
      <c r="D3810" s="2" t="s">
        <v>107</v>
      </c>
      <c r="E3810" s="3" t="s">
        <v>2808</v>
      </c>
      <c r="F3810" s="3" t="s">
        <v>2809</v>
      </c>
      <c r="G3810" s="3" t="s">
        <v>1424</v>
      </c>
      <c r="H3810" s="2" t="s">
        <v>55</v>
      </c>
      <c r="I3810" s="2" t="s">
        <v>9525</v>
      </c>
      <c r="J3810" s="3" t="str">
        <f>HYPERLINK("https://www.boe.es/gazeta/dias/1809/10/06/pdfs/GMD-1809-280.pdf#page=1","Abrir facsímil")</f>
        <v>Abrir facsímil</v>
      </c>
      <c r="K3810" s="3" t="s">
        <v>57</v>
      </c>
    </row>
    <row r="3811" spans="1:11" ht="42" customHeight="1">
      <c r="A3811" s="2" t="s">
        <v>9433</v>
      </c>
      <c r="B3811" s="2" t="s">
        <v>9433</v>
      </c>
      <c r="C3811" s="2" t="s">
        <v>47</v>
      </c>
      <c r="D3811" s="2" t="s">
        <v>40</v>
      </c>
      <c r="E3811" s="3" t="s">
        <v>649</v>
      </c>
      <c r="F3811" s="3" t="s">
        <v>650</v>
      </c>
      <c r="G3811" s="3" t="s">
        <v>9526</v>
      </c>
      <c r="H3811" s="2" t="s">
        <v>55</v>
      </c>
      <c r="I3811" s="2" t="s">
        <v>9527</v>
      </c>
      <c r="J3811" s="3" t="str">
        <f>HYPERLINK("https://www.boe.es/gazeta/dias/1809/10/08/pdfs/GMD-1809-282.pdf#page=1","Abrir facsímil")</f>
        <v>Abrir facsímil</v>
      </c>
      <c r="K3811" s="3" t="s">
        <v>57</v>
      </c>
    </row>
    <row r="3812" spans="1:11" ht="42" customHeight="1">
      <c r="A3812" s="2" t="s">
        <v>9433</v>
      </c>
      <c r="B3812" s="2" t="s">
        <v>9433</v>
      </c>
      <c r="C3812" s="2" t="s">
        <v>25</v>
      </c>
      <c r="D3812" s="2" t="s">
        <v>26</v>
      </c>
      <c r="E3812" s="3" t="s">
        <v>4858</v>
      </c>
      <c r="F3812" s="3" t="s">
        <v>4859</v>
      </c>
      <c r="G3812" s="3" t="s">
        <v>1680</v>
      </c>
      <c r="H3812" s="2" t="s">
        <v>55</v>
      </c>
      <c r="I3812" s="2" t="s">
        <v>9528</v>
      </c>
      <c r="J3812" s="3" t="str">
        <f>HYPERLINK("https://www.boe.es/gazeta/dias/1809/10/09/pdfs/GMD-1809-283.pdf#page=2","Abrir facsímil")</f>
        <v>Abrir facsímil</v>
      </c>
      <c r="K3812" s="3" t="s">
        <v>57</v>
      </c>
    </row>
    <row r="3813" spans="1:11" ht="42" customHeight="1">
      <c r="A3813" s="2" t="s">
        <v>9433</v>
      </c>
      <c r="B3813" s="2" t="s">
        <v>9433</v>
      </c>
      <c r="C3813" s="2" t="s">
        <v>25</v>
      </c>
      <c r="D3813" s="2" t="s">
        <v>26</v>
      </c>
      <c r="E3813" s="3" t="s">
        <v>4858</v>
      </c>
      <c r="F3813" s="3" t="s">
        <v>4859</v>
      </c>
      <c r="G3813" s="3" t="s">
        <v>7453</v>
      </c>
      <c r="H3813" s="2" t="s">
        <v>55</v>
      </c>
      <c r="I3813" s="2" t="s">
        <v>9529</v>
      </c>
      <c r="J3813" s="3" t="str">
        <f>HYPERLINK("https://www.boe.es/gazeta/dias/1809/10/09/pdfs/GMD-1809-283.pdf#page=4","Abrir facsímil")</f>
        <v>Abrir facsímil</v>
      </c>
      <c r="K3813" s="3" t="s">
        <v>57</v>
      </c>
    </row>
    <row r="3814" spans="1:11" ht="42" customHeight="1">
      <c r="A3814" s="2" t="s">
        <v>9433</v>
      </c>
      <c r="B3814" s="2" t="s">
        <v>9433</v>
      </c>
      <c r="C3814" s="2" t="s">
        <v>47</v>
      </c>
      <c r="D3814" s="2" t="s">
        <v>107</v>
      </c>
      <c r="E3814" s="3" t="s">
        <v>1803</v>
      </c>
      <c r="F3814" s="3" t="s">
        <v>1804</v>
      </c>
      <c r="G3814" s="3" t="s">
        <v>110</v>
      </c>
      <c r="H3814" s="2" t="s">
        <v>55</v>
      </c>
      <c r="I3814" s="2" t="s">
        <v>9530</v>
      </c>
      <c r="J3814" s="3" t="str">
        <f>HYPERLINK("https://www.boe.es/gazeta/dias/1809/10/12/pdfs/GMD-1809-286.pdf#page=2","Abrir facsímil")</f>
        <v>Abrir facsímil</v>
      </c>
      <c r="K3814" s="3" t="s">
        <v>57</v>
      </c>
    </row>
    <row r="3815" spans="1:11" ht="42" customHeight="1">
      <c r="A3815" s="2" t="s">
        <v>9433</v>
      </c>
      <c r="B3815" s="2" t="s">
        <v>9433</v>
      </c>
      <c r="C3815" s="2" t="s">
        <v>47</v>
      </c>
      <c r="D3815" s="2" t="s">
        <v>18</v>
      </c>
      <c r="E3815" s="3" t="s">
        <v>3308</v>
      </c>
      <c r="F3815" s="3" t="s">
        <v>3309</v>
      </c>
      <c r="G3815" s="3" t="s">
        <v>110</v>
      </c>
      <c r="H3815" s="2" t="s">
        <v>55</v>
      </c>
      <c r="I3815" s="2" t="s">
        <v>9531</v>
      </c>
      <c r="J3815" s="3" t="str">
        <f>HYPERLINK("https://www.boe.es/gazeta/dias/1809/10/16/pdfs/GMD-1809-290.pdf#page=2","Abrir facsímil")</f>
        <v>Abrir facsímil</v>
      </c>
      <c r="K3815" s="3" t="s">
        <v>57</v>
      </c>
    </row>
    <row r="3816" spans="1:11" ht="42" customHeight="1">
      <c r="A3816" s="2" t="s">
        <v>9433</v>
      </c>
      <c r="B3816" s="2" t="s">
        <v>9433</v>
      </c>
      <c r="C3816" s="2" t="s">
        <v>47</v>
      </c>
      <c r="D3816" s="2" t="s">
        <v>18</v>
      </c>
      <c r="E3816" s="3" t="s">
        <v>390</v>
      </c>
      <c r="F3816" s="3" t="s">
        <v>2858</v>
      </c>
      <c r="G3816" s="3" t="s">
        <v>379</v>
      </c>
      <c r="H3816" s="2" t="s">
        <v>55</v>
      </c>
      <c r="I3816" s="2" t="s">
        <v>9532</v>
      </c>
      <c r="J3816" s="3" t="str">
        <f>HYPERLINK("https://www.boe.es/gazeta/dias/1809/10/19/pdfs/GMD-1809-293.pdf#page=1","Abrir facsímil")</f>
        <v>Abrir facsímil</v>
      </c>
      <c r="K3816" s="3" t="s">
        <v>57</v>
      </c>
    </row>
    <row r="3817" spans="1:11" ht="42" customHeight="1">
      <c r="A3817" s="2" t="s">
        <v>9433</v>
      </c>
      <c r="B3817" s="2" t="s">
        <v>9433</v>
      </c>
      <c r="C3817" s="2" t="s">
        <v>25</v>
      </c>
      <c r="D3817" s="2" t="s">
        <v>26</v>
      </c>
      <c r="E3817" s="3" t="s">
        <v>487</v>
      </c>
      <c r="F3817" s="3" t="s">
        <v>5579</v>
      </c>
      <c r="G3817" s="3" t="s">
        <v>120</v>
      </c>
      <c r="H3817" s="2" t="s">
        <v>55</v>
      </c>
      <c r="I3817" s="2" t="s">
        <v>9533</v>
      </c>
      <c r="J3817" s="3" t="str">
        <f>HYPERLINK("https://www.boe.es/gazeta/dias/1809/10/21/pdfs/GMD-1809-295.pdf#page=1","Abrir facsímil")</f>
        <v>Abrir facsímil</v>
      </c>
      <c r="K3817" s="3" t="s">
        <v>57</v>
      </c>
    </row>
    <row r="3818" spans="1:11" ht="42" customHeight="1">
      <c r="A3818" s="2" t="s">
        <v>9433</v>
      </c>
      <c r="B3818" s="2" t="s">
        <v>9433</v>
      </c>
      <c r="C3818" s="2" t="s">
        <v>25</v>
      </c>
      <c r="D3818" s="2" t="s">
        <v>26</v>
      </c>
      <c r="E3818" s="3" t="s">
        <v>9534</v>
      </c>
      <c r="F3818" s="3" t="s">
        <v>9535</v>
      </c>
      <c r="G3818" s="3" t="s">
        <v>141</v>
      </c>
      <c r="H3818" s="2" t="s">
        <v>55</v>
      </c>
      <c r="I3818" s="2" t="s">
        <v>9536</v>
      </c>
      <c r="J3818" s="3" t="str">
        <f>HYPERLINK("https://www.boe.es/gazeta/dias/1809/10/30/pdfs/GMD-1809-304.pdf#page=2","Abrir facsímil")</f>
        <v>Abrir facsímil</v>
      </c>
      <c r="K3818" s="3" t="s">
        <v>57</v>
      </c>
    </row>
    <row r="3819" spans="1:11" ht="42" customHeight="1">
      <c r="A3819" s="2" t="s">
        <v>9433</v>
      </c>
      <c r="B3819" s="2" t="s">
        <v>9433</v>
      </c>
      <c r="C3819" s="2" t="s">
        <v>25</v>
      </c>
      <c r="D3819" s="2" t="s">
        <v>26</v>
      </c>
      <c r="E3819" s="3" t="s">
        <v>771</v>
      </c>
      <c r="F3819" s="3" t="s">
        <v>772</v>
      </c>
      <c r="G3819" s="3" t="s">
        <v>2739</v>
      </c>
      <c r="H3819" s="2" t="s">
        <v>55</v>
      </c>
      <c r="I3819" s="2" t="s">
        <v>9537</v>
      </c>
      <c r="J3819" s="3" t="str">
        <f>HYPERLINK("https://www.boe.es/gazeta/dias/1809/10/31/pdfs/GGB-1809-392.pdf#page=3","Abrir facsímil")</f>
        <v>Abrir facsímil</v>
      </c>
      <c r="K3819" s="3" t="s">
        <v>57</v>
      </c>
    </row>
    <row r="3820" spans="1:11" ht="42" customHeight="1">
      <c r="A3820" s="2" t="s">
        <v>9433</v>
      </c>
      <c r="B3820" s="2" t="s">
        <v>9433</v>
      </c>
      <c r="C3820" s="2" t="s">
        <v>25</v>
      </c>
      <c r="D3820" s="2" t="s">
        <v>26</v>
      </c>
      <c r="E3820" s="3" t="s">
        <v>8135</v>
      </c>
      <c r="F3820" s="3" t="s">
        <v>8136</v>
      </c>
      <c r="G3820" s="3" t="s">
        <v>255</v>
      </c>
      <c r="H3820" s="2" t="s">
        <v>55</v>
      </c>
      <c r="I3820" s="2" t="s">
        <v>9538</v>
      </c>
      <c r="J3820" s="3" t="str">
        <f>HYPERLINK("https://www.boe.es/gazeta/dias/1809/11/03/pdfs/GMD-1809-308.pdf#page=1","Abrir facsímil")</f>
        <v>Abrir facsímil</v>
      </c>
      <c r="K3820" s="3" t="s">
        <v>57</v>
      </c>
    </row>
    <row r="3821" spans="1:11" ht="42" customHeight="1">
      <c r="A3821" s="2" t="s">
        <v>9433</v>
      </c>
      <c r="B3821" s="2" t="s">
        <v>9433</v>
      </c>
      <c r="C3821" s="2" t="s">
        <v>47</v>
      </c>
      <c r="D3821" s="2" t="s">
        <v>107</v>
      </c>
      <c r="E3821" s="3" t="s">
        <v>1921</v>
      </c>
      <c r="F3821" s="3" t="s">
        <v>1922</v>
      </c>
      <c r="G3821" s="3" t="s">
        <v>1923</v>
      </c>
      <c r="H3821" s="2" t="s">
        <v>55</v>
      </c>
      <c r="I3821" s="2" t="s">
        <v>9539</v>
      </c>
      <c r="J3821" s="3" t="str">
        <f>HYPERLINK("https://www.boe.es/gazeta/dias/1809/11/05/pdfs/GMD-1809-310.pdf#page=1","Abrir facsímil")</f>
        <v>Abrir facsímil</v>
      </c>
      <c r="K3821" s="3" t="s">
        <v>57</v>
      </c>
    </row>
    <row r="3822" spans="1:11" ht="42" customHeight="1">
      <c r="A3822" s="2" t="s">
        <v>9433</v>
      </c>
      <c r="B3822" s="2" t="s">
        <v>9433</v>
      </c>
      <c r="C3822" s="2" t="s">
        <v>39</v>
      </c>
      <c r="D3822" s="2" t="s">
        <v>107</v>
      </c>
      <c r="E3822" s="3" t="s">
        <v>1496</v>
      </c>
      <c r="F3822" s="3" t="s">
        <v>1497</v>
      </c>
      <c r="G3822" s="3" t="s">
        <v>209</v>
      </c>
      <c r="H3822" s="2" t="s">
        <v>55</v>
      </c>
      <c r="I3822" s="2" t="s">
        <v>9540</v>
      </c>
      <c r="J3822" s="3" t="str">
        <f>HYPERLINK("https://www.boe.es/gazeta/dias/1809/11/06/pdfs/GMD-1809-311.pdf#page=2","Abrir facsímil")</f>
        <v>Abrir facsímil</v>
      </c>
      <c r="K3822" s="3" t="s">
        <v>57</v>
      </c>
    </row>
    <row r="3823" spans="1:11" ht="42" customHeight="1">
      <c r="A3823" s="2" t="s">
        <v>9433</v>
      </c>
      <c r="B3823" s="2" t="s">
        <v>9433</v>
      </c>
      <c r="C3823" s="2" t="s">
        <v>47</v>
      </c>
      <c r="D3823" s="2" t="s">
        <v>107</v>
      </c>
      <c r="E3823" s="3" t="s">
        <v>9541</v>
      </c>
      <c r="F3823" s="3" t="s">
        <v>9542</v>
      </c>
      <c r="G3823" s="3" t="s">
        <v>1702</v>
      </c>
      <c r="H3823" s="2" t="s">
        <v>55</v>
      </c>
      <c r="I3823" s="2" t="s">
        <v>9543</v>
      </c>
      <c r="J3823" s="3" t="str">
        <f>HYPERLINK("https://www.boe.es/gazeta/dias/1809/11/12/pdfs/GMD-1809-317.pdf#page=1","Abrir facsímil")</f>
        <v>Abrir facsímil</v>
      </c>
      <c r="K3823" s="3" t="s">
        <v>57</v>
      </c>
    </row>
    <row r="3824" spans="1:11" ht="42" customHeight="1">
      <c r="A3824" s="2" t="s">
        <v>9433</v>
      </c>
      <c r="B3824" s="2" t="s">
        <v>9433</v>
      </c>
      <c r="C3824" s="2" t="s">
        <v>47</v>
      </c>
      <c r="D3824" s="2" t="s">
        <v>18</v>
      </c>
      <c r="E3824" s="3" t="s">
        <v>143</v>
      </c>
      <c r="F3824" s="3" t="s">
        <v>144</v>
      </c>
      <c r="G3824" s="3" t="s">
        <v>9544</v>
      </c>
      <c r="H3824" s="2" t="s">
        <v>55</v>
      </c>
      <c r="I3824" s="2" t="s">
        <v>9545</v>
      </c>
      <c r="J3824" s="3" t="str">
        <f>HYPERLINK("https://www.boe.es/gazeta/dias/1809/11/16/pdfs/GGB-1809-462.pdf#page=4","Abrir facsímil")</f>
        <v>Abrir facsímil</v>
      </c>
      <c r="K3824" s="3" t="s">
        <v>57</v>
      </c>
    </row>
    <row r="3825" spans="1:11" ht="42" customHeight="1">
      <c r="A3825" s="2" t="s">
        <v>9433</v>
      </c>
      <c r="B3825" s="2" t="s">
        <v>9433</v>
      </c>
      <c r="C3825" s="2" t="s">
        <v>25</v>
      </c>
      <c r="D3825" s="2" t="s">
        <v>26</v>
      </c>
      <c r="E3825" s="3" t="s">
        <v>143</v>
      </c>
      <c r="F3825" s="3" t="s">
        <v>144</v>
      </c>
      <c r="G3825" s="3" t="s">
        <v>7555</v>
      </c>
      <c r="H3825" s="2" t="s">
        <v>55</v>
      </c>
      <c r="I3825" s="2" t="s">
        <v>9546</v>
      </c>
      <c r="J3825" s="3" t="str">
        <f>HYPERLINK("https://www.boe.es/gazeta/dias/1809/11/16/pdfs/GGB-1809-462.pdf#page=5","Abrir facsímil")</f>
        <v>Abrir facsímil</v>
      </c>
      <c r="K3825" s="3" t="s">
        <v>57</v>
      </c>
    </row>
    <row r="3826" spans="1:11" ht="42" customHeight="1">
      <c r="A3826" s="2" t="s">
        <v>9433</v>
      </c>
      <c r="B3826" s="2" t="s">
        <v>9433</v>
      </c>
      <c r="C3826" s="2" t="s">
        <v>79</v>
      </c>
      <c r="D3826" s="2" t="s">
        <v>18</v>
      </c>
      <c r="E3826" s="3" t="s">
        <v>2414</v>
      </c>
      <c r="F3826" s="3" t="s">
        <v>2415</v>
      </c>
      <c r="G3826" s="3" t="s">
        <v>110</v>
      </c>
      <c r="H3826" s="2" t="s">
        <v>55</v>
      </c>
      <c r="I3826" s="2" t="s">
        <v>9547</v>
      </c>
      <c r="J3826" s="3" t="str">
        <f>HYPERLINK("https://www.boe.es/gazeta/dias/1809/11/18/pdfs/GMD-1809-323.pdf#page=2","Abrir facsímil")</f>
        <v>Abrir facsímil</v>
      </c>
      <c r="K3826" s="3" t="s">
        <v>57</v>
      </c>
    </row>
    <row r="3827" spans="1:11" ht="42" customHeight="1">
      <c r="A3827" s="2" t="s">
        <v>9433</v>
      </c>
      <c r="B3827" s="2" t="s">
        <v>9433</v>
      </c>
      <c r="C3827" s="2" t="s">
        <v>47</v>
      </c>
      <c r="D3827" s="2" t="s">
        <v>40</v>
      </c>
      <c r="E3827" s="3" t="s">
        <v>2414</v>
      </c>
      <c r="F3827" s="3" t="s">
        <v>2415</v>
      </c>
      <c r="G3827" s="3" t="s">
        <v>154</v>
      </c>
      <c r="H3827" s="2" t="s">
        <v>55</v>
      </c>
      <c r="I3827" s="2" t="s">
        <v>9548</v>
      </c>
      <c r="J3827" s="3" t="str">
        <f>HYPERLINK("https://www.boe.es/gazeta/dias/1809/11/18/pdfs/GMD-1809-323.pdf#page=3","Abrir facsímil")</f>
        <v>Abrir facsímil</v>
      </c>
      <c r="K3827" s="3" t="s">
        <v>57</v>
      </c>
    </row>
    <row r="3828" spans="1:11" ht="42" customHeight="1">
      <c r="A3828" s="2" t="s">
        <v>9433</v>
      </c>
      <c r="B3828" s="2" t="s">
        <v>9433</v>
      </c>
      <c r="C3828" s="2" t="s">
        <v>288</v>
      </c>
      <c r="D3828" s="2" t="s">
        <v>18</v>
      </c>
      <c r="E3828" s="3" t="s">
        <v>263</v>
      </c>
      <c r="F3828" s="3" t="s">
        <v>1026</v>
      </c>
      <c r="G3828" s="3" t="s">
        <v>1027</v>
      </c>
      <c r="H3828" s="2" t="s">
        <v>55</v>
      </c>
      <c r="I3828" s="2" t="s">
        <v>9549</v>
      </c>
      <c r="J3828" s="3" t="str">
        <f>HYPERLINK("https://www.boe.es/gazeta/dias/1809/11/21/pdfs/GMD-1809-326.pdf#page=1","Abrir facsímil")</f>
        <v>Abrir facsímil</v>
      </c>
      <c r="K3828" s="3" t="s">
        <v>57</v>
      </c>
    </row>
    <row r="3829" spans="1:11" ht="42" customHeight="1">
      <c r="A3829" s="2" t="s">
        <v>9433</v>
      </c>
      <c r="B3829" s="2" t="s">
        <v>9433</v>
      </c>
      <c r="C3829" s="2" t="s">
        <v>47</v>
      </c>
      <c r="D3829" s="2" t="s">
        <v>18</v>
      </c>
      <c r="E3829" s="3" t="s">
        <v>9550</v>
      </c>
      <c r="F3829" s="3" t="s">
        <v>9551</v>
      </c>
      <c r="G3829" s="3" t="s">
        <v>582</v>
      </c>
      <c r="H3829" s="2" t="s">
        <v>55</v>
      </c>
      <c r="I3829" s="2" t="s">
        <v>9552</v>
      </c>
      <c r="J3829" s="3" t="str">
        <f>HYPERLINK("https://www.boe.es/gazeta/dias/1809/11/22/pdfs/GMD-1809-327.pdf#page=1","Abrir facsímil")</f>
        <v>Abrir facsímil</v>
      </c>
      <c r="K3829" s="3" t="s">
        <v>57</v>
      </c>
    </row>
    <row r="3830" spans="1:11" ht="42" customHeight="1">
      <c r="A3830" s="2" t="s">
        <v>9433</v>
      </c>
      <c r="B3830" s="2" t="s">
        <v>9433</v>
      </c>
      <c r="C3830" s="2" t="s">
        <v>47</v>
      </c>
      <c r="D3830" s="2" t="s">
        <v>18</v>
      </c>
      <c r="E3830" s="3" t="s">
        <v>2845</v>
      </c>
      <c r="F3830" s="3" t="s">
        <v>9553</v>
      </c>
      <c r="G3830" s="3" t="s">
        <v>29</v>
      </c>
      <c r="H3830" s="2" t="s">
        <v>55</v>
      </c>
      <c r="I3830" s="2" t="s">
        <v>9554</v>
      </c>
      <c r="J3830" s="3" t="str">
        <f>HYPERLINK("https://www.boe.es/gazeta/dias/1809/11/23/pdfs/GMD-1809-328.pdf#page=3","Abrir facsímil")</f>
        <v>Abrir facsímil</v>
      </c>
      <c r="K3830" s="3" t="s">
        <v>57</v>
      </c>
    </row>
    <row r="3831" spans="1:11" ht="42" customHeight="1">
      <c r="A3831" s="2" t="s">
        <v>9433</v>
      </c>
      <c r="B3831" s="2" t="s">
        <v>9433</v>
      </c>
      <c r="C3831" s="2" t="s">
        <v>47</v>
      </c>
      <c r="D3831" s="2" t="s">
        <v>107</v>
      </c>
      <c r="E3831" s="3" t="s">
        <v>609</v>
      </c>
      <c r="F3831" s="3" t="s">
        <v>3060</v>
      </c>
      <c r="G3831" s="3" t="s">
        <v>129</v>
      </c>
      <c r="H3831" s="2" t="s">
        <v>55</v>
      </c>
      <c r="I3831" s="2" t="s">
        <v>9555</v>
      </c>
      <c r="J3831" s="3" t="str">
        <f>HYPERLINK("https://www.boe.es/gazeta/dias/1809/11/25/pdfs/GMD-1809-330.pdf#page=2","Abrir facsímil")</f>
        <v>Abrir facsímil</v>
      </c>
      <c r="K3831" s="3" t="s">
        <v>57</v>
      </c>
    </row>
    <row r="3832" spans="1:11" ht="42" customHeight="1">
      <c r="A3832" s="2" t="s">
        <v>9433</v>
      </c>
      <c r="B3832" s="2" t="s">
        <v>9433</v>
      </c>
      <c r="C3832" s="2" t="s">
        <v>25</v>
      </c>
      <c r="D3832" s="2" t="s">
        <v>26</v>
      </c>
      <c r="E3832" s="3" t="s">
        <v>609</v>
      </c>
      <c r="F3832" s="3" t="s">
        <v>3060</v>
      </c>
      <c r="G3832" s="3" t="s">
        <v>29</v>
      </c>
      <c r="H3832" s="2" t="s">
        <v>55</v>
      </c>
      <c r="I3832" s="2" t="s">
        <v>9556</v>
      </c>
      <c r="J3832" s="3" t="str">
        <f>HYPERLINK("https://www.boe.es/gazeta/dias/1809/11/25/pdfs/GMD-1809-330.pdf#page=3","Abrir facsímil")</f>
        <v>Abrir facsímil</v>
      </c>
      <c r="K3832" s="3" t="s">
        <v>57</v>
      </c>
    </row>
    <row r="3833" spans="1:11" ht="42" customHeight="1">
      <c r="A3833" s="2" t="s">
        <v>9433</v>
      </c>
      <c r="B3833" s="2" t="s">
        <v>9433</v>
      </c>
      <c r="C3833" s="2" t="s">
        <v>25</v>
      </c>
      <c r="D3833" s="2" t="s">
        <v>26</v>
      </c>
      <c r="E3833" s="3" t="s">
        <v>609</v>
      </c>
      <c r="F3833" s="3" t="s">
        <v>3060</v>
      </c>
      <c r="G3833" s="3" t="s">
        <v>21</v>
      </c>
      <c r="H3833" s="2" t="s">
        <v>55</v>
      </c>
      <c r="I3833" s="2" t="s">
        <v>9557</v>
      </c>
      <c r="J3833" s="3" t="str">
        <f>HYPERLINK("https://www.boe.es/gazeta/dias/1809/11/25/pdfs/GMD-1809-330.pdf#page=4","Abrir facsímil")</f>
        <v>Abrir facsímil</v>
      </c>
      <c r="K3833" s="3" t="s">
        <v>57</v>
      </c>
    </row>
    <row r="3834" spans="1:11" ht="42" customHeight="1">
      <c r="A3834" s="2" t="s">
        <v>9433</v>
      </c>
      <c r="B3834" s="2" t="s">
        <v>9433</v>
      </c>
      <c r="C3834" s="2" t="s">
        <v>25</v>
      </c>
      <c r="D3834" s="2" t="s">
        <v>26</v>
      </c>
      <c r="E3834" s="3" t="s">
        <v>609</v>
      </c>
      <c r="F3834" s="3" t="s">
        <v>610</v>
      </c>
      <c r="G3834" s="3" t="s">
        <v>9558</v>
      </c>
      <c r="H3834" s="2" t="s">
        <v>55</v>
      </c>
      <c r="I3834" s="2" t="s">
        <v>9559</v>
      </c>
      <c r="J3834" s="3" t="str">
        <f>HYPERLINK("https://www.boe.es/gazeta/dias/1809/11/25/pdfs/GGB-1809-502.pdf#page=8","Abrir facsímil")</f>
        <v>Abrir facsímil</v>
      </c>
      <c r="K3834" s="3" t="s">
        <v>57</v>
      </c>
    </row>
    <row r="3835" spans="1:11" ht="42" customHeight="1">
      <c r="A3835" s="2" t="s">
        <v>9433</v>
      </c>
      <c r="B3835" s="2" t="s">
        <v>9433</v>
      </c>
      <c r="C3835" s="2" t="s">
        <v>47</v>
      </c>
      <c r="D3835" s="2" t="s">
        <v>40</v>
      </c>
      <c r="E3835" s="3" t="s">
        <v>2512</v>
      </c>
      <c r="F3835" s="3" t="s">
        <v>2513</v>
      </c>
      <c r="G3835" s="3" t="s">
        <v>110</v>
      </c>
      <c r="H3835" s="2" t="s">
        <v>55</v>
      </c>
      <c r="I3835" s="2" t="s">
        <v>9560</v>
      </c>
      <c r="J3835" s="3" t="str">
        <f>HYPERLINK("https://www.boe.es/gazeta/dias/1809/11/27/pdfs/GMD-1809-332.pdf#page=3","Abrir facsímil")</f>
        <v>Abrir facsímil</v>
      </c>
      <c r="K3835" s="3" t="s">
        <v>57</v>
      </c>
    </row>
    <row r="3836" spans="1:11" ht="42" customHeight="1">
      <c r="A3836" s="2" t="s">
        <v>9433</v>
      </c>
      <c r="B3836" s="2" t="s">
        <v>9433</v>
      </c>
      <c r="C3836" s="2" t="s">
        <v>47</v>
      </c>
      <c r="D3836" s="2" t="s">
        <v>107</v>
      </c>
      <c r="E3836" s="3" t="s">
        <v>2512</v>
      </c>
      <c r="F3836" s="3" t="s">
        <v>2513</v>
      </c>
      <c r="G3836" s="3" t="s">
        <v>225</v>
      </c>
      <c r="H3836" s="2" t="s">
        <v>55</v>
      </c>
      <c r="I3836" s="2" t="s">
        <v>9561</v>
      </c>
      <c r="J3836" s="3" t="str">
        <f>HYPERLINK("https://www.boe.es/gazeta/dias/1809/11/27/pdfs/GMD-1809-332.pdf#page=4","Abrir facsímil")</f>
        <v>Abrir facsímil</v>
      </c>
      <c r="K3836" s="3" t="s">
        <v>57</v>
      </c>
    </row>
    <row r="3837" spans="1:11" ht="42" customHeight="1">
      <c r="A3837" s="2" t="s">
        <v>9433</v>
      </c>
      <c r="B3837" s="2" t="s">
        <v>9433</v>
      </c>
      <c r="C3837" s="2" t="s">
        <v>47</v>
      </c>
      <c r="D3837" s="2" t="s">
        <v>18</v>
      </c>
      <c r="E3837" s="3" t="s">
        <v>1396</v>
      </c>
      <c r="F3837" s="3" t="s">
        <v>2912</v>
      </c>
      <c r="G3837" s="3" t="s">
        <v>234</v>
      </c>
      <c r="H3837" s="2" t="s">
        <v>55</v>
      </c>
      <c r="I3837" s="2" t="s">
        <v>9562</v>
      </c>
      <c r="J3837" s="3" t="str">
        <f>HYPERLINK("https://www.boe.es/gazeta/dias/1809/11/28/pdfs/GMD-1809-333.pdf#page=4","Abrir facsímil")</f>
        <v>Abrir facsímil</v>
      </c>
      <c r="K3837" s="3" t="s">
        <v>57</v>
      </c>
    </row>
    <row r="3838" spans="1:11" ht="42" customHeight="1">
      <c r="A3838" s="2" t="s">
        <v>9433</v>
      </c>
      <c r="B3838" s="2" t="s">
        <v>9433</v>
      </c>
      <c r="C3838" s="2" t="s">
        <v>47</v>
      </c>
      <c r="D3838" s="2" t="s">
        <v>18</v>
      </c>
      <c r="E3838" s="3" t="s">
        <v>1233</v>
      </c>
      <c r="F3838" s="3" t="s">
        <v>1234</v>
      </c>
      <c r="G3838" s="3" t="s">
        <v>7648</v>
      </c>
      <c r="H3838" s="2" t="s">
        <v>55</v>
      </c>
      <c r="I3838" s="2" t="s">
        <v>9563</v>
      </c>
      <c r="J3838" s="3" t="str">
        <f>HYPERLINK("https://www.boe.es/gazeta/dias/1809/12/01/pdfs/GMD-1809-336.pdf#page=2","Abrir facsímil")</f>
        <v>Abrir facsímil</v>
      </c>
      <c r="K3838" s="3" t="s">
        <v>57</v>
      </c>
    </row>
    <row r="3839" spans="1:11" ht="42" customHeight="1">
      <c r="A3839" s="2" t="s">
        <v>9433</v>
      </c>
      <c r="B3839" s="2" t="s">
        <v>9433</v>
      </c>
      <c r="C3839" s="2" t="s">
        <v>47</v>
      </c>
      <c r="D3839" s="2" t="s">
        <v>18</v>
      </c>
      <c r="E3839" s="3" t="s">
        <v>5017</v>
      </c>
      <c r="F3839" s="3" t="s">
        <v>5018</v>
      </c>
      <c r="G3839" s="3" t="s">
        <v>5019</v>
      </c>
      <c r="H3839" s="2" t="s">
        <v>55</v>
      </c>
      <c r="I3839" s="2" t="s">
        <v>9564</v>
      </c>
      <c r="J3839" s="3" t="str">
        <f>HYPERLINK("https://www.boe.es/gazeta/dias/1809/12/03/pdfs/GMD-1809-338.pdf#page=1","Abrir facsímil")</f>
        <v>Abrir facsímil</v>
      </c>
      <c r="K3839" s="3" t="s">
        <v>57</v>
      </c>
    </row>
    <row r="3840" spans="1:11" ht="42" customHeight="1">
      <c r="A3840" s="2" t="s">
        <v>9433</v>
      </c>
      <c r="B3840" s="2" t="s">
        <v>9433</v>
      </c>
      <c r="C3840" s="2" t="s">
        <v>47</v>
      </c>
      <c r="D3840" s="2" t="s">
        <v>107</v>
      </c>
      <c r="E3840" s="3" t="s">
        <v>1773</v>
      </c>
      <c r="F3840" s="3" t="s">
        <v>1774</v>
      </c>
      <c r="G3840" s="3" t="s">
        <v>525</v>
      </c>
      <c r="H3840" s="2" t="s">
        <v>55</v>
      </c>
      <c r="I3840" s="2" t="s">
        <v>9565</v>
      </c>
      <c r="J3840" s="3" t="str">
        <f>HYPERLINK("https://www.boe.es/gazeta/dias/1809/12/04/pdfs/GMD-1809-339.pdf#page=2","Abrir facsímil")</f>
        <v>Abrir facsímil</v>
      </c>
      <c r="K3840" s="3" t="s">
        <v>57</v>
      </c>
    </row>
    <row r="3841" spans="1:11" ht="42" customHeight="1">
      <c r="A3841" s="2" t="s">
        <v>9433</v>
      </c>
      <c r="B3841" s="2" t="s">
        <v>9433</v>
      </c>
      <c r="C3841" s="2" t="s">
        <v>47</v>
      </c>
      <c r="D3841" s="2" t="s">
        <v>18</v>
      </c>
      <c r="E3841" s="3" t="s">
        <v>6141</v>
      </c>
      <c r="F3841" s="3" t="s">
        <v>6142</v>
      </c>
      <c r="G3841" s="3" t="s">
        <v>29</v>
      </c>
      <c r="H3841" s="2" t="s">
        <v>55</v>
      </c>
      <c r="I3841" s="2" t="s">
        <v>9566</v>
      </c>
      <c r="J3841" s="3" t="str">
        <f>HYPERLINK("https://www.boe.es/gazeta/dias/1809/12/12/pdfs/GMD-1809-347.pdf#page=3","Abrir facsímil")</f>
        <v>Abrir facsímil</v>
      </c>
      <c r="K3841" s="3" t="s">
        <v>57</v>
      </c>
    </row>
    <row r="3842" spans="1:11" ht="42" customHeight="1">
      <c r="A3842" s="2" t="s">
        <v>9433</v>
      </c>
      <c r="B3842" s="2" t="s">
        <v>9433</v>
      </c>
      <c r="C3842" s="2" t="s">
        <v>25</v>
      </c>
      <c r="D3842" s="2" t="s">
        <v>26</v>
      </c>
      <c r="E3842" s="3" t="s">
        <v>394</v>
      </c>
      <c r="F3842" s="3" t="s">
        <v>395</v>
      </c>
      <c r="G3842" s="3" t="s">
        <v>595</v>
      </c>
      <c r="H3842" s="2" t="s">
        <v>55</v>
      </c>
      <c r="I3842" s="2" t="s">
        <v>9567</v>
      </c>
      <c r="J3842" s="3" t="str">
        <f>HYPERLINK("https://www.boe.es/gazeta/dias/1809/12/14/pdfs/GGB-H-1809-582.pdf#page=7","Abrir facsímil")</f>
        <v>Abrir facsímil</v>
      </c>
      <c r="K3842" s="3" t="s">
        <v>57</v>
      </c>
    </row>
    <row r="3843" spans="1:11" ht="42" customHeight="1">
      <c r="A3843" s="2" t="s">
        <v>9433</v>
      </c>
      <c r="B3843" s="2" t="s">
        <v>9433</v>
      </c>
      <c r="C3843" s="2" t="s">
        <v>47</v>
      </c>
      <c r="D3843" s="2" t="s">
        <v>107</v>
      </c>
      <c r="E3843" s="3" t="s">
        <v>394</v>
      </c>
      <c r="F3843" s="3" t="s">
        <v>395</v>
      </c>
      <c r="G3843" s="3" t="s">
        <v>3092</v>
      </c>
      <c r="H3843" s="2" t="s">
        <v>55</v>
      </c>
      <c r="I3843" s="2" t="s">
        <v>9568</v>
      </c>
      <c r="J3843" s="3" t="str">
        <f>HYPERLINK("https://www.boe.es/gazeta/dias/1809/12/14/pdfs/GGB-H-1809-582.pdf#page=8","Abrir facsímil")</f>
        <v>Abrir facsímil</v>
      </c>
      <c r="K3843" s="3" t="s">
        <v>57</v>
      </c>
    </row>
    <row r="3844" spans="1:11" ht="42" customHeight="1">
      <c r="A3844" s="2" t="s">
        <v>9433</v>
      </c>
      <c r="B3844" s="2" t="s">
        <v>9433</v>
      </c>
      <c r="C3844" s="2" t="s">
        <v>25</v>
      </c>
      <c r="D3844" s="2" t="s">
        <v>107</v>
      </c>
      <c r="E3844" s="3" t="s">
        <v>3431</v>
      </c>
      <c r="F3844" s="3" t="s">
        <v>3432</v>
      </c>
      <c r="G3844" s="3" t="s">
        <v>260</v>
      </c>
      <c r="H3844" s="2" t="s">
        <v>55</v>
      </c>
      <c r="I3844" s="2" t="s">
        <v>9569</v>
      </c>
      <c r="J3844" s="3" t="str">
        <f>HYPERLINK("https://www.boe.es/gazeta/dias/1809/12/18/pdfs/GMD-1809-353.pdf#page=1","Abrir facsímil")</f>
        <v>Abrir facsímil</v>
      </c>
      <c r="K3844" s="3" t="s">
        <v>57</v>
      </c>
    </row>
    <row r="3845" spans="1:11" ht="42" customHeight="1">
      <c r="A3845" s="2" t="s">
        <v>9433</v>
      </c>
      <c r="B3845" s="2" t="s">
        <v>9433</v>
      </c>
      <c r="C3845" s="2" t="s">
        <v>131</v>
      </c>
      <c r="D3845" s="2" t="s">
        <v>18</v>
      </c>
      <c r="E3845" s="3" t="s">
        <v>1213</v>
      </c>
      <c r="F3845" s="3" t="s">
        <v>1214</v>
      </c>
      <c r="G3845" s="3" t="s">
        <v>29</v>
      </c>
      <c r="H3845" s="2" t="s">
        <v>55</v>
      </c>
      <c r="I3845" s="2" t="s">
        <v>9570</v>
      </c>
      <c r="J3845" s="3" t="str">
        <f>HYPERLINK("https://www.boe.es/gazeta/dias/1809/12/20/pdfs/GMD-1809-355.pdf#page=3","Abrir facsímil")</f>
        <v>Abrir facsímil</v>
      </c>
      <c r="K3845" s="3" t="s">
        <v>57</v>
      </c>
    </row>
    <row r="3846" spans="1:11" ht="42" customHeight="1">
      <c r="A3846" s="2" t="s">
        <v>9433</v>
      </c>
      <c r="B3846" s="2" t="s">
        <v>9433</v>
      </c>
      <c r="C3846" s="2" t="s">
        <v>79</v>
      </c>
      <c r="D3846" s="2" t="s">
        <v>107</v>
      </c>
      <c r="E3846" s="3" t="s">
        <v>1300</v>
      </c>
      <c r="F3846" s="3" t="s">
        <v>1301</v>
      </c>
      <c r="G3846" s="3" t="s">
        <v>6113</v>
      </c>
      <c r="H3846" s="2" t="s">
        <v>55</v>
      </c>
      <c r="I3846" s="2" t="s">
        <v>9571</v>
      </c>
      <c r="J3846" s="3" t="str">
        <f>HYPERLINK("https://www.boe.es/gazeta/dias/1809/12/27/pdfs/GMD-1809-362.pdf#page=1","Abrir facsímil")</f>
        <v>Abrir facsímil</v>
      </c>
      <c r="K3846" s="3" t="s">
        <v>57</v>
      </c>
    </row>
    <row r="3847" spans="1:11" ht="42" customHeight="1">
      <c r="A3847" s="2" t="s">
        <v>9572</v>
      </c>
      <c r="B3847" s="2" t="s">
        <v>9572</v>
      </c>
      <c r="C3847" s="2" t="s">
        <v>25</v>
      </c>
      <c r="D3847" s="2" t="s">
        <v>26</v>
      </c>
      <c r="E3847" s="3" t="s">
        <v>1652</v>
      </c>
      <c r="F3847" s="3" t="s">
        <v>5647</v>
      </c>
      <c r="G3847" s="3" t="s">
        <v>29</v>
      </c>
      <c r="H3847" s="2" t="s">
        <v>55</v>
      </c>
      <c r="I3847" s="2" t="s">
        <v>9573</v>
      </c>
      <c r="J3847" s="3" t="str">
        <f>HYPERLINK("https://www.boe.es/gazeta/dias/1809/07/25/pdfs/GMD-1809-206.pdf#page=3","Abrir facsímil")</f>
        <v>Abrir facsímil</v>
      </c>
      <c r="K3847" s="3" t="s">
        <v>57</v>
      </c>
    </row>
    <row r="3848" spans="1:11" ht="42" customHeight="1">
      <c r="A3848" s="2" t="s">
        <v>9574</v>
      </c>
      <c r="B3848" s="2" t="s">
        <v>9575</v>
      </c>
      <c r="C3848" s="2" t="s">
        <v>25</v>
      </c>
      <c r="D3848" s="2" t="s">
        <v>26</v>
      </c>
      <c r="E3848" s="3" t="s">
        <v>102</v>
      </c>
      <c r="F3848" s="3" t="s">
        <v>1095</v>
      </c>
      <c r="G3848" s="3" t="s">
        <v>75</v>
      </c>
      <c r="H3848" s="2" t="s">
        <v>22</v>
      </c>
      <c r="I3848" s="2" t="s">
        <v>9576</v>
      </c>
      <c r="J3848" s="3" t="str">
        <f>HYPERLINK("https://www.boe.es/gazeta/dias/1809/09/28/pdfs/GMD-1809-272.pdf#page=2","Abrir facsímil")</f>
        <v>Abrir facsímil</v>
      </c>
      <c r="K3848" s="3" t="s">
        <v>24</v>
      </c>
    </row>
    <row r="3849" spans="1:11" ht="42" customHeight="1">
      <c r="A3849" s="2" t="s">
        <v>9577</v>
      </c>
      <c r="B3849" s="2" t="s">
        <v>9578</v>
      </c>
      <c r="C3849" s="2" t="s">
        <v>25</v>
      </c>
      <c r="D3849" s="2" t="s">
        <v>26</v>
      </c>
      <c r="E3849" s="3" t="s">
        <v>1865</v>
      </c>
      <c r="F3849" s="3" t="s">
        <v>1866</v>
      </c>
      <c r="G3849" s="3" t="s">
        <v>439</v>
      </c>
      <c r="H3849" s="2" t="s">
        <v>55</v>
      </c>
      <c r="I3849" s="2" t="s">
        <v>9579</v>
      </c>
      <c r="J3849" s="3" t="str">
        <f>HYPERLINK("https://www.boe.es/gazeta/dias/1809/08/08/pdfs/GGB-1809-32.pdf#page=5","Abrir facsímil")</f>
        <v>Abrir facsímil</v>
      </c>
      <c r="K3849" s="3" t="s">
        <v>57</v>
      </c>
    </row>
    <row r="3850" spans="1:11" ht="42" customHeight="1">
      <c r="A3850" s="2" t="s">
        <v>9577</v>
      </c>
      <c r="B3850" s="2" t="s">
        <v>9578</v>
      </c>
      <c r="C3850" s="2" t="s">
        <v>47</v>
      </c>
      <c r="D3850" s="2" t="s">
        <v>40</v>
      </c>
      <c r="E3850" s="3" t="s">
        <v>449</v>
      </c>
      <c r="F3850" s="3" t="s">
        <v>450</v>
      </c>
      <c r="G3850" s="3" t="s">
        <v>9580</v>
      </c>
      <c r="H3850" s="2" t="s">
        <v>55</v>
      </c>
      <c r="I3850" s="2" t="s">
        <v>9581</v>
      </c>
      <c r="J3850" s="3" t="str">
        <f>HYPERLINK("https://www.boe.es/gazeta/dias/1809/10/10/pdfs/GGB-1809-302.pdf#page=3","Abrir facsímil")</f>
        <v>Abrir facsímil</v>
      </c>
      <c r="K3850" s="3" t="s">
        <v>57</v>
      </c>
    </row>
    <row r="3851" spans="1:11" ht="42" customHeight="1">
      <c r="A3851" s="2" t="s">
        <v>9582</v>
      </c>
      <c r="B3851" s="2" t="s">
        <v>9583</v>
      </c>
      <c r="C3851" s="2" t="s">
        <v>47</v>
      </c>
      <c r="D3851" s="2" t="s">
        <v>18</v>
      </c>
      <c r="E3851" s="3" t="s">
        <v>4361</v>
      </c>
      <c r="F3851" s="3" t="s">
        <v>4362</v>
      </c>
      <c r="G3851" s="3" t="s">
        <v>75</v>
      </c>
      <c r="H3851" s="2" t="s">
        <v>55</v>
      </c>
      <c r="I3851" s="2" t="s">
        <v>9584</v>
      </c>
      <c r="J3851" s="3" t="str">
        <f>HYPERLINK("https://www.boe.es/gazeta/dias/1809/01/28/pdfs/GMD-1809-28.pdf#page=3","Abrir facsímil")</f>
        <v>Abrir facsímil</v>
      </c>
      <c r="K3851" s="3" t="s">
        <v>57</v>
      </c>
    </row>
    <row r="3852" spans="1:11" ht="42" customHeight="1">
      <c r="A3852" s="2" t="s">
        <v>9582</v>
      </c>
      <c r="B3852" s="2" t="s">
        <v>9583</v>
      </c>
      <c r="C3852" s="2" t="s">
        <v>369</v>
      </c>
      <c r="D3852" s="2" t="s">
        <v>18</v>
      </c>
      <c r="E3852" s="3" t="s">
        <v>2818</v>
      </c>
      <c r="F3852" s="3" t="s">
        <v>2819</v>
      </c>
      <c r="G3852" s="3" t="s">
        <v>120</v>
      </c>
      <c r="H3852" s="2" t="s">
        <v>55</v>
      </c>
      <c r="I3852" s="2" t="s">
        <v>9585</v>
      </c>
      <c r="J3852" s="3" t="str">
        <f>HYPERLINK("https://www.boe.es/gazeta/dias/1809/02/03/pdfs/GMD-1809-34.pdf#page=4","Abrir facsímil")</f>
        <v>Abrir facsímil</v>
      </c>
      <c r="K3852" s="3" t="s">
        <v>57</v>
      </c>
    </row>
    <row r="3853" spans="1:11" ht="42" customHeight="1">
      <c r="A3853" s="2" t="s">
        <v>9582</v>
      </c>
      <c r="B3853" s="2" t="s">
        <v>9583</v>
      </c>
      <c r="C3853" s="2" t="s">
        <v>17</v>
      </c>
      <c r="D3853" s="2" t="s">
        <v>18</v>
      </c>
      <c r="E3853" s="3" t="s">
        <v>60</v>
      </c>
      <c r="F3853" s="3" t="s">
        <v>61</v>
      </c>
      <c r="G3853" s="3" t="s">
        <v>29</v>
      </c>
      <c r="H3853" s="2" t="s">
        <v>55</v>
      </c>
      <c r="I3853" s="2" t="s">
        <v>9586</v>
      </c>
      <c r="J3853" s="3" t="str">
        <f>HYPERLINK("https://www.boe.es/gazeta/dias/1809/02/07/pdfs/GMD-1809-38.pdf#page=3","Abrir facsímil")</f>
        <v>Abrir facsímil</v>
      </c>
      <c r="K3853" s="3" t="s">
        <v>57</v>
      </c>
    </row>
    <row r="3854" spans="1:11" ht="42" customHeight="1">
      <c r="A3854" s="2" t="s">
        <v>9582</v>
      </c>
      <c r="B3854" s="2" t="s">
        <v>9583</v>
      </c>
      <c r="C3854" s="2" t="s">
        <v>25</v>
      </c>
      <c r="D3854" s="2" t="s">
        <v>18</v>
      </c>
      <c r="E3854" s="3" t="s">
        <v>243</v>
      </c>
      <c r="F3854" s="3" t="s">
        <v>352</v>
      </c>
      <c r="G3854" s="3" t="s">
        <v>353</v>
      </c>
      <c r="H3854" s="2" t="s">
        <v>55</v>
      </c>
      <c r="I3854" s="2" t="s">
        <v>9587</v>
      </c>
      <c r="J3854" s="3" t="str">
        <f>HYPERLINK("https://www.boe.es/gazeta/dias/1809/02/17/pdfs/GMD-1809-48.pdf#page=3","Abrir facsímil")</f>
        <v>Abrir facsímil</v>
      </c>
      <c r="K3854" s="3" t="s">
        <v>57</v>
      </c>
    </row>
    <row r="3855" spans="1:11" ht="42" customHeight="1">
      <c r="A3855" s="2" t="s">
        <v>9582</v>
      </c>
      <c r="B3855" s="2" t="s">
        <v>9583</v>
      </c>
      <c r="C3855" s="2" t="s">
        <v>369</v>
      </c>
      <c r="D3855" s="2" t="s">
        <v>18</v>
      </c>
      <c r="E3855" s="3" t="s">
        <v>243</v>
      </c>
      <c r="F3855" s="3" t="s">
        <v>352</v>
      </c>
      <c r="G3855" s="3" t="s">
        <v>75</v>
      </c>
      <c r="H3855" s="2" t="s">
        <v>55</v>
      </c>
      <c r="I3855" s="2" t="s">
        <v>9588</v>
      </c>
      <c r="J3855" s="3" t="str">
        <f>HYPERLINK("https://www.boe.es/gazeta/dias/1809/02/17/pdfs/GMD-1809-48.pdf#page=4","Abrir facsímil")</f>
        <v>Abrir facsímil</v>
      </c>
      <c r="K3855" s="3" t="s">
        <v>57</v>
      </c>
    </row>
    <row r="3856" spans="1:11" ht="42" customHeight="1">
      <c r="A3856" s="2" t="s">
        <v>9582</v>
      </c>
      <c r="B3856" s="2" t="s">
        <v>9583</v>
      </c>
      <c r="C3856" s="2" t="s">
        <v>131</v>
      </c>
      <c r="D3856" s="2" t="s">
        <v>80</v>
      </c>
      <c r="E3856" s="3" t="s">
        <v>3796</v>
      </c>
      <c r="F3856" s="3" t="s">
        <v>3797</v>
      </c>
      <c r="G3856" s="3" t="s">
        <v>225</v>
      </c>
      <c r="H3856" s="2" t="s">
        <v>55</v>
      </c>
      <c r="I3856" s="2" t="s">
        <v>9589</v>
      </c>
      <c r="J3856" s="3" t="str">
        <f>HYPERLINK("https://www.boe.es/gazeta/dias/1809/02/18/pdfs/GGB-1809-8E.pdf#page=4","Abrir facsímil")</f>
        <v>Abrir facsímil</v>
      </c>
      <c r="K3856" s="3" t="s">
        <v>57</v>
      </c>
    </row>
    <row r="3857" spans="1:11" ht="42" customHeight="1">
      <c r="A3857" s="2" t="s">
        <v>9582</v>
      </c>
      <c r="B3857" s="2" t="s">
        <v>9583</v>
      </c>
      <c r="C3857" s="2" t="s">
        <v>369</v>
      </c>
      <c r="D3857" s="2" t="s">
        <v>80</v>
      </c>
      <c r="E3857" s="3" t="s">
        <v>3796</v>
      </c>
      <c r="F3857" s="3" t="s">
        <v>3797</v>
      </c>
      <c r="G3857" s="3" t="s">
        <v>154</v>
      </c>
      <c r="H3857" s="2" t="s">
        <v>55</v>
      </c>
      <c r="I3857" s="2" t="s">
        <v>9590</v>
      </c>
      <c r="J3857" s="3" t="str">
        <f>HYPERLINK("https://www.boe.es/gazeta/dias/1809/02/18/pdfs/GGB-1809-8E.pdf#page=5","Abrir facsímil")</f>
        <v>Abrir facsímil</v>
      </c>
      <c r="K3857" s="3" t="s">
        <v>57</v>
      </c>
    </row>
    <row r="3858" spans="1:11" ht="42" customHeight="1">
      <c r="A3858" s="2" t="s">
        <v>9582</v>
      </c>
      <c r="B3858" s="2" t="s">
        <v>9583</v>
      </c>
      <c r="C3858" s="2" t="s">
        <v>131</v>
      </c>
      <c r="D3858" s="2" t="s">
        <v>80</v>
      </c>
      <c r="E3858" s="3" t="s">
        <v>3796</v>
      </c>
      <c r="F3858" s="3" t="s">
        <v>3797</v>
      </c>
      <c r="G3858" s="3" t="s">
        <v>623</v>
      </c>
      <c r="H3858" s="2" t="s">
        <v>55</v>
      </c>
      <c r="I3858" s="2" t="s">
        <v>9591</v>
      </c>
      <c r="J3858" s="3" t="str">
        <f>HYPERLINK("https://www.boe.es/gazeta/dias/1809/02/18/pdfs/GGB-1809-8E.pdf#page=6","Abrir facsímil")</f>
        <v>Abrir facsímil</v>
      </c>
      <c r="K3858" s="3" t="s">
        <v>57</v>
      </c>
    </row>
    <row r="3859" spans="1:11" ht="42" customHeight="1">
      <c r="A3859" s="2" t="s">
        <v>9582</v>
      </c>
      <c r="B3859" s="2" t="s">
        <v>9583</v>
      </c>
      <c r="C3859" s="2" t="s">
        <v>47</v>
      </c>
      <c r="D3859" s="2" t="s">
        <v>18</v>
      </c>
      <c r="E3859" s="3" t="s">
        <v>3521</v>
      </c>
      <c r="F3859" s="3" t="s">
        <v>7311</v>
      </c>
      <c r="G3859" s="3" t="s">
        <v>62</v>
      </c>
      <c r="H3859" s="2" t="s">
        <v>55</v>
      </c>
      <c r="I3859" s="2" t="s">
        <v>9592</v>
      </c>
      <c r="J3859" s="3" t="str">
        <f>HYPERLINK("https://www.boe.es/gazeta/dias/1809/02/24/pdfs/GMD-1809-55.pdf#page=4","Abrir facsímil")</f>
        <v>Abrir facsímil</v>
      </c>
      <c r="K3859" s="3" t="s">
        <v>57</v>
      </c>
    </row>
    <row r="3860" spans="1:11" ht="42" customHeight="1">
      <c r="A3860" s="2" t="s">
        <v>9582</v>
      </c>
      <c r="B3860" s="2" t="s">
        <v>9583</v>
      </c>
      <c r="C3860" s="2" t="s">
        <v>17</v>
      </c>
      <c r="D3860" s="2" t="s">
        <v>18</v>
      </c>
      <c r="E3860" s="3" t="s">
        <v>9593</v>
      </c>
      <c r="F3860" s="3" t="s">
        <v>9594</v>
      </c>
      <c r="G3860" s="3" t="s">
        <v>110</v>
      </c>
      <c r="H3860" s="2" t="s">
        <v>55</v>
      </c>
      <c r="I3860" s="2" t="s">
        <v>9595</v>
      </c>
      <c r="J3860" s="3" t="str">
        <f>HYPERLINK("https://www.boe.es/gazeta/dias/1809/03/18/pdfs/GMD-1809-77.pdf#page=4","Abrir facsímil")</f>
        <v>Abrir facsímil</v>
      </c>
      <c r="K3860" s="3" t="s">
        <v>57</v>
      </c>
    </row>
    <row r="3861" spans="1:11" ht="42" customHeight="1">
      <c r="A3861" s="2" t="s">
        <v>9582</v>
      </c>
      <c r="B3861" s="2" t="s">
        <v>9583</v>
      </c>
      <c r="C3861" s="2" t="s">
        <v>17</v>
      </c>
      <c r="D3861" s="2" t="s">
        <v>18</v>
      </c>
      <c r="E3861" s="3" t="s">
        <v>2331</v>
      </c>
      <c r="F3861" s="3" t="s">
        <v>2332</v>
      </c>
      <c r="G3861" s="3" t="s">
        <v>374</v>
      </c>
      <c r="H3861" s="2" t="s">
        <v>55</v>
      </c>
      <c r="I3861" s="2" t="s">
        <v>9596</v>
      </c>
      <c r="J3861" s="3" t="str">
        <f>HYPERLINK("https://www.boe.es/gazeta/dias/1809/03/22/pdfs/GMD-1809-81.pdf#page=4","Abrir facsímil")</f>
        <v>Abrir facsímil</v>
      </c>
      <c r="K3861" s="3" t="s">
        <v>57</v>
      </c>
    </row>
    <row r="3862" spans="1:11" ht="42" customHeight="1">
      <c r="A3862" s="2" t="s">
        <v>9597</v>
      </c>
      <c r="B3862" s="2" t="s">
        <v>9598</v>
      </c>
      <c r="C3862" s="2" t="s">
        <v>25</v>
      </c>
      <c r="D3862" s="2" t="s">
        <v>26</v>
      </c>
      <c r="E3862" s="3" t="s">
        <v>2038</v>
      </c>
      <c r="F3862" s="3" t="s">
        <v>2039</v>
      </c>
      <c r="G3862" s="3" t="s">
        <v>239</v>
      </c>
      <c r="H3862" s="2" t="s">
        <v>55</v>
      </c>
      <c r="I3862" s="2" t="s">
        <v>9599</v>
      </c>
      <c r="J3862" s="3" t="str">
        <f>HYPERLINK("https://www.boe.es/gazeta/dias/1809/05/07/pdfs/GMD-1809-127.pdf#page=4","Abrir facsímil")</f>
        <v>Abrir facsímil</v>
      </c>
      <c r="K3862" s="3" t="s">
        <v>57</v>
      </c>
    </row>
    <row r="3863" spans="1:11" ht="42" customHeight="1">
      <c r="A3863" s="2" t="s">
        <v>9582</v>
      </c>
      <c r="B3863" s="2" t="s">
        <v>9583</v>
      </c>
      <c r="C3863" s="2" t="s">
        <v>47</v>
      </c>
      <c r="D3863" s="2" t="s">
        <v>18</v>
      </c>
      <c r="E3863" s="3" t="s">
        <v>755</v>
      </c>
      <c r="F3863" s="3" t="s">
        <v>756</v>
      </c>
      <c r="G3863" s="3" t="s">
        <v>525</v>
      </c>
      <c r="H3863" s="2" t="s">
        <v>55</v>
      </c>
      <c r="I3863" s="2" t="s">
        <v>9600</v>
      </c>
      <c r="J3863" s="3" t="str">
        <f>HYPERLINK("https://www.boe.es/gazeta/dias/1809/05/20/pdfs/GMD-1809-140.pdf#page=4","Abrir facsímil")</f>
        <v>Abrir facsímil</v>
      </c>
      <c r="K3863" s="3" t="s">
        <v>57</v>
      </c>
    </row>
    <row r="3864" spans="1:11" ht="42" customHeight="1">
      <c r="A3864" s="2" t="s">
        <v>9582</v>
      </c>
      <c r="B3864" s="2" t="s">
        <v>9583</v>
      </c>
      <c r="C3864" s="2" t="s">
        <v>17</v>
      </c>
      <c r="D3864" s="2" t="s">
        <v>40</v>
      </c>
      <c r="E3864" s="3" t="s">
        <v>609</v>
      </c>
      <c r="F3864" s="3" t="s">
        <v>3060</v>
      </c>
      <c r="G3864" s="3" t="s">
        <v>29</v>
      </c>
      <c r="H3864" s="2" t="s">
        <v>55</v>
      </c>
      <c r="I3864" s="2" t="s">
        <v>9601</v>
      </c>
      <c r="J3864" s="3" t="str">
        <f>HYPERLINK("https://www.boe.es/gazeta/dias/1809/11/25/pdfs/GMD-1809-330.pdf#page=3","Abrir facsímil")</f>
        <v>Abrir facsímil</v>
      </c>
      <c r="K3864" s="3" t="s">
        <v>57</v>
      </c>
    </row>
    <row r="3865" spans="1:11" ht="42" customHeight="1">
      <c r="A3865" s="2" t="s">
        <v>9602</v>
      </c>
      <c r="B3865" s="2" t="s">
        <v>9603</v>
      </c>
      <c r="C3865" s="2" t="s">
        <v>17</v>
      </c>
      <c r="D3865" s="2" t="s">
        <v>18</v>
      </c>
      <c r="E3865" s="3" t="s">
        <v>418</v>
      </c>
      <c r="F3865" s="3" t="s">
        <v>419</v>
      </c>
      <c r="G3865" s="3" t="s">
        <v>914</v>
      </c>
      <c r="H3865" s="2" t="s">
        <v>55</v>
      </c>
      <c r="I3865" s="2" t="s">
        <v>9604</v>
      </c>
      <c r="J3865" s="3" t="str">
        <f>HYPERLINK("https://www.boe.es/gazeta/dias/1809/03/29/pdfs/GMD-1809-88.pdf#page=4","Abrir facsímil")</f>
        <v>Abrir facsímil</v>
      </c>
      <c r="K3865" s="3" t="s">
        <v>57</v>
      </c>
    </row>
    <row r="3866" spans="1:11" ht="42" customHeight="1">
      <c r="A3866" s="2" t="s">
        <v>9605</v>
      </c>
      <c r="B3866" s="2" t="s">
        <v>9606</v>
      </c>
      <c r="C3866" s="2" t="s">
        <v>47</v>
      </c>
      <c r="D3866" s="2" t="s">
        <v>107</v>
      </c>
      <c r="E3866" s="3" t="s">
        <v>1332</v>
      </c>
      <c r="F3866" s="3" t="s">
        <v>1333</v>
      </c>
      <c r="G3866" s="3" t="s">
        <v>6084</v>
      </c>
      <c r="H3866" s="2" t="s">
        <v>55</v>
      </c>
      <c r="I3866" s="2" t="s">
        <v>9607</v>
      </c>
      <c r="J3866" s="3" t="str">
        <f>HYPERLINK("https://www.boe.es/gazeta/dias/1809/05/09/pdfs/GMD-1809-129.pdf#page=3","Abrir facsímil")</f>
        <v>Abrir facsímil</v>
      </c>
      <c r="K3866" s="3" t="s">
        <v>57</v>
      </c>
    </row>
    <row r="3867" spans="1:11" ht="42" customHeight="1">
      <c r="A3867" s="2" t="s">
        <v>9608</v>
      </c>
      <c r="B3867" s="2" t="s">
        <v>9608</v>
      </c>
      <c r="C3867" s="2" t="s">
        <v>25</v>
      </c>
      <c r="D3867" s="2" t="s">
        <v>26</v>
      </c>
      <c r="E3867" s="3" t="s">
        <v>8557</v>
      </c>
      <c r="F3867" s="3" t="s">
        <v>8558</v>
      </c>
      <c r="G3867" s="3" t="s">
        <v>110</v>
      </c>
      <c r="H3867" s="2" t="s">
        <v>55</v>
      </c>
      <c r="I3867" s="2" t="s">
        <v>9609</v>
      </c>
      <c r="J3867" s="3" t="str">
        <f>HYPERLINK("https://www.boe.es/gazeta/dias/1809/08/09/pdfs/GMD-1809-222.pdf#page=2","Abrir facsímil")</f>
        <v>Abrir facsímil</v>
      </c>
      <c r="K3867" s="3" t="s">
        <v>57</v>
      </c>
    </row>
    <row r="3868" spans="1:11" ht="42" customHeight="1">
      <c r="A3868" s="2" t="s">
        <v>9610</v>
      </c>
      <c r="B3868" s="2" t="s">
        <v>9610</v>
      </c>
      <c r="C3868" s="2" t="s">
        <v>25</v>
      </c>
      <c r="D3868" s="2" t="s">
        <v>26</v>
      </c>
      <c r="E3868" s="3" t="s">
        <v>8557</v>
      </c>
      <c r="F3868" s="3" t="s">
        <v>8558</v>
      </c>
      <c r="G3868" s="3" t="s">
        <v>110</v>
      </c>
      <c r="H3868" s="2" t="s">
        <v>55</v>
      </c>
      <c r="I3868" s="2" t="s">
        <v>9611</v>
      </c>
      <c r="J3868" s="3" t="str">
        <f>HYPERLINK("https://www.boe.es/gazeta/dias/1809/08/09/pdfs/GMD-1809-222.pdf#page=2","Abrir facsímil")</f>
        <v>Abrir facsímil</v>
      </c>
      <c r="K3868" s="3" t="s">
        <v>57</v>
      </c>
    </row>
    <row r="3869" spans="1:11" ht="42" customHeight="1">
      <c r="A3869" s="2" t="s">
        <v>9612</v>
      </c>
      <c r="B3869" s="2" t="s">
        <v>9612</v>
      </c>
      <c r="C3869" s="2" t="s">
        <v>17</v>
      </c>
      <c r="D3869" s="2" t="s">
        <v>18</v>
      </c>
      <c r="E3869" s="3" t="s">
        <v>102</v>
      </c>
      <c r="F3869" s="3" t="s">
        <v>1095</v>
      </c>
      <c r="G3869" s="3" t="s">
        <v>29</v>
      </c>
      <c r="H3869" s="2" t="s">
        <v>55</v>
      </c>
      <c r="I3869" s="2" t="s">
        <v>9613</v>
      </c>
      <c r="J3869" s="3" t="str">
        <f>HYPERLINK("https://www.boe.es/gazeta/dias/1809/09/28/pdfs/GMD-1809-272.pdf#page=3","Abrir facsímil")</f>
        <v>Abrir facsímil</v>
      </c>
      <c r="K3869" s="3" t="s">
        <v>57</v>
      </c>
    </row>
    <row r="3870" spans="1:11" ht="42" customHeight="1">
      <c r="A3870" s="2" t="s">
        <v>9614</v>
      </c>
      <c r="B3870" s="2" t="s">
        <v>9614</v>
      </c>
      <c r="C3870" s="2" t="s">
        <v>25</v>
      </c>
      <c r="D3870" s="2" t="s">
        <v>26</v>
      </c>
      <c r="E3870" s="3" t="s">
        <v>2705</v>
      </c>
      <c r="F3870" s="3" t="s">
        <v>2706</v>
      </c>
      <c r="G3870" s="3" t="s">
        <v>2707</v>
      </c>
      <c r="H3870" s="2" t="s">
        <v>55</v>
      </c>
      <c r="I3870" s="2" t="s">
        <v>9615</v>
      </c>
      <c r="J3870" s="3" t="str">
        <f>HYPERLINK("https://www.boe.es/gazeta/dias/1809/08/05/pdfs/GMD-1809-218.pdf#page=1","Abrir facsímil")</f>
        <v>Abrir facsímil</v>
      </c>
      <c r="K3870" s="3" t="s">
        <v>57</v>
      </c>
    </row>
    <row r="3871" spans="1:11" ht="42" customHeight="1">
      <c r="A3871" s="2" t="s">
        <v>9616</v>
      </c>
      <c r="B3871" s="2" t="s">
        <v>9617</v>
      </c>
      <c r="C3871" s="2" t="s">
        <v>25</v>
      </c>
      <c r="D3871" s="2" t="s">
        <v>26</v>
      </c>
      <c r="E3871" s="3" t="s">
        <v>1237</v>
      </c>
      <c r="F3871" s="3" t="s">
        <v>1238</v>
      </c>
      <c r="G3871" s="3" t="s">
        <v>110</v>
      </c>
      <c r="H3871" s="2" t="s">
        <v>55</v>
      </c>
      <c r="I3871" s="2" t="s">
        <v>9618</v>
      </c>
      <c r="J3871" s="3" t="str">
        <f>HYPERLINK("https://www.boe.es/gazeta/dias/1809/12/26/pdfs/GGB-1809-632.pdf#page=4","Abrir facsímil")</f>
        <v>Abrir facsímil</v>
      </c>
      <c r="K3871" s="3" t="s">
        <v>57</v>
      </c>
    </row>
    <row r="3872" spans="1:11" ht="42" customHeight="1">
      <c r="A3872" s="2" t="s">
        <v>9619</v>
      </c>
      <c r="B3872" s="2" t="s">
        <v>9620</v>
      </c>
      <c r="C3872" s="2" t="s">
        <v>17</v>
      </c>
      <c r="D3872" s="2" t="s">
        <v>18</v>
      </c>
      <c r="E3872" s="3" t="s">
        <v>33</v>
      </c>
      <c r="F3872" s="3" t="s">
        <v>34</v>
      </c>
      <c r="G3872" s="3" t="s">
        <v>595</v>
      </c>
      <c r="H3872" s="2" t="s">
        <v>55</v>
      </c>
      <c r="I3872" s="2" t="s">
        <v>9621</v>
      </c>
      <c r="J3872" s="3" t="str">
        <f>HYPERLINK("https://www.boe.es/gazeta/dias/1809/12/19/pdfs/GGB-1809-602.pdf#page=7","Abrir facsímil")</f>
        <v>Abrir facsímil</v>
      </c>
      <c r="K3872" s="3" t="s">
        <v>57</v>
      </c>
    </row>
    <row r="3873" spans="1:11" ht="42" customHeight="1">
      <c r="A3873" s="2" t="s">
        <v>9622</v>
      </c>
      <c r="B3873" s="2" t="s">
        <v>9623</v>
      </c>
      <c r="C3873" s="2" t="s">
        <v>17</v>
      </c>
      <c r="D3873" s="2" t="s">
        <v>18</v>
      </c>
      <c r="E3873" s="3" t="s">
        <v>2976</v>
      </c>
      <c r="F3873" s="3" t="s">
        <v>2977</v>
      </c>
      <c r="G3873" s="3" t="s">
        <v>62</v>
      </c>
      <c r="H3873" s="2" t="s">
        <v>55</v>
      </c>
      <c r="I3873" s="2" t="s">
        <v>9624</v>
      </c>
      <c r="J3873" s="3" t="str">
        <f>HYPERLINK("https://www.boe.es/gazeta/dias/1809/05/05/pdfs/GGB-1809-24.pdf#page=7","Abrir facsímil")</f>
        <v>Abrir facsímil</v>
      </c>
      <c r="K3873" s="3" t="s">
        <v>57</v>
      </c>
    </row>
    <row r="3874" spans="1:11" ht="42" customHeight="1">
      <c r="A3874" s="2" t="s">
        <v>9625</v>
      </c>
      <c r="B3874" s="2" t="s">
        <v>9626</v>
      </c>
      <c r="C3874" s="2" t="s">
        <v>17</v>
      </c>
      <c r="D3874" s="2" t="s">
        <v>18</v>
      </c>
      <c r="E3874" s="3" t="s">
        <v>33</v>
      </c>
      <c r="F3874" s="3" t="s">
        <v>34</v>
      </c>
      <c r="G3874" s="3" t="s">
        <v>493</v>
      </c>
      <c r="H3874" s="2" t="s">
        <v>55</v>
      </c>
      <c r="I3874" s="2" t="s">
        <v>9627</v>
      </c>
      <c r="J3874" s="3" t="str">
        <f>HYPERLINK("https://www.boe.es/gazeta/dias/1809/12/19/pdfs/GGB-1809-602.pdf#page=6","Abrir facsímil")</f>
        <v>Abrir facsímil</v>
      </c>
      <c r="K3874" s="3" t="s">
        <v>57</v>
      </c>
    </row>
    <row r="3875" spans="1:11" ht="42" customHeight="1">
      <c r="A3875" s="2" t="s">
        <v>9628</v>
      </c>
      <c r="B3875" s="2" t="s">
        <v>9629</v>
      </c>
      <c r="C3875" s="2" t="s">
        <v>17</v>
      </c>
      <c r="D3875" s="2" t="s">
        <v>72</v>
      </c>
      <c r="E3875" s="3" t="s">
        <v>243</v>
      </c>
      <c r="F3875" s="3" t="s">
        <v>244</v>
      </c>
      <c r="G3875" s="3" t="s">
        <v>582</v>
      </c>
      <c r="H3875" s="2" t="s">
        <v>55</v>
      </c>
      <c r="I3875" s="2" t="s">
        <v>9630</v>
      </c>
      <c r="J3875" s="3" t="str">
        <f>HYPERLINK("https://www.boe.es/gazeta/dias/1809/02/17/pdfs/GGB-G-1809-8.pdf#page=7","Abrir facsímil")</f>
        <v>Abrir facsímil</v>
      </c>
      <c r="K3875" s="3" t="s">
        <v>57</v>
      </c>
    </row>
    <row r="3876" spans="1:11" ht="42" customHeight="1">
      <c r="A3876" s="2" t="s">
        <v>9628</v>
      </c>
      <c r="B3876" s="2" t="s">
        <v>9629</v>
      </c>
      <c r="C3876" s="2" t="s">
        <v>17</v>
      </c>
      <c r="D3876" s="2" t="s">
        <v>72</v>
      </c>
      <c r="E3876" s="3" t="s">
        <v>1206</v>
      </c>
      <c r="F3876" s="3" t="s">
        <v>1207</v>
      </c>
      <c r="G3876" s="3" t="s">
        <v>3149</v>
      </c>
      <c r="H3876" s="2" t="s">
        <v>55</v>
      </c>
      <c r="I3876" s="2" t="s">
        <v>9631</v>
      </c>
      <c r="J3876" s="3" t="str">
        <f>HYPERLINK("https://www.boe.es/gazeta/dias/1809/09/23/pdfs/GGB-H-1809-232.pdf#page=2","Abrir facsímil")</f>
        <v>Abrir facsímil</v>
      </c>
      <c r="K3876" s="3" t="s">
        <v>57</v>
      </c>
    </row>
    <row r="3877" spans="1:11" ht="42" customHeight="1">
      <c r="A3877" s="2" t="s">
        <v>9628</v>
      </c>
      <c r="B3877" s="2" t="s">
        <v>9629</v>
      </c>
      <c r="C3877" s="2" t="s">
        <v>17</v>
      </c>
      <c r="D3877" s="2" t="s">
        <v>72</v>
      </c>
      <c r="E3877" s="3" t="s">
        <v>1206</v>
      </c>
      <c r="F3877" s="3" t="s">
        <v>1207</v>
      </c>
      <c r="G3877" s="3" t="s">
        <v>110</v>
      </c>
      <c r="H3877" s="2" t="s">
        <v>55</v>
      </c>
      <c r="I3877" s="2" t="s">
        <v>9632</v>
      </c>
      <c r="J3877" s="3" t="str">
        <f>HYPERLINK("https://www.boe.es/gazeta/dias/1809/09/23/pdfs/GGB-H-1809-232.pdf#page=3","Abrir facsímil")</f>
        <v>Abrir facsímil</v>
      </c>
      <c r="K3877" s="3" t="s">
        <v>57</v>
      </c>
    </row>
    <row r="3878" spans="1:11" ht="42" customHeight="1">
      <c r="A3878" s="2" t="s">
        <v>9633</v>
      </c>
      <c r="B3878" s="2" t="s">
        <v>9634</v>
      </c>
      <c r="C3878" s="2" t="s">
        <v>17</v>
      </c>
      <c r="D3878" s="2" t="s">
        <v>18</v>
      </c>
      <c r="E3878" s="3" t="s">
        <v>102</v>
      </c>
      <c r="F3878" s="3" t="s">
        <v>103</v>
      </c>
      <c r="G3878" s="3" t="s">
        <v>1091</v>
      </c>
      <c r="H3878" s="2" t="s">
        <v>55</v>
      </c>
      <c r="I3878" s="2" t="s">
        <v>9635</v>
      </c>
      <c r="J3878" s="3" t="str">
        <f>HYPERLINK("https://www.boe.es/gazeta/dias/1809/09/28/pdfs/GGB-1809-252.pdf#page=6","Abrir facsímil")</f>
        <v>Abrir facsímil</v>
      </c>
      <c r="K3878" s="3" t="s">
        <v>57</v>
      </c>
    </row>
    <row r="3879" spans="1:11" ht="42" customHeight="1">
      <c r="A3879" s="2" t="s">
        <v>9636</v>
      </c>
      <c r="B3879" s="2" t="s">
        <v>9637</v>
      </c>
      <c r="C3879" s="2" t="s">
        <v>17</v>
      </c>
      <c r="D3879" s="2" t="s">
        <v>72</v>
      </c>
      <c r="E3879" s="3" t="s">
        <v>243</v>
      </c>
      <c r="F3879" s="3" t="s">
        <v>244</v>
      </c>
      <c r="G3879" s="3" t="s">
        <v>110</v>
      </c>
      <c r="H3879" s="2" t="s">
        <v>55</v>
      </c>
      <c r="I3879" s="2" t="s">
        <v>9638</v>
      </c>
      <c r="J3879" s="3" t="str">
        <f>HYPERLINK("https://www.boe.es/gazeta/dias/1809/02/17/pdfs/GGB-G-1809-8.pdf#page=6","Abrir facsímil")</f>
        <v>Abrir facsímil</v>
      </c>
      <c r="K3879" s="3" t="s">
        <v>57</v>
      </c>
    </row>
    <row r="3880" spans="1:11" ht="42" customHeight="1">
      <c r="A3880" s="2" t="s">
        <v>9639</v>
      </c>
      <c r="B3880" s="2" t="s">
        <v>9640</v>
      </c>
      <c r="C3880" s="2" t="s">
        <v>369</v>
      </c>
      <c r="D3880" s="2" t="s">
        <v>40</v>
      </c>
      <c r="E3880" s="3" t="s">
        <v>113</v>
      </c>
      <c r="F3880" s="3" t="s">
        <v>1982</v>
      </c>
      <c r="G3880" s="3" t="s">
        <v>260</v>
      </c>
      <c r="H3880" s="2" t="s">
        <v>55</v>
      </c>
      <c r="I3880" s="2" t="s">
        <v>9641</v>
      </c>
      <c r="J3880" s="3" t="str">
        <f>HYPERLINK("https://www.boe.es/gazeta/dias/1809/04/24/pdfs/GGB-1809-21.pdf#page=12","Abrir facsímil")</f>
        <v>Abrir facsímil</v>
      </c>
      <c r="K3880" s="3" t="s">
        <v>57</v>
      </c>
    </row>
    <row r="3881" spans="1:11" ht="42" customHeight="1">
      <c r="A3881" s="2" t="s">
        <v>9642</v>
      </c>
      <c r="B3881" s="2" t="s">
        <v>9643</v>
      </c>
      <c r="C3881" s="2" t="s">
        <v>17</v>
      </c>
      <c r="D3881" s="2" t="s">
        <v>40</v>
      </c>
      <c r="E3881" s="3" t="s">
        <v>394</v>
      </c>
      <c r="F3881" s="3" t="s">
        <v>1210</v>
      </c>
      <c r="G3881" s="3" t="s">
        <v>75</v>
      </c>
      <c r="H3881" s="2" t="s">
        <v>55</v>
      </c>
      <c r="I3881" s="2" t="s">
        <v>9644</v>
      </c>
      <c r="J3881" s="3" t="str">
        <f>HYPERLINK("https://www.boe.es/gazeta/dias/1809/12/14/pdfs/GGB-1809-582.pdf#page=2","Abrir facsímil")</f>
        <v>Abrir facsímil</v>
      </c>
      <c r="K3881" s="3" t="s">
        <v>57</v>
      </c>
    </row>
    <row r="3882" spans="1:11" ht="42" customHeight="1">
      <c r="A3882" s="2" t="s">
        <v>9645</v>
      </c>
      <c r="B3882" s="2" t="s">
        <v>9645</v>
      </c>
      <c r="C3882" s="2" t="s">
        <v>25</v>
      </c>
      <c r="D3882" s="2" t="s">
        <v>18</v>
      </c>
      <c r="E3882" s="3" t="s">
        <v>1678</v>
      </c>
      <c r="F3882" s="3" t="s">
        <v>1679</v>
      </c>
      <c r="G3882" s="3" t="s">
        <v>816</v>
      </c>
      <c r="H3882" s="2" t="s">
        <v>55</v>
      </c>
      <c r="I3882" s="2" t="s">
        <v>9646</v>
      </c>
      <c r="J3882" s="3" t="str">
        <f>HYPERLINK("https://www.boe.es/gazeta/dias/1809/05/29/pdfs/GGB-1809-32.pdf#page=3","Abrir facsímil")</f>
        <v>Abrir facsímil</v>
      </c>
      <c r="K3882" s="3" t="s">
        <v>57</v>
      </c>
    </row>
    <row r="3883" spans="1:11" ht="42" customHeight="1">
      <c r="A3883" s="2" t="s">
        <v>9647</v>
      </c>
      <c r="B3883" s="2" t="s">
        <v>9647</v>
      </c>
      <c r="C3883" s="2" t="s">
        <v>25</v>
      </c>
      <c r="D3883" s="2" t="s">
        <v>26</v>
      </c>
      <c r="E3883" s="3" t="s">
        <v>585</v>
      </c>
      <c r="F3883" s="3" t="s">
        <v>586</v>
      </c>
      <c r="G3883" s="3" t="s">
        <v>587</v>
      </c>
      <c r="H3883" s="2" t="s">
        <v>55</v>
      </c>
      <c r="I3883" s="2" t="s">
        <v>9648</v>
      </c>
      <c r="J3883" s="3" t="str">
        <f>HYPERLINK("https://www.boe.es/gazeta/dias/1809/01/09/pdfs/GMD-1809-9.pdf#page=3","Abrir facsímil")</f>
        <v>Abrir facsímil</v>
      </c>
      <c r="K3883" s="3" t="s">
        <v>57</v>
      </c>
    </row>
    <row r="3884" spans="1:11" ht="42" customHeight="1">
      <c r="A3884" s="2" t="s">
        <v>9647</v>
      </c>
      <c r="B3884" s="2" t="s">
        <v>9647</v>
      </c>
      <c r="C3884" s="2" t="s">
        <v>25</v>
      </c>
      <c r="D3884" s="2" t="s">
        <v>26</v>
      </c>
      <c r="E3884" s="3" t="s">
        <v>263</v>
      </c>
      <c r="F3884" s="3" t="s">
        <v>1026</v>
      </c>
      <c r="G3884" s="3" t="s">
        <v>525</v>
      </c>
      <c r="H3884" s="2" t="s">
        <v>55</v>
      </c>
      <c r="I3884" s="2" t="s">
        <v>9649</v>
      </c>
      <c r="J3884" s="3" t="str">
        <f>HYPERLINK("https://www.boe.es/gazeta/dias/1809/11/21/pdfs/GMD-1809-326.pdf#page=3","Abrir facsímil")</f>
        <v>Abrir facsímil</v>
      </c>
      <c r="K3884" s="3" t="s">
        <v>57</v>
      </c>
    </row>
    <row r="3885" spans="1:11" ht="42" customHeight="1">
      <c r="A3885" s="2" t="s">
        <v>9650</v>
      </c>
      <c r="B3885" s="2" t="s">
        <v>9650</v>
      </c>
      <c r="C3885" s="2" t="s">
        <v>25</v>
      </c>
      <c r="D3885" s="2" t="s">
        <v>26</v>
      </c>
      <c r="E3885" s="3" t="s">
        <v>1560</v>
      </c>
      <c r="F3885" s="3" t="s">
        <v>1561</v>
      </c>
      <c r="G3885" s="3" t="s">
        <v>9409</v>
      </c>
      <c r="H3885" s="2" t="s">
        <v>55</v>
      </c>
      <c r="I3885" s="2" t="s">
        <v>9651</v>
      </c>
      <c r="J3885" s="3" t="str">
        <f>HYPERLINK("https://www.boe.es/gazeta/dias/1809/07/03/pdfs/GMD-1809-184.pdf#page=4","Abrir facsímil")</f>
        <v>Abrir facsímil</v>
      </c>
      <c r="K3885" s="3" t="s">
        <v>57</v>
      </c>
    </row>
    <row r="3886" spans="1:11" ht="42" customHeight="1">
      <c r="A3886" s="2" t="s">
        <v>9652</v>
      </c>
      <c r="B3886" s="2" t="s">
        <v>9653</v>
      </c>
      <c r="C3886" s="2" t="s">
        <v>25</v>
      </c>
      <c r="D3886" s="2" t="s">
        <v>18</v>
      </c>
      <c r="E3886" s="3" t="s">
        <v>147</v>
      </c>
      <c r="F3886" s="3" t="s">
        <v>2411</v>
      </c>
      <c r="G3886" s="3" t="s">
        <v>270</v>
      </c>
      <c r="H3886" s="2" t="s">
        <v>55</v>
      </c>
      <c r="I3886" s="2" t="s">
        <v>9654</v>
      </c>
      <c r="J3886" s="3" t="str">
        <f>HYPERLINK("https://www.boe.es/gazeta/dias/1809/10/07/pdfs/GMD-1809-281.pdf#page=1","Abrir facsímil")</f>
        <v>Abrir facsímil</v>
      </c>
      <c r="K3886" s="3" t="s">
        <v>57</v>
      </c>
    </row>
    <row r="3887" spans="1:11" ht="42" customHeight="1">
      <c r="A3887" s="2" t="s">
        <v>9655</v>
      </c>
      <c r="B3887" s="2" t="s">
        <v>9656</v>
      </c>
      <c r="C3887" s="2" t="s">
        <v>17</v>
      </c>
      <c r="D3887" s="2" t="s">
        <v>18</v>
      </c>
      <c r="E3887" s="3" t="s">
        <v>1570</v>
      </c>
      <c r="F3887" s="3" t="s">
        <v>1571</v>
      </c>
      <c r="G3887" s="3" t="s">
        <v>914</v>
      </c>
      <c r="H3887" s="2" t="s">
        <v>55</v>
      </c>
      <c r="I3887" s="2" t="s">
        <v>9657</v>
      </c>
      <c r="J3887" s="3" t="str">
        <f>HYPERLINK("https://www.boe.es/gazeta/dias/1809/11/24/pdfs/GMD-1809-329.pdf#page=1","Abrir facsímil")</f>
        <v>Abrir facsímil</v>
      </c>
      <c r="K3887" s="3" t="s">
        <v>57</v>
      </c>
    </row>
    <row r="3888" spans="1:11" ht="42" customHeight="1">
      <c r="A3888" s="2" t="s">
        <v>9658</v>
      </c>
      <c r="B3888" s="2" t="s">
        <v>9658</v>
      </c>
      <c r="C3888" s="2" t="s">
        <v>25</v>
      </c>
      <c r="D3888" s="2" t="s">
        <v>26</v>
      </c>
      <c r="E3888" s="3" t="s">
        <v>933</v>
      </c>
      <c r="F3888" s="3" t="s">
        <v>1363</v>
      </c>
      <c r="G3888" s="3" t="s">
        <v>6480</v>
      </c>
      <c r="H3888" s="2" t="s">
        <v>55</v>
      </c>
      <c r="I3888" s="2" t="s">
        <v>9659</v>
      </c>
      <c r="J3888" s="3" t="str">
        <f>HYPERLINK("https://www.boe.es/gazeta/dias/1809/10/28/pdfs/GGB-1809-382.pdf#page=5","Abrir facsímil")</f>
        <v>Abrir facsímil</v>
      </c>
      <c r="K3888" s="3" t="s">
        <v>57</v>
      </c>
    </row>
    <row r="3889" spans="1:11" ht="42" customHeight="1">
      <c r="A3889" s="2" t="s">
        <v>9660</v>
      </c>
      <c r="B3889" s="2" t="s">
        <v>9660</v>
      </c>
      <c r="C3889" s="2" t="s">
        <v>25</v>
      </c>
      <c r="D3889" s="2" t="s">
        <v>26</v>
      </c>
      <c r="E3889" s="3" t="s">
        <v>92</v>
      </c>
      <c r="F3889" s="3" t="s">
        <v>1383</v>
      </c>
      <c r="G3889" s="3" t="s">
        <v>94</v>
      </c>
      <c r="H3889" s="2" t="s">
        <v>55</v>
      </c>
      <c r="I3889" s="2" t="s">
        <v>9661</v>
      </c>
      <c r="J3889" s="3" t="str">
        <f>HYPERLINK("https://www.boe.es/gazeta/dias/1809/05/22/pdfs/GGB-1809-30.pdf#page=5","Abrir facsímil")</f>
        <v>Abrir facsímil</v>
      </c>
      <c r="K3889" s="3" t="s">
        <v>57</v>
      </c>
    </row>
    <row r="3890" spans="1:11" ht="42" customHeight="1">
      <c r="A3890" s="2" t="s">
        <v>9660</v>
      </c>
      <c r="B3890" s="2" t="s">
        <v>9660</v>
      </c>
      <c r="C3890" s="2" t="s">
        <v>25</v>
      </c>
      <c r="D3890" s="2" t="s">
        <v>26</v>
      </c>
      <c r="E3890" s="3" t="s">
        <v>904</v>
      </c>
      <c r="F3890" s="3" t="s">
        <v>905</v>
      </c>
      <c r="G3890" s="3" t="s">
        <v>9662</v>
      </c>
      <c r="H3890" s="2" t="s">
        <v>55</v>
      </c>
      <c r="I3890" s="2" t="s">
        <v>9663</v>
      </c>
      <c r="J3890" s="3" t="str">
        <f>HYPERLINK("https://www.boe.es/gazeta/dias/1809/07/07/pdfs/GGB-1809-43.pdf#page=5","Abrir facsímil")</f>
        <v>Abrir facsímil</v>
      </c>
      <c r="K3890" s="3" t="s">
        <v>57</v>
      </c>
    </row>
    <row r="3891" spans="1:11" ht="42" customHeight="1">
      <c r="A3891" s="2" t="s">
        <v>9660</v>
      </c>
      <c r="B3891" s="2" t="s">
        <v>9660</v>
      </c>
      <c r="C3891" s="2" t="s">
        <v>17</v>
      </c>
      <c r="D3891" s="2" t="s">
        <v>18</v>
      </c>
      <c r="E3891" s="3" t="s">
        <v>904</v>
      </c>
      <c r="F3891" s="3" t="s">
        <v>905</v>
      </c>
      <c r="G3891" s="3" t="s">
        <v>110</v>
      </c>
      <c r="H3891" s="2" t="s">
        <v>55</v>
      </c>
      <c r="I3891" s="2" t="s">
        <v>9664</v>
      </c>
      <c r="J3891" s="3" t="str">
        <f>HYPERLINK("https://www.boe.es/gazeta/dias/1809/07/07/pdfs/GGB-1809-43.pdf#page=6","Abrir facsímil")</f>
        <v>Abrir facsímil</v>
      </c>
      <c r="K3891" s="3" t="s">
        <v>57</v>
      </c>
    </row>
    <row r="3892" spans="1:11" ht="42" customHeight="1">
      <c r="A3892" s="2" t="s">
        <v>9660</v>
      </c>
      <c r="B3892" s="2" t="s">
        <v>9660</v>
      </c>
      <c r="C3892" s="2" t="s">
        <v>25</v>
      </c>
      <c r="D3892" s="2" t="s">
        <v>26</v>
      </c>
      <c r="E3892" s="3" t="s">
        <v>1898</v>
      </c>
      <c r="F3892" s="3" t="s">
        <v>1899</v>
      </c>
      <c r="G3892" s="3" t="s">
        <v>1148</v>
      </c>
      <c r="H3892" s="2" t="s">
        <v>55</v>
      </c>
      <c r="I3892" s="2" t="s">
        <v>9665</v>
      </c>
      <c r="J3892" s="3" t="str">
        <f>HYPERLINK("https://www.boe.es/gazeta/dias/1809/12/02/pdfs/GGB-1809-532.pdf#page=4","Abrir facsímil")</f>
        <v>Abrir facsímil</v>
      </c>
      <c r="K3892" s="3" t="s">
        <v>57</v>
      </c>
    </row>
    <row r="3893" spans="1:11" ht="42" customHeight="1">
      <c r="A3893" s="2" t="s">
        <v>9660</v>
      </c>
      <c r="B3893" s="2" t="s">
        <v>9660</v>
      </c>
      <c r="C3893" s="2" t="s">
        <v>47</v>
      </c>
      <c r="D3893" s="2" t="s">
        <v>18</v>
      </c>
      <c r="E3893" s="3" t="s">
        <v>3714</v>
      </c>
      <c r="F3893" s="3" t="s">
        <v>4205</v>
      </c>
      <c r="G3893" s="3" t="s">
        <v>6527</v>
      </c>
      <c r="H3893" s="2" t="s">
        <v>55</v>
      </c>
      <c r="I3893" s="2" t="s">
        <v>9666</v>
      </c>
      <c r="J3893" s="3" t="str">
        <f>HYPERLINK("https://www.boe.es/gazeta/dias/1809/12/07/pdfs/GGB-1809-552.pdf#page=1","Abrir facsímil")</f>
        <v>Abrir facsímil</v>
      </c>
      <c r="K3893" s="3" t="s">
        <v>57</v>
      </c>
    </row>
    <row r="3894" spans="1:11" ht="42" customHeight="1">
      <c r="A3894" s="2" t="s">
        <v>9660</v>
      </c>
      <c r="B3894" s="2" t="s">
        <v>9660</v>
      </c>
      <c r="C3894" s="2" t="s">
        <v>25</v>
      </c>
      <c r="D3894" s="2" t="s">
        <v>18</v>
      </c>
      <c r="E3894" s="3" t="s">
        <v>883</v>
      </c>
      <c r="F3894" s="3" t="s">
        <v>5874</v>
      </c>
      <c r="G3894" s="3" t="s">
        <v>8432</v>
      </c>
      <c r="H3894" s="2" t="s">
        <v>55</v>
      </c>
      <c r="I3894" s="2" t="s">
        <v>9667</v>
      </c>
      <c r="J3894" s="3" t="str">
        <f>HYPERLINK("https://www.boe.es/gazeta/dias/1809/12/21/pdfs/GGB-1809-612.pdf#page=2","Abrir facsímil")</f>
        <v>Abrir facsímil</v>
      </c>
      <c r="K3894" s="3" t="s">
        <v>57</v>
      </c>
    </row>
    <row r="3895" spans="1:11" ht="42" customHeight="1">
      <c r="A3895" s="2" t="s">
        <v>9668</v>
      </c>
      <c r="B3895" s="2" t="s">
        <v>9668</v>
      </c>
      <c r="C3895" s="2" t="s">
        <v>25</v>
      </c>
      <c r="D3895" s="2" t="s">
        <v>26</v>
      </c>
      <c r="E3895" s="3" t="s">
        <v>1667</v>
      </c>
      <c r="F3895" s="3" t="s">
        <v>1668</v>
      </c>
      <c r="G3895" s="3" t="s">
        <v>129</v>
      </c>
      <c r="H3895" s="2" t="s">
        <v>55</v>
      </c>
      <c r="I3895" s="2" t="s">
        <v>9669</v>
      </c>
      <c r="J3895" s="3" t="str">
        <f>HYPERLINK("https://www.boe.es/gazeta/dias/1809/02/21/pdfs/GMD-1809-52.pdf#page=2","Abrir facsímil")</f>
        <v>Abrir facsímil</v>
      </c>
      <c r="K3895" s="3" t="s">
        <v>57</v>
      </c>
    </row>
    <row r="3896" spans="1:11" ht="42" customHeight="1">
      <c r="A3896" s="2" t="s">
        <v>9668</v>
      </c>
      <c r="B3896" s="2" t="s">
        <v>9668</v>
      </c>
      <c r="C3896" s="2" t="s">
        <v>25</v>
      </c>
      <c r="D3896" s="2" t="s">
        <v>26</v>
      </c>
      <c r="E3896" s="3" t="s">
        <v>258</v>
      </c>
      <c r="F3896" s="3" t="s">
        <v>1673</v>
      </c>
      <c r="G3896" s="3" t="s">
        <v>129</v>
      </c>
      <c r="H3896" s="2" t="s">
        <v>55</v>
      </c>
      <c r="I3896" s="2" t="s">
        <v>9670</v>
      </c>
      <c r="J3896" s="3" t="str">
        <f>HYPERLINK("https://www.boe.es/gazeta/dias/1809/03/17/pdfs/GGB-G-1809-12.pdf#page=2","Abrir facsímil")</f>
        <v>Abrir facsímil</v>
      </c>
      <c r="K3896" s="3" t="s">
        <v>57</v>
      </c>
    </row>
    <row r="3897" spans="1:11" ht="42" customHeight="1">
      <c r="A3897" s="2" t="s">
        <v>9671</v>
      </c>
      <c r="B3897" s="2" t="s">
        <v>9671</v>
      </c>
      <c r="C3897" s="2" t="s">
        <v>25</v>
      </c>
      <c r="D3897" s="2" t="s">
        <v>26</v>
      </c>
      <c r="E3897" s="3" t="s">
        <v>1667</v>
      </c>
      <c r="F3897" s="3" t="s">
        <v>1668</v>
      </c>
      <c r="G3897" s="3" t="s">
        <v>129</v>
      </c>
      <c r="H3897" s="2" t="s">
        <v>55</v>
      </c>
      <c r="I3897" s="2" t="s">
        <v>9672</v>
      </c>
      <c r="J3897" s="3" t="str">
        <f>HYPERLINK("https://www.boe.es/gazeta/dias/1809/02/21/pdfs/GMD-1809-52.pdf#page=2","Abrir facsímil")</f>
        <v>Abrir facsímil</v>
      </c>
      <c r="K3897" s="3" t="s">
        <v>57</v>
      </c>
    </row>
    <row r="3898" spans="1:11" ht="42" customHeight="1">
      <c r="A3898" s="2" t="s">
        <v>9673</v>
      </c>
      <c r="B3898" s="2" t="s">
        <v>9673</v>
      </c>
      <c r="C3898" s="2" t="s">
        <v>17</v>
      </c>
      <c r="D3898" s="2" t="s">
        <v>18</v>
      </c>
      <c r="E3898" s="3" t="s">
        <v>712</v>
      </c>
      <c r="F3898" s="3" t="s">
        <v>713</v>
      </c>
      <c r="G3898" s="3" t="s">
        <v>120</v>
      </c>
      <c r="H3898" s="2" t="s">
        <v>55</v>
      </c>
      <c r="I3898" s="2" t="s">
        <v>9674</v>
      </c>
      <c r="J3898" s="3" t="str">
        <f>HYPERLINK("https://www.boe.es/gazeta/dias/1809/09/10/pdfs/GMD-1809-254.pdf#page=2","Abrir facsímil")</f>
        <v>Abrir facsímil</v>
      </c>
      <c r="K3898" s="3" t="s">
        <v>57</v>
      </c>
    </row>
    <row r="3899" spans="1:11" ht="42" customHeight="1">
      <c r="A3899" s="2" t="s">
        <v>9673</v>
      </c>
      <c r="B3899" s="2" t="s">
        <v>9673</v>
      </c>
      <c r="C3899" s="2" t="s">
        <v>131</v>
      </c>
      <c r="D3899" s="2" t="s">
        <v>18</v>
      </c>
      <c r="E3899" s="3" t="s">
        <v>390</v>
      </c>
      <c r="F3899" s="3" t="s">
        <v>2858</v>
      </c>
      <c r="G3899" s="3" t="s">
        <v>110</v>
      </c>
      <c r="H3899" s="2" t="s">
        <v>55</v>
      </c>
      <c r="I3899" s="2" t="s">
        <v>9675</v>
      </c>
      <c r="J3899" s="3" t="str">
        <f>HYPERLINK("https://www.boe.es/gazeta/dias/1809/10/19/pdfs/GMD-1809-293.pdf#page=4","Abrir facsímil")</f>
        <v>Abrir facsímil</v>
      </c>
      <c r="K3899" s="3" t="s">
        <v>57</v>
      </c>
    </row>
    <row r="3900" spans="1:11" ht="42" customHeight="1">
      <c r="A3900" s="2" t="s">
        <v>9676</v>
      </c>
      <c r="B3900" s="2" t="s">
        <v>9676</v>
      </c>
      <c r="C3900" s="2" t="s">
        <v>17</v>
      </c>
      <c r="D3900" s="2" t="s">
        <v>18</v>
      </c>
      <c r="E3900" s="3" t="s">
        <v>609</v>
      </c>
      <c r="F3900" s="3" t="s">
        <v>610</v>
      </c>
      <c r="G3900" s="3" t="s">
        <v>2010</v>
      </c>
      <c r="H3900" s="2" t="s">
        <v>55</v>
      </c>
      <c r="I3900" s="2" t="s">
        <v>9677</v>
      </c>
      <c r="J3900" s="3" t="str">
        <f>HYPERLINK("https://www.boe.es/gazeta/dias/1809/11/25/pdfs/GGB-1809-502.pdf#page=1","Abrir facsímil")</f>
        <v>Abrir facsímil</v>
      </c>
      <c r="K3900" s="3" t="s">
        <v>57</v>
      </c>
    </row>
    <row r="3901" spans="1:11" ht="42" customHeight="1">
      <c r="A3901" s="2" t="s">
        <v>9678</v>
      </c>
      <c r="B3901" s="2" t="s">
        <v>9678</v>
      </c>
      <c r="C3901" s="2" t="s">
        <v>17</v>
      </c>
      <c r="D3901" s="2" t="s">
        <v>18</v>
      </c>
      <c r="E3901" s="3" t="s">
        <v>211</v>
      </c>
      <c r="F3901" s="3" t="s">
        <v>212</v>
      </c>
      <c r="G3901" s="3" t="s">
        <v>872</v>
      </c>
      <c r="H3901" s="2" t="s">
        <v>55</v>
      </c>
      <c r="I3901" s="2" t="s">
        <v>9679</v>
      </c>
      <c r="J3901" s="3" t="str">
        <f>HYPERLINK("https://www.boe.es/gazeta/dias/1809/10/27/pdfs/GMD-1809-301.pdf#page=1","Abrir facsímil")</f>
        <v>Abrir facsímil</v>
      </c>
      <c r="K3901" s="3" t="s">
        <v>57</v>
      </c>
    </row>
    <row r="3902" spans="1:11" ht="42" customHeight="1">
      <c r="A3902" s="2" t="s">
        <v>9678</v>
      </c>
      <c r="B3902" s="2" t="s">
        <v>9678</v>
      </c>
      <c r="C3902" s="2" t="s">
        <v>25</v>
      </c>
      <c r="D3902" s="2" t="s">
        <v>26</v>
      </c>
      <c r="E3902" s="3" t="s">
        <v>211</v>
      </c>
      <c r="F3902" s="3" t="s">
        <v>212</v>
      </c>
      <c r="G3902" s="3" t="s">
        <v>213</v>
      </c>
      <c r="H3902" s="2" t="s">
        <v>55</v>
      </c>
      <c r="I3902" s="2" t="s">
        <v>9680</v>
      </c>
      <c r="J3902" s="3" t="str">
        <f>HYPERLINK("https://www.boe.es/gazeta/dias/1809/10/27/pdfs/GMD-1809-301.pdf#page=4","Abrir facsímil")</f>
        <v>Abrir facsímil</v>
      </c>
      <c r="K3902" s="3" t="s">
        <v>57</v>
      </c>
    </row>
    <row r="3903" spans="1:11" ht="42" customHeight="1">
      <c r="A3903" s="2" t="s">
        <v>9678</v>
      </c>
      <c r="B3903" s="2" t="s">
        <v>9678</v>
      </c>
      <c r="C3903" s="2" t="s">
        <v>25</v>
      </c>
      <c r="D3903" s="2" t="s">
        <v>72</v>
      </c>
      <c r="E3903" s="3" t="s">
        <v>216</v>
      </c>
      <c r="F3903" s="3" t="s">
        <v>217</v>
      </c>
      <c r="G3903" s="3" t="s">
        <v>154</v>
      </c>
      <c r="H3903" s="2" t="s">
        <v>55</v>
      </c>
      <c r="I3903" s="2" t="s">
        <v>9681</v>
      </c>
      <c r="J3903" s="3" t="str">
        <f>HYPERLINK("https://www.boe.es/gazeta/dias/1809/12/05/pdfs/GGB-H-1809-542.pdf#page=1","Abrir facsímil")</f>
        <v>Abrir facsímil</v>
      </c>
      <c r="K3903" s="3" t="s">
        <v>57</v>
      </c>
    </row>
    <row r="3904" spans="1:11" ht="42" customHeight="1">
      <c r="A3904" s="2" t="s">
        <v>9678</v>
      </c>
      <c r="B3904" s="2" t="s">
        <v>9678</v>
      </c>
      <c r="C3904" s="2" t="s">
        <v>25</v>
      </c>
      <c r="D3904" s="2" t="s">
        <v>26</v>
      </c>
      <c r="E3904" s="3" t="s">
        <v>216</v>
      </c>
      <c r="F3904" s="3" t="s">
        <v>217</v>
      </c>
      <c r="G3904" s="3" t="s">
        <v>218</v>
      </c>
      <c r="H3904" s="2" t="s">
        <v>55</v>
      </c>
      <c r="I3904" s="2" t="s">
        <v>9682</v>
      </c>
      <c r="J3904" s="3" t="str">
        <f>HYPERLINK("https://www.boe.es/gazeta/dias/1809/12/05/pdfs/GGB-H-1809-542.pdf#page=6","Abrir facsímil")</f>
        <v>Abrir facsímil</v>
      </c>
      <c r="K3904" s="3" t="s">
        <v>57</v>
      </c>
    </row>
    <row r="3905" spans="1:11" ht="42" customHeight="1">
      <c r="A3905" s="2" t="s">
        <v>9678</v>
      </c>
      <c r="B3905" s="2" t="s">
        <v>9678</v>
      </c>
      <c r="C3905" s="2" t="s">
        <v>25</v>
      </c>
      <c r="D3905" s="2" t="s">
        <v>18</v>
      </c>
      <c r="E3905" s="3" t="s">
        <v>220</v>
      </c>
      <c r="F3905" s="3" t="s">
        <v>221</v>
      </c>
      <c r="G3905" s="3" t="s">
        <v>154</v>
      </c>
      <c r="H3905" s="2" t="s">
        <v>55</v>
      </c>
      <c r="I3905" s="2" t="s">
        <v>9683</v>
      </c>
      <c r="J3905" s="3" t="str">
        <f>HYPERLINK("https://www.boe.es/gazeta/dias/1809/12/13/pdfs/GMD-1809-348.pdf#page=4","Abrir facsímil")</f>
        <v>Abrir facsímil</v>
      </c>
      <c r="K3905" s="3" t="s">
        <v>57</v>
      </c>
    </row>
    <row r="3906" spans="1:11" ht="42" customHeight="1">
      <c r="A3906" s="2" t="s">
        <v>9684</v>
      </c>
      <c r="B3906" s="2" t="s">
        <v>9684</v>
      </c>
      <c r="C3906" s="2" t="s">
        <v>25</v>
      </c>
      <c r="D3906" s="2" t="s">
        <v>18</v>
      </c>
      <c r="E3906" s="3" t="s">
        <v>933</v>
      </c>
      <c r="F3906" s="3" t="s">
        <v>1363</v>
      </c>
      <c r="G3906" s="3" t="s">
        <v>6124</v>
      </c>
      <c r="H3906" s="2" t="s">
        <v>55</v>
      </c>
      <c r="I3906" s="2" t="s">
        <v>9685</v>
      </c>
      <c r="J3906" s="3" t="str">
        <f>HYPERLINK("https://www.boe.es/gazeta/dias/1809/10/28/pdfs/GGB-1809-382.pdf#page=8","Abrir facsímil")</f>
        <v>Abrir facsímil</v>
      </c>
      <c r="K3906" s="3" t="s">
        <v>57</v>
      </c>
    </row>
    <row r="3907" spans="1:11" ht="42" customHeight="1">
      <c r="A3907" s="2" t="s">
        <v>9686</v>
      </c>
      <c r="B3907" s="2" t="s">
        <v>9687</v>
      </c>
      <c r="C3907" s="2" t="s">
        <v>25</v>
      </c>
      <c r="D3907" s="2" t="s">
        <v>80</v>
      </c>
      <c r="E3907" s="3" t="s">
        <v>81</v>
      </c>
      <c r="F3907" s="3" t="s">
        <v>82</v>
      </c>
      <c r="G3907" s="3" t="s">
        <v>623</v>
      </c>
      <c r="H3907" s="2" t="s">
        <v>55</v>
      </c>
      <c r="I3907" s="2" t="s">
        <v>9688</v>
      </c>
      <c r="J3907" s="3" t="str">
        <f>HYPERLINK("https://www.boe.es/gazeta/dias/1809/04/11/pdfs/GGB-1809-16E.pdf#page=6","Abrir facsímil")</f>
        <v>Abrir facsímil</v>
      </c>
      <c r="K3907" s="3" t="s">
        <v>57</v>
      </c>
    </row>
    <row r="3908" spans="1:11" ht="42" customHeight="1">
      <c r="A3908" s="2" t="s">
        <v>9689</v>
      </c>
      <c r="B3908" s="2" t="s">
        <v>9690</v>
      </c>
      <c r="C3908" s="2" t="s">
        <v>25</v>
      </c>
      <c r="D3908" s="2" t="s">
        <v>26</v>
      </c>
      <c r="E3908" s="3" t="s">
        <v>299</v>
      </c>
      <c r="F3908" s="3" t="s">
        <v>300</v>
      </c>
      <c r="G3908" s="3" t="s">
        <v>1319</v>
      </c>
      <c r="H3908" s="2" t="s">
        <v>55</v>
      </c>
      <c r="I3908" s="2" t="s">
        <v>9691</v>
      </c>
      <c r="J3908" s="3" t="str">
        <f>HYPERLINK("https://www.boe.es/gazeta/dias/1809/05/26/pdfs/GGB-1809-31.pdf#page=11","Abrir facsímil")</f>
        <v>Abrir facsímil</v>
      </c>
      <c r="K3908" s="3" t="s">
        <v>57</v>
      </c>
    </row>
    <row r="3909" spans="1:11" ht="42" customHeight="1">
      <c r="A3909" s="2" t="s">
        <v>9692</v>
      </c>
      <c r="B3909" s="2" t="s">
        <v>9693</v>
      </c>
      <c r="C3909" s="2" t="s">
        <v>17</v>
      </c>
      <c r="D3909" s="2" t="s">
        <v>18</v>
      </c>
      <c r="E3909" s="3" t="s">
        <v>243</v>
      </c>
      <c r="F3909" s="3" t="s">
        <v>352</v>
      </c>
      <c r="G3909" s="3" t="s">
        <v>374</v>
      </c>
      <c r="H3909" s="2" t="s">
        <v>55</v>
      </c>
      <c r="I3909" s="2" t="s">
        <v>9694</v>
      </c>
      <c r="J3909" s="3" t="str">
        <f>HYPERLINK("https://www.boe.es/gazeta/dias/1809/02/17/pdfs/GMD-1809-48.pdf#page=5","Abrir facsímil")</f>
        <v>Abrir facsímil</v>
      </c>
      <c r="K3909" s="3" t="s">
        <v>57</v>
      </c>
    </row>
    <row r="3910" spans="1:11" ht="42" customHeight="1">
      <c r="A3910" s="2" t="s">
        <v>9695</v>
      </c>
      <c r="B3910" s="2" t="s">
        <v>9695</v>
      </c>
      <c r="C3910" s="2" t="s">
        <v>131</v>
      </c>
      <c r="D3910" s="2" t="s">
        <v>18</v>
      </c>
      <c r="E3910" s="3" t="s">
        <v>7617</v>
      </c>
      <c r="F3910" s="3" t="s">
        <v>7618</v>
      </c>
      <c r="G3910" s="3" t="s">
        <v>89</v>
      </c>
      <c r="H3910" s="2" t="s">
        <v>55</v>
      </c>
      <c r="I3910" s="2" t="s">
        <v>9696</v>
      </c>
      <c r="J3910" s="3" t="str">
        <f>HYPERLINK("https://www.boe.es/gazeta/dias/1809/12/24/pdfs/GMD-1809-359.pdf#page=3","Abrir facsímil")</f>
        <v>Abrir facsímil</v>
      </c>
      <c r="K3910" s="3" t="s">
        <v>57</v>
      </c>
    </row>
    <row r="3911" spans="1:11" ht="42" customHeight="1">
      <c r="A3911" s="2" t="s">
        <v>9697</v>
      </c>
      <c r="B3911" s="2" t="s">
        <v>9698</v>
      </c>
      <c r="C3911" s="2" t="s">
        <v>131</v>
      </c>
      <c r="D3911" s="2" t="s">
        <v>18</v>
      </c>
      <c r="E3911" s="3" t="s">
        <v>305</v>
      </c>
      <c r="F3911" s="3" t="s">
        <v>306</v>
      </c>
      <c r="G3911" s="3" t="s">
        <v>5473</v>
      </c>
      <c r="H3911" s="2" t="s">
        <v>55</v>
      </c>
      <c r="I3911" s="2" t="s">
        <v>9699</v>
      </c>
      <c r="J3911" s="3" t="str">
        <f>HYPERLINK("https://www.boe.es/gazeta/dias/1809/10/20/pdfs/GMD-1809-294.pdf#page=2","Abrir facsímil")</f>
        <v>Abrir facsímil</v>
      </c>
      <c r="K3911" s="3" t="s">
        <v>57</v>
      </c>
    </row>
    <row r="3912" spans="1:11" ht="42" customHeight="1">
      <c r="A3912" s="2" t="s">
        <v>9700</v>
      </c>
      <c r="B3912" s="2" t="s">
        <v>9700</v>
      </c>
      <c r="C3912" s="2" t="s">
        <v>25</v>
      </c>
      <c r="D3912" s="2" t="s">
        <v>26</v>
      </c>
      <c r="E3912" s="3" t="s">
        <v>1285</v>
      </c>
      <c r="F3912" s="3" t="s">
        <v>1286</v>
      </c>
      <c r="G3912" s="3" t="s">
        <v>234</v>
      </c>
      <c r="H3912" s="2" t="s">
        <v>55</v>
      </c>
      <c r="I3912" s="2" t="s">
        <v>9701</v>
      </c>
      <c r="J3912" s="3" t="str">
        <f>HYPERLINK("https://www.boe.es/gazeta/dias/1809/07/01/pdfs/GMD-1809-182.pdf#page=2","Abrir facsímil")</f>
        <v>Abrir facsímil</v>
      </c>
      <c r="K3912" s="3" t="s">
        <v>57</v>
      </c>
    </row>
    <row r="3913" spans="1:11" ht="42" customHeight="1">
      <c r="A3913" s="2" t="s">
        <v>9702</v>
      </c>
      <c r="B3913" s="2" t="s">
        <v>9703</v>
      </c>
      <c r="C3913" s="2" t="s">
        <v>131</v>
      </c>
      <c r="D3913" s="2" t="s">
        <v>18</v>
      </c>
      <c r="E3913" s="3" t="s">
        <v>305</v>
      </c>
      <c r="F3913" s="3" t="s">
        <v>306</v>
      </c>
      <c r="G3913" s="3" t="s">
        <v>29</v>
      </c>
      <c r="H3913" s="2" t="s">
        <v>55</v>
      </c>
      <c r="I3913" s="2" t="s">
        <v>9704</v>
      </c>
      <c r="J3913" s="3" t="str">
        <f>HYPERLINK("https://www.boe.es/gazeta/dias/1809/10/20/pdfs/GMD-1809-294.pdf#page=3","Abrir facsímil")</f>
        <v>Abrir facsímil</v>
      </c>
      <c r="K3913" s="3" t="s">
        <v>57</v>
      </c>
    </row>
    <row r="3914" spans="1:11" ht="42" customHeight="1">
      <c r="A3914" s="2" t="s">
        <v>9705</v>
      </c>
      <c r="B3914" s="2" t="s">
        <v>9706</v>
      </c>
      <c r="C3914" s="2" t="s">
        <v>2176</v>
      </c>
      <c r="D3914" s="2" t="s">
        <v>18</v>
      </c>
      <c r="E3914" s="3" t="s">
        <v>1285</v>
      </c>
      <c r="F3914" s="3" t="s">
        <v>1286</v>
      </c>
      <c r="G3914" s="3" t="s">
        <v>9707</v>
      </c>
      <c r="H3914" s="2" t="s">
        <v>55</v>
      </c>
      <c r="I3914" s="2" t="s">
        <v>9708</v>
      </c>
      <c r="J3914" s="3" t="str">
        <f>HYPERLINK("https://www.boe.es/gazeta/dias/1809/07/01/pdfs/GMD-1809-182.pdf#page=4","Abrir facsímil")</f>
        <v>Abrir facsímil</v>
      </c>
      <c r="K3914" s="3" t="s">
        <v>57</v>
      </c>
    </row>
    <row r="3915" spans="1:11" ht="42" customHeight="1">
      <c r="A3915" s="2" t="s">
        <v>9709</v>
      </c>
      <c r="B3915" s="2" t="s">
        <v>9710</v>
      </c>
      <c r="C3915" s="2" t="s">
        <v>25</v>
      </c>
      <c r="D3915" s="2" t="s">
        <v>18</v>
      </c>
      <c r="E3915" s="3" t="s">
        <v>2331</v>
      </c>
      <c r="F3915" s="3" t="s">
        <v>2332</v>
      </c>
      <c r="G3915" s="3" t="s">
        <v>374</v>
      </c>
      <c r="H3915" s="2" t="s">
        <v>55</v>
      </c>
      <c r="I3915" s="2" t="s">
        <v>9711</v>
      </c>
      <c r="J3915" s="3" t="str">
        <f>HYPERLINK("https://www.boe.es/gazeta/dias/1809/03/22/pdfs/GMD-1809-81.pdf#page=4","Abrir facsímil")</f>
        <v>Abrir facsímil</v>
      </c>
      <c r="K3915" s="3" t="s">
        <v>57</v>
      </c>
    </row>
    <row r="3916" spans="1:11" ht="42" customHeight="1">
      <c r="A3916" s="2" t="s">
        <v>9712</v>
      </c>
      <c r="B3916" s="2" t="s">
        <v>9712</v>
      </c>
      <c r="C3916" s="2" t="s">
        <v>25</v>
      </c>
      <c r="D3916" s="2" t="s">
        <v>18</v>
      </c>
      <c r="E3916" s="3" t="s">
        <v>1110</v>
      </c>
      <c r="F3916" s="3" t="s">
        <v>1111</v>
      </c>
      <c r="G3916" s="3" t="s">
        <v>1112</v>
      </c>
      <c r="H3916" s="2" t="s">
        <v>55</v>
      </c>
      <c r="I3916" s="2" t="s">
        <v>9713</v>
      </c>
      <c r="J3916" s="3" t="str">
        <f>HYPERLINK("https://www.boe.es/gazeta/dias/1809/06/20/pdfs/GMD-1809-171.pdf#page=3","Abrir facsímil")</f>
        <v>Abrir facsímil</v>
      </c>
      <c r="K3916" s="3" t="s">
        <v>57</v>
      </c>
    </row>
    <row r="3917" spans="1:11" ht="42" customHeight="1">
      <c r="A3917" s="2" t="s">
        <v>9714</v>
      </c>
      <c r="B3917" s="2" t="s">
        <v>9715</v>
      </c>
      <c r="C3917" s="2" t="s">
        <v>131</v>
      </c>
      <c r="D3917" s="2" t="s">
        <v>107</v>
      </c>
      <c r="E3917" s="3" t="s">
        <v>712</v>
      </c>
      <c r="F3917" s="3" t="s">
        <v>713</v>
      </c>
      <c r="G3917" s="3" t="s">
        <v>120</v>
      </c>
      <c r="H3917" s="2" t="s">
        <v>55</v>
      </c>
      <c r="I3917" s="2" t="s">
        <v>9716</v>
      </c>
      <c r="J3917" s="3" t="str">
        <f>HYPERLINK("https://www.boe.es/gazeta/dias/1809/09/10/pdfs/GMD-1809-254.pdf#page=2","Abrir facsímil")</f>
        <v>Abrir facsímil</v>
      </c>
      <c r="K3917" s="3" t="s">
        <v>57</v>
      </c>
    </row>
    <row r="3918" spans="1:11" ht="42" customHeight="1">
      <c r="A3918" s="2" t="s">
        <v>9717</v>
      </c>
      <c r="B3918" s="2" t="s">
        <v>9718</v>
      </c>
      <c r="C3918" s="2" t="s">
        <v>17</v>
      </c>
      <c r="D3918" s="2" t="s">
        <v>18</v>
      </c>
      <c r="E3918" s="3" t="s">
        <v>33</v>
      </c>
      <c r="F3918" s="3" t="s">
        <v>34</v>
      </c>
      <c r="G3918" s="3" t="s">
        <v>493</v>
      </c>
      <c r="H3918" s="2" t="s">
        <v>55</v>
      </c>
      <c r="I3918" s="2" t="s">
        <v>9719</v>
      </c>
      <c r="J3918" s="3" t="str">
        <f>HYPERLINK("https://www.boe.es/gazeta/dias/1809/12/19/pdfs/GGB-1809-602.pdf#page=6","Abrir facsímil")</f>
        <v>Abrir facsímil</v>
      </c>
      <c r="K3918" s="3" t="s">
        <v>57</v>
      </c>
    </row>
    <row r="3919" spans="1:11" ht="42" customHeight="1">
      <c r="A3919" s="2" t="s">
        <v>9720</v>
      </c>
      <c r="B3919" s="2" t="s">
        <v>9721</v>
      </c>
      <c r="C3919" s="2" t="s">
        <v>25</v>
      </c>
      <c r="D3919" s="2" t="s">
        <v>80</v>
      </c>
      <c r="E3919" s="3" t="s">
        <v>179</v>
      </c>
      <c r="F3919" s="3" t="s">
        <v>180</v>
      </c>
      <c r="G3919" s="3" t="s">
        <v>239</v>
      </c>
      <c r="H3919" s="2" t="s">
        <v>55</v>
      </c>
      <c r="I3919" s="2" t="s">
        <v>9722</v>
      </c>
      <c r="J3919" s="3" t="str">
        <f>HYPERLINK("https://www.boe.es/gazeta/dias/1809/12/08/pdfs/GGB-1809-552E.pdf#page=2","Abrir facsímil")</f>
        <v>Abrir facsímil</v>
      </c>
      <c r="K3919" s="3" t="s">
        <v>57</v>
      </c>
    </row>
    <row r="3920" spans="1:11" ht="42" customHeight="1">
      <c r="A3920" s="2" t="s">
        <v>9723</v>
      </c>
      <c r="B3920" s="2" t="s">
        <v>9724</v>
      </c>
      <c r="C3920" s="2" t="s">
        <v>25</v>
      </c>
      <c r="D3920" s="2" t="s">
        <v>80</v>
      </c>
      <c r="E3920" s="3" t="s">
        <v>179</v>
      </c>
      <c r="F3920" s="3" t="s">
        <v>180</v>
      </c>
      <c r="G3920" s="3" t="s">
        <v>966</v>
      </c>
      <c r="H3920" s="2" t="s">
        <v>55</v>
      </c>
      <c r="I3920" s="2" t="s">
        <v>9725</v>
      </c>
      <c r="J3920" s="3" t="str">
        <f>HYPERLINK("https://www.boe.es/gazeta/dias/1809/12/08/pdfs/GGB-1809-552E.pdf#page=3","Abrir facsímil")</f>
        <v>Abrir facsímil</v>
      </c>
      <c r="K3920" s="3" t="s">
        <v>57</v>
      </c>
    </row>
    <row r="3921" spans="1:11" ht="42" customHeight="1">
      <c r="A3921" s="2" t="s">
        <v>9726</v>
      </c>
      <c r="B3921" s="2" t="s">
        <v>9726</v>
      </c>
      <c r="C3921" s="2" t="s">
        <v>25</v>
      </c>
      <c r="D3921" s="2" t="s">
        <v>18</v>
      </c>
      <c r="E3921" s="3" t="s">
        <v>2607</v>
      </c>
      <c r="F3921" s="3" t="s">
        <v>2608</v>
      </c>
      <c r="G3921" s="3" t="s">
        <v>426</v>
      </c>
      <c r="H3921" s="2" t="s">
        <v>55</v>
      </c>
      <c r="I3921" s="2" t="s">
        <v>9727</v>
      </c>
      <c r="J3921" s="3" t="str">
        <f>HYPERLINK("https://www.boe.es/gazeta/dias/1809/04/30/pdfs/GMD-1809-120.pdf#page=4","Abrir facsímil")</f>
        <v>Abrir facsímil</v>
      </c>
      <c r="K3921" s="3" t="s">
        <v>57</v>
      </c>
    </row>
    <row r="3922" spans="1:11" ht="42" customHeight="1">
      <c r="A3922" s="2" t="s">
        <v>9728</v>
      </c>
      <c r="B3922" s="2" t="s">
        <v>9729</v>
      </c>
      <c r="C3922" s="2" t="s">
        <v>17</v>
      </c>
      <c r="D3922" s="2" t="s">
        <v>18</v>
      </c>
      <c r="E3922" s="3" t="s">
        <v>2599</v>
      </c>
      <c r="F3922" s="3" t="s">
        <v>2600</v>
      </c>
      <c r="G3922" s="3" t="s">
        <v>21</v>
      </c>
      <c r="H3922" s="2" t="s">
        <v>55</v>
      </c>
      <c r="I3922" s="2" t="s">
        <v>9730</v>
      </c>
      <c r="J3922" s="3" t="str">
        <f>HYPERLINK("https://www.boe.es/gazeta/dias/1809/05/11/pdfs/GMD-1809-131.pdf#page=4","Abrir facsímil")</f>
        <v>Abrir facsímil</v>
      </c>
      <c r="K3922" s="3" t="s">
        <v>57</v>
      </c>
    </row>
    <row r="3923" spans="1:11" ht="42" customHeight="1">
      <c r="A3923" s="2" t="s">
        <v>9731</v>
      </c>
      <c r="B3923" s="2" t="s">
        <v>9731</v>
      </c>
      <c r="C3923" s="2" t="s">
        <v>25</v>
      </c>
      <c r="D3923" s="2" t="s">
        <v>26</v>
      </c>
      <c r="E3923" s="3" t="s">
        <v>1237</v>
      </c>
      <c r="F3923" s="3" t="s">
        <v>1238</v>
      </c>
      <c r="G3923" s="3" t="s">
        <v>234</v>
      </c>
      <c r="H3923" s="2" t="s">
        <v>55</v>
      </c>
      <c r="I3923" s="2" t="s">
        <v>9732</v>
      </c>
      <c r="J3923" s="3" t="str">
        <f>HYPERLINK("https://www.boe.es/gazeta/dias/1809/12/26/pdfs/GGB-1809-632.pdf#page=8","Abrir facsímil")</f>
        <v>Abrir facsímil</v>
      </c>
      <c r="K3923" s="3" t="s">
        <v>57</v>
      </c>
    </row>
    <row r="3924" spans="1:11" ht="42" customHeight="1">
      <c r="A3924" s="2" t="s">
        <v>9733</v>
      </c>
      <c r="B3924" s="2" t="s">
        <v>9733</v>
      </c>
      <c r="C3924" s="2" t="s">
        <v>25</v>
      </c>
      <c r="D3924" s="2" t="s">
        <v>26</v>
      </c>
      <c r="E3924" s="3" t="s">
        <v>381</v>
      </c>
      <c r="F3924" s="3" t="s">
        <v>382</v>
      </c>
      <c r="G3924" s="3" t="s">
        <v>75</v>
      </c>
      <c r="H3924" s="2" t="s">
        <v>55</v>
      </c>
      <c r="I3924" s="2" t="s">
        <v>9734</v>
      </c>
      <c r="J3924" s="3" t="str">
        <f>HYPERLINK("https://www.boe.es/gazeta/dias/1809/06/27/pdfs/GMD-1809-178.pdf#page=2","Abrir facsímil")</f>
        <v>Abrir facsímil</v>
      </c>
      <c r="K3924" s="3" t="s">
        <v>57</v>
      </c>
    </row>
    <row r="3925" spans="1:11" ht="42" customHeight="1">
      <c r="A3925" s="2" t="s">
        <v>9735</v>
      </c>
      <c r="B3925" s="2" t="s">
        <v>9735</v>
      </c>
      <c r="C3925" s="2" t="s">
        <v>47</v>
      </c>
      <c r="D3925" s="2" t="s">
        <v>40</v>
      </c>
      <c r="E3925" s="3" t="s">
        <v>158</v>
      </c>
      <c r="F3925" s="3" t="s">
        <v>159</v>
      </c>
      <c r="G3925" s="3" t="s">
        <v>906</v>
      </c>
      <c r="H3925" s="2" t="s">
        <v>55</v>
      </c>
      <c r="I3925" s="2" t="s">
        <v>9736</v>
      </c>
      <c r="J3925" s="3" t="str">
        <f>HYPERLINK("https://www.boe.es/gazeta/dias/1809/02/10/pdfs/GGB-1809-7.pdf#page=8","Abrir facsímil")</f>
        <v>Abrir facsímil</v>
      </c>
      <c r="K3925" s="3" t="s">
        <v>57</v>
      </c>
    </row>
    <row r="3926" spans="1:11" ht="42" customHeight="1">
      <c r="A3926" s="2" t="s">
        <v>9735</v>
      </c>
      <c r="B3926" s="2" t="s">
        <v>9735</v>
      </c>
      <c r="C3926" s="2" t="s">
        <v>131</v>
      </c>
      <c r="D3926" s="2" t="s">
        <v>18</v>
      </c>
      <c r="E3926" s="3" t="s">
        <v>53</v>
      </c>
      <c r="F3926" s="3" t="s">
        <v>3411</v>
      </c>
      <c r="G3926" s="3" t="s">
        <v>120</v>
      </c>
      <c r="H3926" s="2" t="s">
        <v>55</v>
      </c>
      <c r="I3926" s="2" t="s">
        <v>9737</v>
      </c>
      <c r="J3926" s="3" t="str">
        <f>HYPERLINK("https://www.boe.es/gazeta/dias/1809/03/03/pdfs/GGB-1809-10.pdf#page=10","Abrir facsímil")</f>
        <v>Abrir facsímil</v>
      </c>
      <c r="K3926" s="3" t="s">
        <v>57</v>
      </c>
    </row>
    <row r="3927" spans="1:11" ht="42" customHeight="1">
      <c r="A3927" s="2" t="s">
        <v>9735</v>
      </c>
      <c r="B3927" s="2" t="s">
        <v>9735</v>
      </c>
      <c r="C3927" s="2" t="s">
        <v>39</v>
      </c>
      <c r="D3927" s="2" t="s">
        <v>72</v>
      </c>
      <c r="E3927" s="3" t="s">
        <v>163</v>
      </c>
      <c r="F3927" s="3" t="s">
        <v>9738</v>
      </c>
      <c r="G3927" s="3" t="s">
        <v>29</v>
      </c>
      <c r="H3927" s="2" t="s">
        <v>55</v>
      </c>
      <c r="I3927" s="2" t="s">
        <v>9739</v>
      </c>
      <c r="J3927" s="3" t="str">
        <f>HYPERLINK("https://www.boe.es/gazeta/dias/1809/03/10/pdfs/GGB-G-1809-11.pdf#page=3","Abrir facsímil")</f>
        <v>Abrir facsímil</v>
      </c>
      <c r="K3927" s="3" t="s">
        <v>57</v>
      </c>
    </row>
    <row r="3928" spans="1:11" ht="42" customHeight="1">
      <c r="A3928" s="2" t="s">
        <v>9735</v>
      </c>
      <c r="B3928" s="2" t="s">
        <v>9735</v>
      </c>
      <c r="C3928" s="2" t="s">
        <v>25</v>
      </c>
      <c r="D3928" s="2" t="s">
        <v>26</v>
      </c>
      <c r="E3928" s="3" t="s">
        <v>92</v>
      </c>
      <c r="F3928" s="3" t="s">
        <v>93</v>
      </c>
      <c r="G3928" s="3" t="s">
        <v>623</v>
      </c>
      <c r="H3928" s="2" t="s">
        <v>55</v>
      </c>
      <c r="I3928" s="2" t="s">
        <v>9740</v>
      </c>
      <c r="J3928" s="3" t="str">
        <f>HYPERLINK("https://www.boe.es/gazeta/dias/1809/05/22/pdfs/GGB-G-1809-30.pdf#page=6","Abrir facsímil")</f>
        <v>Abrir facsímil</v>
      </c>
      <c r="K3928" s="3" t="s">
        <v>57</v>
      </c>
    </row>
    <row r="3929" spans="1:11" ht="42" customHeight="1">
      <c r="A3929" s="2" t="s">
        <v>9735</v>
      </c>
      <c r="B3929" s="2" t="s">
        <v>9735</v>
      </c>
      <c r="C3929" s="2" t="s">
        <v>79</v>
      </c>
      <c r="D3929" s="2" t="s">
        <v>18</v>
      </c>
      <c r="E3929" s="3" t="s">
        <v>299</v>
      </c>
      <c r="F3929" s="3" t="s">
        <v>300</v>
      </c>
      <c r="G3929" s="3" t="s">
        <v>301</v>
      </c>
      <c r="H3929" s="2" t="s">
        <v>55</v>
      </c>
      <c r="I3929" s="2" t="s">
        <v>9741</v>
      </c>
      <c r="J3929" s="3" t="str">
        <f>HYPERLINK("https://www.boe.es/gazeta/dias/1809/05/26/pdfs/GGB-1809-31.pdf#page=10","Abrir facsímil")</f>
        <v>Abrir facsímil</v>
      </c>
      <c r="K3929" s="3" t="s">
        <v>57</v>
      </c>
    </row>
    <row r="3930" spans="1:11" ht="42" customHeight="1">
      <c r="A3930" s="2" t="s">
        <v>9735</v>
      </c>
      <c r="B3930" s="2" t="s">
        <v>9735</v>
      </c>
      <c r="C3930" s="2" t="s">
        <v>47</v>
      </c>
      <c r="D3930" s="2" t="s">
        <v>40</v>
      </c>
      <c r="E3930" s="3" t="s">
        <v>1282</v>
      </c>
      <c r="F3930" s="3" t="s">
        <v>1283</v>
      </c>
      <c r="G3930" s="3" t="s">
        <v>4114</v>
      </c>
      <c r="H3930" s="2" t="s">
        <v>55</v>
      </c>
      <c r="I3930" s="2" t="s">
        <v>9742</v>
      </c>
      <c r="J3930" s="3" t="str">
        <f>HYPERLINK("https://www.boe.es/gazeta/dias/1809/06/26/pdfs/GGB-1809-40.pdf#page=12","Abrir facsímil")</f>
        <v>Abrir facsímil</v>
      </c>
      <c r="K3930" s="3" t="s">
        <v>57</v>
      </c>
    </row>
    <row r="3931" spans="1:11" ht="42" customHeight="1">
      <c r="A3931" s="2" t="s">
        <v>9735</v>
      </c>
      <c r="B3931" s="2" t="s">
        <v>9735</v>
      </c>
      <c r="C3931" s="2" t="s">
        <v>39</v>
      </c>
      <c r="D3931" s="2" t="s">
        <v>18</v>
      </c>
      <c r="E3931" s="3" t="s">
        <v>1126</v>
      </c>
      <c r="F3931" s="3" t="s">
        <v>1444</v>
      </c>
      <c r="G3931" s="3" t="s">
        <v>75</v>
      </c>
      <c r="H3931" s="2" t="s">
        <v>55</v>
      </c>
      <c r="I3931" s="2" t="s">
        <v>9743</v>
      </c>
      <c r="J3931" s="3" t="str">
        <f>HYPERLINK("https://www.boe.es/gazeta/dias/1809/06/30/pdfs/GGB-1809-41.pdf#page=10","Abrir facsímil")</f>
        <v>Abrir facsímil</v>
      </c>
      <c r="K3931" s="3" t="s">
        <v>57</v>
      </c>
    </row>
    <row r="3932" spans="1:11" ht="42" customHeight="1">
      <c r="A3932" s="2" t="s">
        <v>9744</v>
      </c>
      <c r="B3932" s="2" t="s">
        <v>9744</v>
      </c>
      <c r="C3932" s="2" t="s">
        <v>25</v>
      </c>
      <c r="D3932" s="2" t="s">
        <v>26</v>
      </c>
      <c r="E3932" s="3" t="s">
        <v>429</v>
      </c>
      <c r="F3932" s="3" t="s">
        <v>430</v>
      </c>
      <c r="G3932" s="3" t="s">
        <v>270</v>
      </c>
      <c r="H3932" s="2" t="s">
        <v>55</v>
      </c>
      <c r="I3932" s="2" t="s">
        <v>9745</v>
      </c>
      <c r="J3932" s="3" t="str">
        <f>HYPERLINK("https://www.boe.es/gazeta/dias/1809/06/09/pdfs/GGB-1809-35.pdf#page=6","Abrir facsímil")</f>
        <v>Abrir facsímil</v>
      </c>
      <c r="K3932" s="3" t="s">
        <v>57</v>
      </c>
    </row>
    <row r="3933" spans="1:11" ht="42" customHeight="1">
      <c r="A3933" s="2" t="s">
        <v>9744</v>
      </c>
      <c r="B3933" s="2" t="s">
        <v>9744</v>
      </c>
      <c r="C3933" s="2" t="s">
        <v>47</v>
      </c>
      <c r="D3933" s="2" t="s">
        <v>18</v>
      </c>
      <c r="E3933" s="3" t="s">
        <v>429</v>
      </c>
      <c r="F3933" s="3" t="s">
        <v>430</v>
      </c>
      <c r="G3933" s="3" t="s">
        <v>1138</v>
      </c>
      <c r="H3933" s="2" t="s">
        <v>55</v>
      </c>
      <c r="I3933" s="2" t="s">
        <v>9746</v>
      </c>
      <c r="J3933" s="3" t="str">
        <f>HYPERLINK("https://www.boe.es/gazeta/dias/1809/06/09/pdfs/GGB-1809-35.pdf#page=7","Abrir facsímil")</f>
        <v>Abrir facsímil</v>
      </c>
      <c r="K3933" s="3" t="s">
        <v>57</v>
      </c>
    </row>
    <row r="3934" spans="1:11" ht="42" customHeight="1">
      <c r="A3934" s="2" t="s">
        <v>9744</v>
      </c>
      <c r="B3934" s="2" t="s">
        <v>9744</v>
      </c>
      <c r="C3934" s="2" t="s">
        <v>47</v>
      </c>
      <c r="D3934" s="2" t="s">
        <v>18</v>
      </c>
      <c r="E3934" s="3" t="s">
        <v>2414</v>
      </c>
      <c r="F3934" s="3" t="s">
        <v>4556</v>
      </c>
      <c r="G3934" s="3" t="s">
        <v>4557</v>
      </c>
      <c r="H3934" s="2" t="s">
        <v>55</v>
      </c>
      <c r="I3934" s="2" t="s">
        <v>9747</v>
      </c>
      <c r="J3934" s="3" t="str">
        <f>HYPERLINK("https://www.boe.es/gazeta/dias/1809/11/18/pdfs/GGB-1809-472.pdf#page=8","Abrir facsímil")</f>
        <v>Abrir facsímil</v>
      </c>
      <c r="K3934" s="3" t="s">
        <v>57</v>
      </c>
    </row>
    <row r="3935" spans="1:11" ht="42" customHeight="1">
      <c r="A3935" s="2" t="s">
        <v>9748</v>
      </c>
      <c r="B3935" s="2" t="s">
        <v>9748</v>
      </c>
      <c r="C3935" s="2" t="s">
        <v>47</v>
      </c>
      <c r="D3935" s="2" t="s">
        <v>18</v>
      </c>
      <c r="E3935" s="3" t="s">
        <v>163</v>
      </c>
      <c r="F3935" s="3" t="s">
        <v>478</v>
      </c>
      <c r="G3935" s="3" t="s">
        <v>3932</v>
      </c>
      <c r="H3935" s="2" t="s">
        <v>55</v>
      </c>
      <c r="I3935" s="2" t="s">
        <v>9749</v>
      </c>
      <c r="J3935" s="3" t="str">
        <f>HYPERLINK("https://www.boe.es/gazeta/dias/1809/03/10/pdfs/GGB-1809-11.pdf#page=15","Abrir facsímil")</f>
        <v>Abrir facsímil</v>
      </c>
      <c r="K3935" s="3" t="s">
        <v>57</v>
      </c>
    </row>
    <row r="3936" spans="1:11" ht="42" customHeight="1">
      <c r="A3936" s="2" t="s">
        <v>9750</v>
      </c>
      <c r="B3936" s="2" t="s">
        <v>9750</v>
      </c>
      <c r="C3936" s="2" t="s">
        <v>2176</v>
      </c>
      <c r="D3936" s="2" t="s">
        <v>18</v>
      </c>
      <c r="E3936" s="3" t="s">
        <v>925</v>
      </c>
      <c r="F3936" s="3" t="s">
        <v>926</v>
      </c>
      <c r="G3936" s="3" t="s">
        <v>75</v>
      </c>
      <c r="H3936" s="2" t="s">
        <v>55</v>
      </c>
      <c r="I3936" s="2" t="s">
        <v>9751</v>
      </c>
      <c r="J3936" s="3" t="str">
        <f>HYPERLINK("https://www.boe.es/gazeta/dias/1809/01/11/pdfs/GGB-1809-2.pdf#page=4","Abrir facsímil")</f>
        <v>Abrir facsímil</v>
      </c>
      <c r="K3936" s="3" t="s">
        <v>57</v>
      </c>
    </row>
    <row r="3937" spans="1:11" ht="42" customHeight="1">
      <c r="A3937" s="2" t="s">
        <v>9752</v>
      </c>
      <c r="B3937" s="2" t="s">
        <v>9753</v>
      </c>
      <c r="C3937" s="2" t="s">
        <v>17</v>
      </c>
      <c r="D3937" s="2" t="s">
        <v>18</v>
      </c>
      <c r="E3937" s="3" t="s">
        <v>60</v>
      </c>
      <c r="F3937" s="3" t="s">
        <v>61</v>
      </c>
      <c r="G3937" s="3" t="s">
        <v>29</v>
      </c>
      <c r="H3937" s="2" t="s">
        <v>55</v>
      </c>
      <c r="I3937" s="2" t="s">
        <v>9754</v>
      </c>
      <c r="J3937" s="3" t="str">
        <f>HYPERLINK("https://www.boe.es/gazeta/dias/1809/02/07/pdfs/GMD-1809-38.pdf#page=3","Abrir facsímil")</f>
        <v>Abrir facsímil</v>
      </c>
      <c r="K3937" s="3" t="s">
        <v>57</v>
      </c>
    </row>
    <row r="3938" spans="1:11" ht="42" customHeight="1">
      <c r="A3938" s="2" t="s">
        <v>9755</v>
      </c>
      <c r="B3938" s="2" t="s">
        <v>9756</v>
      </c>
      <c r="C3938" s="2" t="s">
        <v>17</v>
      </c>
      <c r="D3938" s="2" t="s">
        <v>18</v>
      </c>
      <c r="E3938" s="3" t="s">
        <v>548</v>
      </c>
      <c r="F3938" s="3" t="s">
        <v>549</v>
      </c>
      <c r="G3938" s="3" t="s">
        <v>316</v>
      </c>
      <c r="H3938" s="2" t="s">
        <v>55</v>
      </c>
      <c r="I3938" s="2" t="s">
        <v>9757</v>
      </c>
      <c r="J3938" s="3" t="str">
        <f>HYPERLINK("https://www.boe.es/gazeta/dias/1809/03/12/pdfs/GMD-1809-71.pdf#page=4","Abrir facsímil")</f>
        <v>Abrir facsímil</v>
      </c>
      <c r="K3938" s="3" t="s">
        <v>57</v>
      </c>
    </row>
    <row r="3939" spans="1:11" ht="42" customHeight="1">
      <c r="A3939" s="2" t="s">
        <v>9758</v>
      </c>
      <c r="B3939" s="2" t="s">
        <v>9759</v>
      </c>
      <c r="C3939" s="2" t="s">
        <v>288</v>
      </c>
      <c r="D3939" s="2" t="s">
        <v>18</v>
      </c>
      <c r="E3939" s="3" t="s">
        <v>500</v>
      </c>
      <c r="F3939" s="3" t="s">
        <v>2357</v>
      </c>
      <c r="G3939" s="3" t="s">
        <v>115</v>
      </c>
      <c r="H3939" s="2" t="s">
        <v>55</v>
      </c>
      <c r="I3939" s="2" t="s">
        <v>9760</v>
      </c>
      <c r="J3939" s="3" t="str">
        <f>HYPERLINK("https://www.boe.es/gazeta/dias/1809/03/24/pdfs/GGB-1809-13.pdf#page=6","Abrir facsímil")</f>
        <v>Abrir facsímil</v>
      </c>
      <c r="K3939" s="3" t="s">
        <v>57</v>
      </c>
    </row>
    <row r="3940" spans="1:11" ht="42" customHeight="1">
      <c r="A3940" s="2" t="s">
        <v>9761</v>
      </c>
      <c r="B3940" s="2" t="s">
        <v>9762</v>
      </c>
      <c r="C3940" s="2" t="s">
        <v>131</v>
      </c>
      <c r="D3940" s="2" t="s">
        <v>72</v>
      </c>
      <c r="E3940" s="3" t="s">
        <v>294</v>
      </c>
      <c r="F3940" s="3" t="s">
        <v>295</v>
      </c>
      <c r="G3940" s="3" t="s">
        <v>998</v>
      </c>
      <c r="H3940" s="2" t="s">
        <v>55</v>
      </c>
      <c r="I3940" s="2" t="s">
        <v>9763</v>
      </c>
      <c r="J3940" s="3" t="str">
        <f>HYPERLINK("https://www.boe.es/gazeta/dias/1809/09/30/pdfs/GGB-H-1809-262.pdf#page=4","Abrir facsímil")</f>
        <v>Abrir facsímil</v>
      </c>
      <c r="K3940" s="3" t="s">
        <v>57</v>
      </c>
    </row>
    <row r="3941" spans="1:11" ht="42" customHeight="1">
      <c r="A3941" s="2" t="s">
        <v>9764</v>
      </c>
      <c r="B3941" s="2" t="s">
        <v>9765</v>
      </c>
      <c r="C3941" s="2" t="s">
        <v>369</v>
      </c>
      <c r="D3941" s="2" t="s">
        <v>18</v>
      </c>
      <c r="E3941" s="3" t="s">
        <v>864</v>
      </c>
      <c r="F3941" s="3" t="s">
        <v>865</v>
      </c>
      <c r="G3941" s="3" t="s">
        <v>225</v>
      </c>
      <c r="H3941" s="2" t="s">
        <v>22</v>
      </c>
      <c r="I3941" s="2" t="s">
        <v>9766</v>
      </c>
      <c r="J3941" s="3" t="str">
        <f>HYPERLINK("https://www.boe.es/gazeta/dias/1809/08/31/pdfs/GMD-1809-244.pdf#page=4","Abrir facsímil")</f>
        <v>Abrir facsímil</v>
      </c>
      <c r="K3941" s="3" t="s">
        <v>24</v>
      </c>
    </row>
    <row r="3942" spans="1:11" ht="42" customHeight="1">
      <c r="A3942" s="2" t="s">
        <v>9767</v>
      </c>
      <c r="B3942" s="2" t="s">
        <v>9768</v>
      </c>
      <c r="C3942" s="2" t="s">
        <v>25</v>
      </c>
      <c r="D3942" s="2" t="s">
        <v>26</v>
      </c>
      <c r="E3942" s="3" t="s">
        <v>143</v>
      </c>
      <c r="F3942" s="3" t="s">
        <v>705</v>
      </c>
      <c r="G3942" s="3" t="s">
        <v>110</v>
      </c>
      <c r="H3942" s="2" t="s">
        <v>55</v>
      </c>
      <c r="I3942" s="2" t="s">
        <v>9769</v>
      </c>
      <c r="J3942" s="3" t="str">
        <f>HYPERLINK("https://www.boe.es/gazeta/dias/1809/11/16/pdfs/GGB-H-1809-462.pdf#page=3","Abrir facsímil")</f>
        <v>Abrir facsímil</v>
      </c>
      <c r="K3942" s="3" t="s">
        <v>57</v>
      </c>
    </row>
    <row r="3943" spans="1:11" ht="42" customHeight="1">
      <c r="A3943" s="2" t="s">
        <v>9770</v>
      </c>
      <c r="B3943" s="2" t="s">
        <v>9771</v>
      </c>
      <c r="C3943" s="2" t="s">
        <v>25</v>
      </c>
      <c r="D3943" s="2" t="s">
        <v>72</v>
      </c>
      <c r="E3943" s="3" t="s">
        <v>118</v>
      </c>
      <c r="F3943" s="3" t="s">
        <v>819</v>
      </c>
      <c r="G3943" s="3" t="s">
        <v>2287</v>
      </c>
      <c r="H3943" s="2" t="s">
        <v>55</v>
      </c>
      <c r="I3943" s="2" t="s">
        <v>9772</v>
      </c>
      <c r="J3943" s="3" t="str">
        <f>HYPERLINK("https://www.boe.es/gazeta/dias/1809/09/07/pdfs/GGB-H-1809-162.pdf#page=7","Abrir facsímil")</f>
        <v>Abrir facsímil</v>
      </c>
      <c r="K3943" s="3" t="s">
        <v>57</v>
      </c>
    </row>
    <row r="3944" spans="1:11" ht="42" customHeight="1">
      <c r="A3944" s="2" t="s">
        <v>9773</v>
      </c>
      <c r="B3944" s="2" t="s">
        <v>9773</v>
      </c>
      <c r="C3944" s="2" t="s">
        <v>25</v>
      </c>
      <c r="D3944" s="2" t="s">
        <v>26</v>
      </c>
      <c r="E3944" s="3" t="s">
        <v>147</v>
      </c>
      <c r="F3944" s="3" t="s">
        <v>562</v>
      </c>
      <c r="G3944" s="3" t="s">
        <v>3015</v>
      </c>
      <c r="H3944" s="2" t="s">
        <v>55</v>
      </c>
      <c r="I3944" s="2" t="s">
        <v>9774</v>
      </c>
      <c r="J3944" s="3" t="str">
        <f>HYPERLINK("https://www.boe.es/gazeta/dias/1809/10/07/pdfs/GGB-H-1809-292.pdf#page=2","Abrir facsímil")</f>
        <v>Abrir facsímil</v>
      </c>
      <c r="K3944" s="3" t="s">
        <v>57</v>
      </c>
    </row>
    <row r="3945" spans="1:11" ht="42" customHeight="1">
      <c r="A3945" s="2" t="s">
        <v>9775</v>
      </c>
      <c r="B3945" s="2" t="s">
        <v>9776</v>
      </c>
      <c r="C3945" s="2" t="s">
        <v>17</v>
      </c>
      <c r="D3945" s="2" t="s">
        <v>18</v>
      </c>
      <c r="E3945" s="3" t="s">
        <v>294</v>
      </c>
      <c r="F3945" s="3" t="s">
        <v>1360</v>
      </c>
      <c r="G3945" s="3" t="s">
        <v>2517</v>
      </c>
      <c r="H3945" s="2" t="s">
        <v>55</v>
      </c>
      <c r="I3945" s="2" t="s">
        <v>9777</v>
      </c>
      <c r="J3945" s="3" t="str">
        <f>HYPERLINK("https://www.boe.es/gazeta/dias/1809/09/30/pdfs/GGB-1809-262.pdf#page=1","Abrir facsímil")</f>
        <v>Abrir facsímil</v>
      </c>
      <c r="K3945" s="3" t="s">
        <v>57</v>
      </c>
    </row>
    <row r="3946" spans="1:11" ht="42" customHeight="1">
      <c r="A3946" s="2" t="s">
        <v>9778</v>
      </c>
      <c r="B3946" s="2" t="s">
        <v>9779</v>
      </c>
      <c r="C3946" s="2" t="s">
        <v>25</v>
      </c>
      <c r="D3946" s="2" t="s">
        <v>18</v>
      </c>
      <c r="E3946" s="3" t="s">
        <v>73</v>
      </c>
      <c r="F3946" s="3" t="s">
        <v>1045</v>
      </c>
      <c r="G3946" s="3" t="s">
        <v>89</v>
      </c>
      <c r="H3946" s="2" t="s">
        <v>55</v>
      </c>
      <c r="I3946" s="2" t="s">
        <v>9780</v>
      </c>
      <c r="J3946" s="3" t="str">
        <f>HYPERLINK("https://www.boe.es/gazeta/dias/1809/09/21/pdfs/GMD-1809-265.pdf#page=3","Abrir facsímil")</f>
        <v>Abrir facsímil</v>
      </c>
      <c r="K3946" s="3" t="s">
        <v>57</v>
      </c>
    </row>
    <row r="3947" spans="1:11" ht="42" customHeight="1">
      <c r="A3947" s="2" t="s">
        <v>9781</v>
      </c>
      <c r="B3947" s="2" t="s">
        <v>9782</v>
      </c>
      <c r="C3947" s="2" t="s">
        <v>17</v>
      </c>
      <c r="D3947" s="2" t="s">
        <v>18</v>
      </c>
      <c r="E3947" s="3" t="s">
        <v>3258</v>
      </c>
      <c r="F3947" s="3" t="s">
        <v>3529</v>
      </c>
      <c r="G3947" s="3" t="s">
        <v>154</v>
      </c>
      <c r="H3947" s="2" t="s">
        <v>55</v>
      </c>
      <c r="I3947" s="2" t="s">
        <v>9783</v>
      </c>
      <c r="J3947" s="3" t="str">
        <f>HYPERLINK("https://www.boe.es/gazeta/dias/1809/04/03/pdfs/GGB-1809-14B.pdf#page=3","Abrir facsímil")</f>
        <v>Abrir facsímil</v>
      </c>
      <c r="K3947" s="3" t="s">
        <v>57</v>
      </c>
    </row>
    <row r="3948" spans="1:11" ht="42" customHeight="1">
      <c r="A3948" s="2" t="s">
        <v>9784</v>
      </c>
      <c r="B3948" s="2" t="s">
        <v>9784</v>
      </c>
      <c r="C3948" s="2" t="s">
        <v>25</v>
      </c>
      <c r="D3948" s="2" t="s">
        <v>26</v>
      </c>
      <c r="E3948" s="3" t="s">
        <v>9493</v>
      </c>
      <c r="F3948" s="3" t="s">
        <v>9494</v>
      </c>
      <c r="G3948" s="3" t="s">
        <v>120</v>
      </c>
      <c r="H3948" s="2" t="s">
        <v>55</v>
      </c>
      <c r="I3948" s="2" t="s">
        <v>9785</v>
      </c>
      <c r="J3948" s="3" t="str">
        <f>HYPERLINK("https://www.boe.es/gazeta/dias/1809/07/13/pdfs/GMD-1809-194.pdf#page=1","Abrir facsímil")</f>
        <v>Abrir facsímil</v>
      </c>
      <c r="K3948" s="3" t="s">
        <v>57</v>
      </c>
    </row>
    <row r="3949" spans="1:11" ht="42" customHeight="1">
      <c r="A3949" s="2" t="s">
        <v>9786</v>
      </c>
      <c r="B3949" s="2" t="s">
        <v>9787</v>
      </c>
      <c r="C3949" s="2" t="s">
        <v>369</v>
      </c>
      <c r="D3949" s="2" t="s">
        <v>18</v>
      </c>
      <c r="E3949" s="3" t="s">
        <v>33</v>
      </c>
      <c r="F3949" s="3" t="s">
        <v>34</v>
      </c>
      <c r="G3949" s="3" t="s">
        <v>9788</v>
      </c>
      <c r="H3949" s="2" t="s">
        <v>55</v>
      </c>
      <c r="I3949" s="2" t="s">
        <v>9789</v>
      </c>
      <c r="J3949" s="3" t="str">
        <f>HYPERLINK("https://www.boe.es/gazeta/dias/1809/12/19/pdfs/GGB-1809-602.pdf#page=8","Abrir facsímil")</f>
        <v>Abrir facsímil</v>
      </c>
      <c r="K3949" s="3" t="s">
        <v>57</v>
      </c>
    </row>
    <row r="3950" spans="1:11" ht="42" customHeight="1">
      <c r="A3950" s="2" t="s">
        <v>9790</v>
      </c>
      <c r="B3950" s="2" t="s">
        <v>9791</v>
      </c>
      <c r="C3950" s="2" t="s">
        <v>17</v>
      </c>
      <c r="D3950" s="2" t="s">
        <v>18</v>
      </c>
      <c r="E3950" s="3" t="s">
        <v>666</v>
      </c>
      <c r="F3950" s="3" t="s">
        <v>667</v>
      </c>
      <c r="G3950" s="3" t="s">
        <v>1448</v>
      </c>
      <c r="H3950" s="2" t="s">
        <v>55</v>
      </c>
      <c r="I3950" s="2" t="s">
        <v>9792</v>
      </c>
      <c r="J3950" s="3" t="str">
        <f>HYPERLINK("https://www.boe.es/gazeta/dias/1809/08/29/pdfs/GGB-1809-122.pdf#page=7","Abrir facsímil")</f>
        <v>Abrir facsímil</v>
      </c>
      <c r="K3950" s="3" t="s">
        <v>57</v>
      </c>
    </row>
    <row r="3951" spans="1:11" ht="42" customHeight="1">
      <c r="A3951" s="2" t="s">
        <v>9790</v>
      </c>
      <c r="B3951" s="2" t="s">
        <v>9791</v>
      </c>
      <c r="C3951" s="2" t="s">
        <v>17</v>
      </c>
      <c r="D3951" s="2" t="s">
        <v>18</v>
      </c>
      <c r="E3951" s="3" t="s">
        <v>33</v>
      </c>
      <c r="F3951" s="3" t="s">
        <v>34</v>
      </c>
      <c r="G3951" s="3" t="s">
        <v>493</v>
      </c>
      <c r="H3951" s="2" t="s">
        <v>55</v>
      </c>
      <c r="I3951" s="2" t="s">
        <v>9793</v>
      </c>
      <c r="J3951" s="3" t="str">
        <f>HYPERLINK("https://www.boe.es/gazeta/dias/1809/12/19/pdfs/GGB-1809-602.pdf#page=6","Abrir facsímil")</f>
        <v>Abrir facsímil</v>
      </c>
      <c r="K3951" s="3" t="s">
        <v>57</v>
      </c>
    </row>
    <row r="3952" spans="1:11" ht="42" customHeight="1">
      <c r="A3952" s="2" t="s">
        <v>9794</v>
      </c>
      <c r="B3952" s="2" t="s">
        <v>9794</v>
      </c>
      <c r="C3952" s="2" t="s">
        <v>131</v>
      </c>
      <c r="D3952" s="2" t="s">
        <v>18</v>
      </c>
      <c r="E3952" s="3" t="s">
        <v>1736</v>
      </c>
      <c r="F3952" s="3" t="s">
        <v>1737</v>
      </c>
      <c r="G3952" s="3" t="s">
        <v>1293</v>
      </c>
      <c r="H3952" s="2" t="s">
        <v>55</v>
      </c>
      <c r="I3952" s="2" t="s">
        <v>9795</v>
      </c>
      <c r="J3952" s="3" t="str">
        <f>HYPERLINK("https://www.boe.es/gazeta/dias/1809/02/28/pdfs/GMD-1809-59.pdf#page=2","Abrir facsímil")</f>
        <v>Abrir facsímil</v>
      </c>
      <c r="K3952" s="3" t="s">
        <v>57</v>
      </c>
    </row>
    <row r="3953" spans="1:11" ht="42" customHeight="1">
      <c r="A3953" s="2" t="s">
        <v>9796</v>
      </c>
      <c r="B3953" s="2" t="s">
        <v>9797</v>
      </c>
      <c r="C3953" s="2" t="s">
        <v>131</v>
      </c>
      <c r="D3953" s="2" t="s">
        <v>26</v>
      </c>
      <c r="E3953" s="3" t="s">
        <v>515</v>
      </c>
      <c r="F3953" s="3" t="s">
        <v>516</v>
      </c>
      <c r="G3953" s="3" t="s">
        <v>1380</v>
      </c>
      <c r="H3953" s="2" t="s">
        <v>55</v>
      </c>
      <c r="I3953" s="2" t="s">
        <v>9798</v>
      </c>
      <c r="J3953" s="3" t="str">
        <f>HYPERLINK("https://www.boe.es/gazeta/dias/1809/09/02/pdfs/GMD-1809-246.pdf#page=3","Abrir facsímil")</f>
        <v>Abrir facsímil</v>
      </c>
      <c r="K3953" s="3" t="s">
        <v>57</v>
      </c>
    </row>
    <row r="3954" spans="1:11" ht="42" customHeight="1">
      <c r="A3954" s="2" t="s">
        <v>9799</v>
      </c>
      <c r="B3954" s="2" t="s">
        <v>9799</v>
      </c>
      <c r="C3954" s="2" t="s">
        <v>25</v>
      </c>
      <c r="D3954" s="2" t="s">
        <v>26</v>
      </c>
      <c r="E3954" s="3" t="s">
        <v>9550</v>
      </c>
      <c r="F3954" s="3" t="s">
        <v>9551</v>
      </c>
      <c r="G3954" s="3" t="s">
        <v>239</v>
      </c>
      <c r="H3954" s="2" t="s">
        <v>55</v>
      </c>
      <c r="I3954" s="2" t="s">
        <v>9800</v>
      </c>
      <c r="J3954" s="3" t="str">
        <f>HYPERLINK("https://www.boe.es/gazeta/dias/1809/11/22/pdfs/GMD-1809-327.pdf#page=4","Abrir facsímil")</f>
        <v>Abrir facsímil</v>
      </c>
      <c r="K3954" s="3" t="s">
        <v>57</v>
      </c>
    </row>
    <row r="3955" spans="1:11" ht="42" customHeight="1">
      <c r="A3955" s="2" t="s">
        <v>9801</v>
      </c>
      <c r="B3955" s="2" t="s">
        <v>9802</v>
      </c>
      <c r="C3955" s="2" t="s">
        <v>79</v>
      </c>
      <c r="D3955" s="2" t="s">
        <v>26</v>
      </c>
      <c r="E3955" s="3" t="s">
        <v>102</v>
      </c>
      <c r="F3955" s="3" t="s">
        <v>103</v>
      </c>
      <c r="G3955" s="3" t="s">
        <v>104</v>
      </c>
      <c r="H3955" s="2" t="s">
        <v>55</v>
      </c>
      <c r="I3955" s="2" t="s">
        <v>9803</v>
      </c>
      <c r="J3955" s="3" t="str">
        <f>HYPERLINK("https://www.boe.es/gazeta/dias/1809/09/28/pdfs/GGB-1809-252.pdf#page=8","Abrir facsímil")</f>
        <v>Abrir facsímil</v>
      </c>
      <c r="K3955" s="3" t="s">
        <v>57</v>
      </c>
    </row>
    <row r="3956" spans="1:11" ht="42" customHeight="1">
      <c r="A3956" s="2" t="s">
        <v>9804</v>
      </c>
      <c r="B3956" s="2" t="s">
        <v>9805</v>
      </c>
      <c r="C3956" s="2" t="s">
        <v>17</v>
      </c>
      <c r="D3956" s="2" t="s">
        <v>18</v>
      </c>
      <c r="E3956" s="3" t="s">
        <v>33</v>
      </c>
      <c r="F3956" s="3" t="s">
        <v>34</v>
      </c>
      <c r="G3956" s="3" t="s">
        <v>493</v>
      </c>
      <c r="H3956" s="2" t="s">
        <v>55</v>
      </c>
      <c r="I3956" s="2" t="s">
        <v>9806</v>
      </c>
      <c r="J3956" s="3" t="str">
        <f>HYPERLINK("https://www.boe.es/gazeta/dias/1809/12/19/pdfs/GGB-1809-602.pdf#page=6","Abrir facsímil")</f>
        <v>Abrir facsímil</v>
      </c>
      <c r="K3956" s="3" t="s">
        <v>57</v>
      </c>
    </row>
    <row r="3957" spans="1:11" ht="42" customHeight="1">
      <c r="A3957" s="2" t="s">
        <v>9807</v>
      </c>
      <c r="B3957" s="2" t="s">
        <v>9808</v>
      </c>
      <c r="C3957" s="2" t="s">
        <v>25</v>
      </c>
      <c r="D3957" s="2" t="s">
        <v>26</v>
      </c>
      <c r="E3957" s="3" t="s">
        <v>442</v>
      </c>
      <c r="F3957" s="3" t="s">
        <v>443</v>
      </c>
      <c r="G3957" s="3" t="s">
        <v>2484</v>
      </c>
      <c r="H3957" s="2" t="s">
        <v>55</v>
      </c>
      <c r="I3957" s="2" t="s">
        <v>9809</v>
      </c>
      <c r="J3957" s="3" t="str">
        <f>HYPERLINK("https://www.boe.es/gazeta/dias/1809/09/05/pdfs/GGB-1809-152.pdf#page=8","Abrir facsímil")</f>
        <v>Abrir facsímil</v>
      </c>
      <c r="K3957" s="3" t="s">
        <v>57</v>
      </c>
    </row>
    <row r="3958" spans="1:11" ht="42" customHeight="1">
      <c r="A3958" s="2" t="s">
        <v>9807</v>
      </c>
      <c r="B3958" s="2" t="s">
        <v>9808</v>
      </c>
      <c r="C3958" s="2" t="s">
        <v>25</v>
      </c>
      <c r="D3958" s="2" t="s">
        <v>26</v>
      </c>
      <c r="E3958" s="3" t="s">
        <v>1948</v>
      </c>
      <c r="F3958" s="3" t="s">
        <v>1949</v>
      </c>
      <c r="G3958" s="3" t="s">
        <v>9810</v>
      </c>
      <c r="H3958" s="2" t="s">
        <v>55</v>
      </c>
      <c r="I3958" s="2" t="s">
        <v>9811</v>
      </c>
      <c r="J3958" s="3" t="str">
        <f>HYPERLINK("https://www.boe.es/gazeta/dias/1809/12/23/pdfs/GGB-1809-622.pdf#page=5","Abrir facsímil")</f>
        <v>Abrir facsímil</v>
      </c>
      <c r="K3958" s="3" t="s">
        <v>57</v>
      </c>
    </row>
    <row r="3959" spans="1:11" ht="42" customHeight="1">
      <c r="A3959" s="2" t="s">
        <v>9812</v>
      </c>
      <c r="B3959" s="2" t="s">
        <v>9813</v>
      </c>
      <c r="C3959" s="2" t="s">
        <v>17</v>
      </c>
      <c r="D3959" s="2" t="s">
        <v>18</v>
      </c>
      <c r="E3959" s="3" t="s">
        <v>390</v>
      </c>
      <c r="F3959" s="3" t="s">
        <v>391</v>
      </c>
      <c r="G3959" s="3" t="s">
        <v>3729</v>
      </c>
      <c r="H3959" s="2" t="s">
        <v>55</v>
      </c>
      <c r="I3959" s="2" t="s">
        <v>9814</v>
      </c>
      <c r="J3959" s="3" t="str">
        <f>HYPERLINK("https://www.boe.es/gazeta/dias/1809/10/19/pdfs/GGB-1809-342.pdf#page=7","Abrir facsímil")</f>
        <v>Abrir facsímil</v>
      </c>
      <c r="K3959" s="3" t="s">
        <v>57</v>
      </c>
    </row>
    <row r="3960" spans="1:11" ht="42" customHeight="1">
      <c r="A3960" s="2" t="s">
        <v>9815</v>
      </c>
      <c r="B3960" s="2" t="s">
        <v>9815</v>
      </c>
      <c r="C3960" s="2" t="s">
        <v>47</v>
      </c>
      <c r="D3960" s="2" t="s">
        <v>18</v>
      </c>
      <c r="E3960" s="3" t="s">
        <v>1237</v>
      </c>
      <c r="F3960" s="3" t="s">
        <v>1238</v>
      </c>
      <c r="G3960" s="3" t="s">
        <v>5879</v>
      </c>
      <c r="H3960" s="2" t="s">
        <v>55</v>
      </c>
      <c r="I3960" s="2" t="s">
        <v>9816</v>
      </c>
      <c r="J3960" s="3" t="str">
        <f>HYPERLINK("https://www.boe.es/gazeta/dias/1809/12/26/pdfs/GGB-1809-632.pdf#page=1","Abrir facsímil")</f>
        <v>Abrir facsímil</v>
      </c>
      <c r="K3960" s="3" t="s">
        <v>57</v>
      </c>
    </row>
    <row r="3961" spans="1:11" ht="42" customHeight="1">
      <c r="A3961" s="2" t="s">
        <v>9817</v>
      </c>
      <c r="B3961" s="2" t="s">
        <v>9818</v>
      </c>
      <c r="C3961" s="2" t="s">
        <v>288</v>
      </c>
      <c r="D3961" s="2" t="s">
        <v>72</v>
      </c>
      <c r="E3961" s="3" t="s">
        <v>720</v>
      </c>
      <c r="F3961" s="3" t="s">
        <v>721</v>
      </c>
      <c r="G3961" s="3" t="s">
        <v>62</v>
      </c>
      <c r="H3961" s="2" t="s">
        <v>55</v>
      </c>
      <c r="I3961" s="2" t="s">
        <v>9819</v>
      </c>
      <c r="J3961" s="3" t="str">
        <f>HYPERLINK("https://www.boe.es/gazeta/dias/1809/01/27/pdfs/GGB-G-1809-5.pdf#page=8","Abrir facsímil")</f>
        <v>Abrir facsímil</v>
      </c>
      <c r="K3961" s="3" t="s">
        <v>57</v>
      </c>
    </row>
    <row r="3962" spans="1:11" ht="42" customHeight="1">
      <c r="A3962" s="2" t="s">
        <v>9820</v>
      </c>
      <c r="B3962" s="2" t="s">
        <v>9821</v>
      </c>
      <c r="C3962" s="2" t="s">
        <v>17</v>
      </c>
      <c r="D3962" s="2" t="s">
        <v>72</v>
      </c>
      <c r="E3962" s="3" t="s">
        <v>720</v>
      </c>
      <c r="F3962" s="3" t="s">
        <v>721</v>
      </c>
      <c r="G3962" s="3" t="s">
        <v>62</v>
      </c>
      <c r="H3962" s="2" t="s">
        <v>55</v>
      </c>
      <c r="I3962" s="2" t="s">
        <v>9822</v>
      </c>
      <c r="J3962" s="3" t="str">
        <f>HYPERLINK("https://www.boe.es/gazeta/dias/1809/01/27/pdfs/GGB-G-1809-5.pdf#page=8","Abrir facsímil")</f>
        <v>Abrir facsímil</v>
      </c>
      <c r="K3962" s="3" t="s">
        <v>57</v>
      </c>
    </row>
    <row r="3963" spans="1:11" ht="42" customHeight="1">
      <c r="A3963" s="2" t="s">
        <v>9823</v>
      </c>
      <c r="B3963" s="2" t="s">
        <v>9824</v>
      </c>
      <c r="C3963" s="2" t="s">
        <v>79</v>
      </c>
      <c r="D3963" s="2" t="s">
        <v>18</v>
      </c>
      <c r="E3963" s="3" t="s">
        <v>102</v>
      </c>
      <c r="F3963" s="3" t="s">
        <v>103</v>
      </c>
      <c r="G3963" s="3" t="s">
        <v>104</v>
      </c>
      <c r="H3963" s="2" t="s">
        <v>55</v>
      </c>
      <c r="I3963" s="2" t="s">
        <v>9825</v>
      </c>
      <c r="J3963" s="3" t="str">
        <f>HYPERLINK("https://www.boe.es/gazeta/dias/1809/09/28/pdfs/GGB-1809-252.pdf#page=8","Abrir facsímil")</f>
        <v>Abrir facsímil</v>
      </c>
      <c r="K3963" s="3" t="s">
        <v>57</v>
      </c>
    </row>
    <row r="3964" spans="1:11" ht="42" customHeight="1">
      <c r="A3964" s="2" t="s">
        <v>9826</v>
      </c>
      <c r="B3964" s="2" t="s">
        <v>9826</v>
      </c>
      <c r="C3964" s="2" t="s">
        <v>17</v>
      </c>
      <c r="D3964" s="2" t="s">
        <v>107</v>
      </c>
      <c r="E3964" s="3" t="s">
        <v>332</v>
      </c>
      <c r="F3964" s="3" t="s">
        <v>333</v>
      </c>
      <c r="G3964" s="3" t="s">
        <v>239</v>
      </c>
      <c r="H3964" s="2" t="s">
        <v>55</v>
      </c>
      <c r="I3964" s="2" t="s">
        <v>9827</v>
      </c>
      <c r="J3964" s="3" t="str">
        <f>HYPERLINK("https://www.boe.es/gazeta/dias/1809/02/23/pdfs/GMD-1809-54.pdf#page=2","Abrir facsímil")</f>
        <v>Abrir facsímil</v>
      </c>
      <c r="K3964" s="3" t="s">
        <v>57</v>
      </c>
    </row>
    <row r="3965" spans="1:11" ht="42" customHeight="1">
      <c r="A3965" s="2" t="s">
        <v>9828</v>
      </c>
      <c r="B3965" s="2" t="s">
        <v>9829</v>
      </c>
      <c r="C3965" s="2" t="s">
        <v>25</v>
      </c>
      <c r="D3965" s="2" t="s">
        <v>18</v>
      </c>
      <c r="E3965" s="3" t="s">
        <v>904</v>
      </c>
      <c r="F3965" s="3" t="s">
        <v>905</v>
      </c>
      <c r="G3965" s="3" t="s">
        <v>906</v>
      </c>
      <c r="H3965" s="2" t="s">
        <v>55</v>
      </c>
      <c r="I3965" s="2" t="s">
        <v>9830</v>
      </c>
      <c r="J3965" s="3" t="str">
        <f>HYPERLINK("https://www.boe.es/gazeta/dias/1809/07/07/pdfs/GGB-1809-43.pdf#page=8","Abrir facsímil")</f>
        <v>Abrir facsímil</v>
      </c>
      <c r="K3965" s="3" t="s">
        <v>57</v>
      </c>
    </row>
    <row r="3966" spans="1:11" ht="42" customHeight="1">
      <c r="A3966" s="2" t="s">
        <v>9831</v>
      </c>
      <c r="B3966" s="2" t="s">
        <v>9832</v>
      </c>
      <c r="C3966" s="2" t="s">
        <v>17</v>
      </c>
      <c r="D3966" s="2" t="s">
        <v>18</v>
      </c>
      <c r="E3966" s="3" t="s">
        <v>442</v>
      </c>
      <c r="F3966" s="3" t="s">
        <v>2171</v>
      </c>
      <c r="G3966" s="3" t="s">
        <v>2172</v>
      </c>
      <c r="H3966" s="2" t="s">
        <v>55</v>
      </c>
      <c r="I3966" s="2" t="s">
        <v>9833</v>
      </c>
      <c r="J3966" s="3" t="str">
        <f>HYPERLINK("https://www.boe.es/gazeta/dias/1809/09/05/pdfs/GMD-1809-249.pdf#page=4","Abrir facsímil")</f>
        <v>Abrir facsímil</v>
      </c>
      <c r="K3966" s="3" t="s">
        <v>57</v>
      </c>
    </row>
    <row r="3967" spans="1:11" ht="42" customHeight="1">
      <c r="A3967" s="2" t="s">
        <v>9834</v>
      </c>
      <c r="B3967" s="2" t="s">
        <v>9835</v>
      </c>
      <c r="C3967" s="2" t="s">
        <v>25</v>
      </c>
      <c r="D3967" s="2" t="s">
        <v>80</v>
      </c>
      <c r="E3967" s="3" t="s">
        <v>179</v>
      </c>
      <c r="F3967" s="3" t="s">
        <v>180</v>
      </c>
      <c r="G3967" s="3" t="s">
        <v>966</v>
      </c>
      <c r="H3967" s="2" t="s">
        <v>55</v>
      </c>
      <c r="I3967" s="2" t="s">
        <v>9836</v>
      </c>
      <c r="J3967" s="3" t="str">
        <f>HYPERLINK("https://www.boe.es/gazeta/dias/1809/12/08/pdfs/GGB-1809-552E.pdf#page=3","Abrir facsímil")</f>
        <v>Abrir facsímil</v>
      </c>
      <c r="K3967" s="3" t="s">
        <v>57</v>
      </c>
    </row>
    <row r="3968" spans="1:11" ht="42" customHeight="1">
      <c r="A3968" s="2" t="s">
        <v>9837</v>
      </c>
      <c r="B3968" s="2" t="s">
        <v>9838</v>
      </c>
      <c r="C3968" s="2" t="s">
        <v>17</v>
      </c>
      <c r="D3968" s="2" t="s">
        <v>18</v>
      </c>
      <c r="E3968" s="3" t="s">
        <v>33</v>
      </c>
      <c r="F3968" s="3" t="s">
        <v>34</v>
      </c>
      <c r="G3968" s="3" t="s">
        <v>493</v>
      </c>
      <c r="H3968" s="2" t="s">
        <v>55</v>
      </c>
      <c r="I3968" s="2" t="s">
        <v>9839</v>
      </c>
      <c r="J3968" s="3" t="str">
        <f>HYPERLINK("https://www.boe.es/gazeta/dias/1809/12/19/pdfs/GGB-1809-602.pdf#page=6","Abrir facsímil")</f>
        <v>Abrir facsímil</v>
      </c>
      <c r="K3968" s="3" t="s">
        <v>57</v>
      </c>
    </row>
    <row r="3969" spans="1:11" ht="42" customHeight="1">
      <c r="A3969" s="2" t="s">
        <v>9840</v>
      </c>
      <c r="B3969" s="2" t="s">
        <v>9841</v>
      </c>
      <c r="C3969" s="2" t="s">
        <v>17</v>
      </c>
      <c r="D3969" s="2" t="s">
        <v>18</v>
      </c>
      <c r="E3969" s="3" t="s">
        <v>1514</v>
      </c>
      <c r="F3969" s="3" t="s">
        <v>1840</v>
      </c>
      <c r="G3969" s="3" t="s">
        <v>239</v>
      </c>
      <c r="H3969" s="2" t="s">
        <v>55</v>
      </c>
      <c r="I3969" s="2" t="s">
        <v>9842</v>
      </c>
      <c r="J3969" s="3" t="str">
        <f>HYPERLINK("https://www.boe.es/gazeta/dias/1809/04/17/pdfs/GGB-1809-19.pdf#page=7","Abrir facsímil")</f>
        <v>Abrir facsímil</v>
      </c>
      <c r="K3969" s="3" t="s">
        <v>57</v>
      </c>
    </row>
    <row r="3970" spans="1:11" ht="42" customHeight="1">
      <c r="A3970" s="2" t="s">
        <v>9843</v>
      </c>
      <c r="B3970" s="2" t="s">
        <v>9844</v>
      </c>
      <c r="C3970" s="2" t="s">
        <v>17</v>
      </c>
      <c r="D3970" s="2" t="s">
        <v>72</v>
      </c>
      <c r="E3970" s="3" t="s">
        <v>243</v>
      </c>
      <c r="F3970" s="3" t="s">
        <v>244</v>
      </c>
      <c r="G3970" s="3" t="s">
        <v>582</v>
      </c>
      <c r="H3970" s="2" t="s">
        <v>55</v>
      </c>
      <c r="I3970" s="2" t="s">
        <v>9845</v>
      </c>
      <c r="J3970" s="3" t="str">
        <f>HYPERLINK("https://www.boe.es/gazeta/dias/1809/02/17/pdfs/GGB-G-1809-8.pdf#page=7","Abrir facsímil")</f>
        <v>Abrir facsímil</v>
      </c>
      <c r="K3970" s="3" t="s">
        <v>57</v>
      </c>
    </row>
    <row r="3971" spans="1:11" ht="42" customHeight="1">
      <c r="A3971" s="2" t="s">
        <v>9846</v>
      </c>
      <c r="B3971" s="2" t="s">
        <v>9847</v>
      </c>
      <c r="C3971" s="2" t="s">
        <v>17</v>
      </c>
      <c r="D3971" s="2" t="s">
        <v>18</v>
      </c>
      <c r="E3971" s="3" t="s">
        <v>33</v>
      </c>
      <c r="F3971" s="3" t="s">
        <v>34</v>
      </c>
      <c r="G3971" s="3" t="s">
        <v>595</v>
      </c>
      <c r="H3971" s="2" t="s">
        <v>55</v>
      </c>
      <c r="I3971" s="2" t="s">
        <v>9848</v>
      </c>
      <c r="J3971" s="3" t="str">
        <f>HYPERLINK("https://www.boe.es/gazeta/dias/1809/12/19/pdfs/GGB-1809-602.pdf#page=7","Abrir facsímil")</f>
        <v>Abrir facsímil</v>
      </c>
      <c r="K3971" s="3" t="s">
        <v>57</v>
      </c>
    </row>
    <row r="3972" spans="1:11" ht="42" customHeight="1">
      <c r="A3972" s="2" t="s">
        <v>9849</v>
      </c>
      <c r="B3972" s="2" t="s">
        <v>9850</v>
      </c>
      <c r="C3972" s="2" t="s">
        <v>17</v>
      </c>
      <c r="D3972" s="2" t="s">
        <v>40</v>
      </c>
      <c r="E3972" s="3" t="s">
        <v>243</v>
      </c>
      <c r="F3972" s="3" t="s">
        <v>244</v>
      </c>
      <c r="G3972" s="3" t="s">
        <v>541</v>
      </c>
      <c r="H3972" s="2" t="s">
        <v>55</v>
      </c>
      <c r="I3972" s="2" t="s">
        <v>9851</v>
      </c>
      <c r="J3972" s="3" t="str">
        <f>HYPERLINK("https://www.boe.es/gazeta/dias/1809/02/17/pdfs/GGB-G-1809-8.pdf#page=8","Abrir facsímil")</f>
        <v>Abrir facsímil</v>
      </c>
      <c r="K3972" s="3" t="s">
        <v>57</v>
      </c>
    </row>
    <row r="3973" spans="1:11" ht="42" customHeight="1">
      <c r="A3973" s="2" t="s">
        <v>9852</v>
      </c>
      <c r="B3973" s="2" t="s">
        <v>9853</v>
      </c>
      <c r="C3973" s="2" t="s">
        <v>25</v>
      </c>
      <c r="D3973" s="2" t="s">
        <v>80</v>
      </c>
      <c r="E3973" s="3" t="s">
        <v>248</v>
      </c>
      <c r="F3973" s="3" t="s">
        <v>249</v>
      </c>
      <c r="G3973" s="3" t="s">
        <v>94</v>
      </c>
      <c r="H3973" s="2" t="s">
        <v>55</v>
      </c>
      <c r="I3973" s="2" t="s">
        <v>9854</v>
      </c>
      <c r="J3973" s="3" t="str">
        <f>HYPERLINK("https://www.boe.es/gazeta/dias/1809/07/26/pdfs/GGB-1809-48E.pdf#page=5","Abrir facsímil")</f>
        <v>Abrir facsímil</v>
      </c>
      <c r="K3973" s="3" t="s">
        <v>57</v>
      </c>
    </row>
    <row r="3974" spans="1:11" ht="42" customHeight="1">
      <c r="A3974" s="2" t="s">
        <v>9855</v>
      </c>
      <c r="B3974" s="2" t="s">
        <v>9855</v>
      </c>
      <c r="C3974" s="2" t="s">
        <v>25</v>
      </c>
      <c r="D3974" s="2" t="s">
        <v>18</v>
      </c>
      <c r="E3974" s="3" t="s">
        <v>134</v>
      </c>
      <c r="F3974" s="3" t="s">
        <v>135</v>
      </c>
      <c r="G3974" s="3" t="s">
        <v>225</v>
      </c>
      <c r="H3974" s="2" t="s">
        <v>55</v>
      </c>
      <c r="I3974" s="2" t="s">
        <v>9856</v>
      </c>
      <c r="J3974" s="3" t="str">
        <f>HYPERLINK("https://www.boe.es/gazeta/dias/1809/06/07/pdfs/GMD-1809-158.pdf#page=4","Abrir facsímil")</f>
        <v>Abrir facsímil</v>
      </c>
      <c r="K3974" s="3" t="s">
        <v>57</v>
      </c>
    </row>
    <row r="3975" spans="1:11" ht="42" customHeight="1">
      <c r="A3975" s="2" t="s">
        <v>9857</v>
      </c>
      <c r="B3975" s="2" t="s">
        <v>9858</v>
      </c>
      <c r="C3975" s="2" t="s">
        <v>17</v>
      </c>
      <c r="D3975" s="2" t="s">
        <v>72</v>
      </c>
      <c r="E3975" s="3" t="s">
        <v>243</v>
      </c>
      <c r="F3975" s="3" t="s">
        <v>244</v>
      </c>
      <c r="G3975" s="3" t="s">
        <v>110</v>
      </c>
      <c r="H3975" s="2" t="s">
        <v>55</v>
      </c>
      <c r="I3975" s="2" t="s">
        <v>9859</v>
      </c>
      <c r="J3975" s="3" t="str">
        <f>HYPERLINK("https://www.boe.es/gazeta/dias/1809/02/17/pdfs/GGB-G-1809-8.pdf#page=6","Abrir facsímil")</f>
        <v>Abrir facsímil</v>
      </c>
      <c r="K3975" s="3" t="s">
        <v>57</v>
      </c>
    </row>
    <row r="3976" spans="1:11" ht="42" customHeight="1">
      <c r="A3976" s="2" t="s">
        <v>9860</v>
      </c>
      <c r="B3976" s="2" t="s">
        <v>9861</v>
      </c>
      <c r="C3976" s="2" t="s">
        <v>47</v>
      </c>
      <c r="D3976" s="2" t="s">
        <v>18</v>
      </c>
      <c r="E3976" s="3" t="s">
        <v>196</v>
      </c>
      <c r="F3976" s="3" t="s">
        <v>197</v>
      </c>
      <c r="G3976" s="3" t="s">
        <v>198</v>
      </c>
      <c r="H3976" s="2" t="s">
        <v>55</v>
      </c>
      <c r="I3976" s="2" t="s">
        <v>9862</v>
      </c>
      <c r="J3976" s="3" t="str">
        <f>HYPERLINK("https://www.boe.es/gazeta/dias/1809/09/04/pdfs/GMD-1809-248.pdf#page=3","Abrir facsímil")</f>
        <v>Abrir facsímil</v>
      </c>
      <c r="K3976" s="3" t="s">
        <v>57</v>
      </c>
    </row>
    <row r="3977" spans="1:11" ht="42" customHeight="1">
      <c r="A3977" s="2" t="s">
        <v>9863</v>
      </c>
      <c r="B3977" s="2" t="s">
        <v>9864</v>
      </c>
      <c r="C3977" s="2" t="s">
        <v>17</v>
      </c>
      <c r="D3977" s="2" t="s">
        <v>80</v>
      </c>
      <c r="E3977" s="3" t="s">
        <v>248</v>
      </c>
      <c r="F3977" s="3" t="s">
        <v>249</v>
      </c>
      <c r="G3977" s="3" t="s">
        <v>234</v>
      </c>
      <c r="H3977" s="2" t="s">
        <v>55</v>
      </c>
      <c r="I3977" s="2" t="s">
        <v>9865</v>
      </c>
      <c r="J3977" s="3" t="str">
        <f>HYPERLINK("https://www.boe.es/gazeta/dias/1809/07/26/pdfs/GGB-1809-48E.pdf#page=3","Abrir facsímil")</f>
        <v>Abrir facsímil</v>
      </c>
      <c r="K3977" s="3" t="s">
        <v>57</v>
      </c>
    </row>
    <row r="3978" spans="1:11" ht="42" customHeight="1">
      <c r="A3978" s="2" t="s">
        <v>9866</v>
      </c>
      <c r="B3978" s="2" t="s">
        <v>9867</v>
      </c>
      <c r="C3978" s="2" t="s">
        <v>47</v>
      </c>
      <c r="D3978" s="2" t="s">
        <v>72</v>
      </c>
      <c r="E3978" s="3" t="s">
        <v>635</v>
      </c>
      <c r="F3978" s="3" t="s">
        <v>2073</v>
      </c>
      <c r="G3978" s="3" t="s">
        <v>9868</v>
      </c>
      <c r="H3978" s="2" t="s">
        <v>55</v>
      </c>
      <c r="I3978" s="2" t="s">
        <v>9869</v>
      </c>
      <c r="J3978" s="3" t="str">
        <f>HYPERLINK("https://www.boe.es/gazeta/dias/1809/12/16/pdfs/GGB-H-1809-592.pdf#page=6","Abrir facsímil")</f>
        <v>Abrir facsímil</v>
      </c>
      <c r="K3978" s="3" t="s">
        <v>57</v>
      </c>
    </row>
    <row r="3979" spans="1:11" ht="42" customHeight="1">
      <c r="A3979" s="2" t="s">
        <v>9870</v>
      </c>
      <c r="B3979" s="2" t="s">
        <v>9871</v>
      </c>
      <c r="C3979" s="2" t="s">
        <v>17</v>
      </c>
      <c r="D3979" s="2" t="s">
        <v>18</v>
      </c>
      <c r="E3979" s="3" t="s">
        <v>33</v>
      </c>
      <c r="F3979" s="3" t="s">
        <v>34</v>
      </c>
      <c r="G3979" s="3" t="s">
        <v>493</v>
      </c>
      <c r="H3979" s="2" t="s">
        <v>55</v>
      </c>
      <c r="I3979" s="2" t="s">
        <v>9872</v>
      </c>
      <c r="J3979" s="3" t="str">
        <f>HYPERLINK("https://www.boe.es/gazeta/dias/1809/12/19/pdfs/GGB-1809-602.pdf#page=6","Abrir facsímil")</f>
        <v>Abrir facsímil</v>
      </c>
      <c r="K3979" s="3" t="s">
        <v>57</v>
      </c>
    </row>
    <row r="3980" spans="1:11" ht="42" customHeight="1">
      <c r="A3980" s="2" t="s">
        <v>9873</v>
      </c>
      <c r="B3980" s="2" t="s">
        <v>9874</v>
      </c>
      <c r="C3980" s="2" t="s">
        <v>39</v>
      </c>
      <c r="D3980" s="2" t="s">
        <v>18</v>
      </c>
      <c r="E3980" s="3" t="s">
        <v>102</v>
      </c>
      <c r="F3980" s="3" t="s">
        <v>103</v>
      </c>
      <c r="G3980" s="3" t="s">
        <v>1706</v>
      </c>
      <c r="H3980" s="2" t="s">
        <v>55</v>
      </c>
      <c r="I3980" s="2" t="s">
        <v>9875</v>
      </c>
      <c r="J3980" s="3" t="str">
        <f>HYPERLINK("https://www.boe.es/gazeta/dias/1809/09/28/pdfs/GGB-1809-252.pdf#page=5","Abrir facsímil")</f>
        <v>Abrir facsímil</v>
      </c>
      <c r="K3980" s="3" t="s">
        <v>57</v>
      </c>
    </row>
    <row r="3981" spans="1:11" ht="42" customHeight="1">
      <c r="A3981" s="2" t="s">
        <v>9876</v>
      </c>
      <c r="B3981" s="2" t="s">
        <v>9876</v>
      </c>
      <c r="C3981" s="2" t="s">
        <v>25</v>
      </c>
      <c r="D3981" s="2" t="s">
        <v>18</v>
      </c>
      <c r="E3981" s="3" t="s">
        <v>118</v>
      </c>
      <c r="F3981" s="3" t="s">
        <v>2125</v>
      </c>
      <c r="G3981" s="3" t="s">
        <v>9171</v>
      </c>
      <c r="H3981" s="2" t="s">
        <v>55</v>
      </c>
      <c r="I3981" s="2" t="s">
        <v>9877</v>
      </c>
      <c r="J3981" s="3" t="str">
        <f>HYPERLINK("https://www.boe.es/gazeta/dias/1809/09/07/pdfs/GGB-1809-162.pdf#page=4","Abrir facsímil")</f>
        <v>Abrir facsímil</v>
      </c>
      <c r="K3981" s="3" t="s">
        <v>57</v>
      </c>
    </row>
    <row r="3982" spans="1:11" ht="42" customHeight="1">
      <c r="A3982" s="2" t="s">
        <v>9878</v>
      </c>
      <c r="B3982" s="2" t="s">
        <v>9879</v>
      </c>
      <c r="C3982" s="2" t="s">
        <v>17</v>
      </c>
      <c r="D3982" s="2" t="s">
        <v>18</v>
      </c>
      <c r="E3982" s="3" t="s">
        <v>33</v>
      </c>
      <c r="F3982" s="3" t="s">
        <v>34</v>
      </c>
      <c r="G3982" s="3" t="s">
        <v>595</v>
      </c>
      <c r="H3982" s="2" t="s">
        <v>55</v>
      </c>
      <c r="I3982" s="2" t="s">
        <v>9880</v>
      </c>
      <c r="J3982" s="3" t="str">
        <f>HYPERLINK("https://www.boe.es/gazeta/dias/1809/12/19/pdfs/GGB-1809-602.pdf#page=7","Abrir facsímil")</f>
        <v>Abrir facsímil</v>
      </c>
      <c r="K3982" s="3" t="s">
        <v>57</v>
      </c>
    </row>
    <row r="3983" spans="1:11" ht="42" customHeight="1">
      <c r="A3983" s="2" t="s">
        <v>9881</v>
      </c>
      <c r="B3983" s="2" t="s">
        <v>9882</v>
      </c>
      <c r="C3983" s="2" t="s">
        <v>17</v>
      </c>
      <c r="D3983" s="2" t="s">
        <v>18</v>
      </c>
      <c r="E3983" s="3" t="s">
        <v>305</v>
      </c>
      <c r="F3983" s="3" t="s">
        <v>306</v>
      </c>
      <c r="G3983" s="3" t="s">
        <v>29</v>
      </c>
      <c r="H3983" s="2" t="s">
        <v>55</v>
      </c>
      <c r="I3983" s="2" t="s">
        <v>9883</v>
      </c>
      <c r="J3983" s="3" t="str">
        <f>HYPERLINK("https://www.boe.es/gazeta/dias/1809/10/20/pdfs/GMD-1809-294.pdf#page=3","Abrir facsímil")</f>
        <v>Abrir facsímil</v>
      </c>
      <c r="K3983" s="3" t="s">
        <v>57</v>
      </c>
    </row>
    <row r="3984" spans="1:11" ht="42" customHeight="1">
      <c r="A3984" s="2" t="s">
        <v>9884</v>
      </c>
      <c r="B3984" s="2" t="s">
        <v>9885</v>
      </c>
      <c r="C3984" s="2" t="s">
        <v>25</v>
      </c>
      <c r="D3984" s="2" t="s">
        <v>18</v>
      </c>
      <c r="E3984" s="3" t="s">
        <v>48</v>
      </c>
      <c r="F3984" s="3" t="s">
        <v>1718</v>
      </c>
      <c r="G3984" s="3" t="s">
        <v>3670</v>
      </c>
      <c r="H3984" s="2" t="s">
        <v>55</v>
      </c>
      <c r="I3984" s="2" t="s">
        <v>9886</v>
      </c>
      <c r="J3984" s="3" t="str">
        <f>HYPERLINK("https://www.boe.es/gazeta/dias/1809/10/03/pdfs/GGB-1809-272.pdf#page=5","Abrir facsímil")</f>
        <v>Abrir facsímil</v>
      </c>
      <c r="K3984" s="3" t="s">
        <v>57</v>
      </c>
    </row>
    <row r="3985" spans="1:11" ht="42" customHeight="1">
      <c r="A3985" s="2" t="s">
        <v>9887</v>
      </c>
      <c r="B3985" s="2" t="s">
        <v>9888</v>
      </c>
      <c r="C3985" s="2" t="s">
        <v>25</v>
      </c>
      <c r="D3985" s="2" t="s">
        <v>80</v>
      </c>
      <c r="E3985" s="3" t="s">
        <v>755</v>
      </c>
      <c r="F3985" s="3" t="s">
        <v>2335</v>
      </c>
      <c r="G3985" s="3" t="s">
        <v>234</v>
      </c>
      <c r="H3985" s="2" t="s">
        <v>55</v>
      </c>
      <c r="I3985" s="2" t="s">
        <v>9889</v>
      </c>
      <c r="J3985" s="3" t="str">
        <f>HYPERLINK("https://www.boe.es/gazeta/dias/1809/05/20/pdfs/GGB-1809-29E2.pdf#page=1","Abrir facsímil")</f>
        <v>Abrir facsímil</v>
      </c>
      <c r="K3985" s="3" t="s">
        <v>57</v>
      </c>
    </row>
    <row r="3986" spans="1:11" ht="42" customHeight="1">
      <c r="A3986" s="2" t="s">
        <v>9890</v>
      </c>
      <c r="B3986" s="2" t="s">
        <v>9891</v>
      </c>
      <c r="C3986" s="2" t="s">
        <v>25</v>
      </c>
      <c r="D3986" s="2" t="s">
        <v>26</v>
      </c>
      <c r="E3986" s="3" t="s">
        <v>974</v>
      </c>
      <c r="F3986" s="3" t="s">
        <v>975</v>
      </c>
      <c r="G3986" s="3" t="s">
        <v>9892</v>
      </c>
      <c r="H3986" s="2" t="s">
        <v>55</v>
      </c>
      <c r="I3986" s="2" t="s">
        <v>9893</v>
      </c>
      <c r="J3986" s="3" t="str">
        <f>HYPERLINK("https://www.boe.es/gazeta/dias/1809/11/14/pdfs/GGB-1809-452.pdf#page=6","Abrir facsímil")</f>
        <v>Abrir facsímil</v>
      </c>
      <c r="K3986" s="3" t="s">
        <v>57</v>
      </c>
    </row>
    <row r="3987" spans="1:11" ht="42" customHeight="1">
      <c r="A3987" s="2" t="s">
        <v>9890</v>
      </c>
      <c r="B3987" s="2" t="s">
        <v>9891</v>
      </c>
      <c r="C3987" s="2" t="s">
        <v>17</v>
      </c>
      <c r="D3987" s="2" t="s">
        <v>18</v>
      </c>
      <c r="E3987" s="3" t="s">
        <v>2845</v>
      </c>
      <c r="F3987" s="3" t="s">
        <v>2846</v>
      </c>
      <c r="G3987" s="3" t="s">
        <v>154</v>
      </c>
      <c r="H3987" s="2" t="s">
        <v>55</v>
      </c>
      <c r="I3987" s="2" t="s">
        <v>9894</v>
      </c>
      <c r="J3987" s="3" t="str">
        <f>HYPERLINK("https://www.boe.es/gazeta/dias/1809/11/23/pdfs/GGB-1809-492.pdf#page=3","Abrir facsímil")</f>
        <v>Abrir facsímil</v>
      </c>
      <c r="K3987" s="3" t="s">
        <v>57</v>
      </c>
    </row>
    <row r="3988" spans="1:11" ht="42" customHeight="1">
      <c r="A3988" s="2" t="s">
        <v>9890</v>
      </c>
      <c r="B3988" s="2" t="s">
        <v>9891</v>
      </c>
      <c r="C3988" s="2" t="s">
        <v>25</v>
      </c>
      <c r="D3988" s="2" t="s">
        <v>26</v>
      </c>
      <c r="E3988" s="3" t="s">
        <v>2845</v>
      </c>
      <c r="F3988" s="3" t="s">
        <v>2846</v>
      </c>
      <c r="G3988" s="3" t="s">
        <v>225</v>
      </c>
      <c r="H3988" s="2" t="s">
        <v>55</v>
      </c>
      <c r="I3988" s="2" t="s">
        <v>9895</v>
      </c>
      <c r="J3988" s="3" t="str">
        <f>HYPERLINK("https://www.boe.es/gazeta/dias/1809/11/23/pdfs/GGB-1809-492.pdf#page=4","Abrir facsímil")</f>
        <v>Abrir facsímil</v>
      </c>
      <c r="K3988" s="3" t="s">
        <v>57</v>
      </c>
    </row>
    <row r="3989" spans="1:11" ht="42" customHeight="1">
      <c r="A3989" s="2" t="s">
        <v>9896</v>
      </c>
      <c r="B3989" s="2" t="s">
        <v>9896</v>
      </c>
      <c r="C3989" s="2" t="s">
        <v>25</v>
      </c>
      <c r="D3989" s="2" t="s">
        <v>26</v>
      </c>
      <c r="E3989" s="3" t="s">
        <v>1110</v>
      </c>
      <c r="F3989" s="3" t="s">
        <v>1532</v>
      </c>
      <c r="G3989" s="3" t="s">
        <v>75</v>
      </c>
      <c r="H3989" s="2" t="s">
        <v>55</v>
      </c>
      <c r="I3989" s="2" t="s">
        <v>9897</v>
      </c>
      <c r="J3989" s="3" t="str">
        <f>HYPERLINK("https://www.boe.es/gazeta/dias/1809/06/20/pdfs/GGB-1809-38E2.pdf#page=2","Abrir facsímil")</f>
        <v>Abrir facsímil</v>
      </c>
      <c r="K3989" s="3" t="s">
        <v>57</v>
      </c>
    </row>
    <row r="3990" spans="1:11" ht="42" customHeight="1">
      <c r="A3990" s="2" t="s">
        <v>9898</v>
      </c>
      <c r="B3990" s="2" t="s">
        <v>9898</v>
      </c>
      <c r="C3990" s="2" t="s">
        <v>25</v>
      </c>
      <c r="D3990" s="2" t="s">
        <v>72</v>
      </c>
      <c r="E3990" s="3" t="s">
        <v>1226</v>
      </c>
      <c r="F3990" s="3" t="s">
        <v>9899</v>
      </c>
      <c r="G3990" s="3" t="s">
        <v>1228</v>
      </c>
      <c r="H3990" s="2" t="s">
        <v>55</v>
      </c>
      <c r="I3990" s="2" t="s">
        <v>9900</v>
      </c>
      <c r="J3990" s="3" t="str">
        <f>HYPERLINK("https://www.boe.es/gazeta/dias/1809/11/09/pdfs/GMD-E-1809-314.pdf#page=4","Abrir facsímil")</f>
        <v>Abrir facsímil</v>
      </c>
      <c r="K3990" s="3" t="s">
        <v>57</v>
      </c>
    </row>
    <row r="3991" spans="1:11" ht="42" customHeight="1">
      <c r="A3991" s="2" t="s">
        <v>9901</v>
      </c>
      <c r="B3991" s="2" t="s">
        <v>9902</v>
      </c>
      <c r="C3991" s="2" t="s">
        <v>25</v>
      </c>
      <c r="D3991" s="2" t="s">
        <v>18</v>
      </c>
      <c r="E3991" s="3" t="s">
        <v>2331</v>
      </c>
      <c r="F3991" s="3" t="s">
        <v>2332</v>
      </c>
      <c r="G3991" s="3" t="s">
        <v>110</v>
      </c>
      <c r="H3991" s="2" t="s">
        <v>55</v>
      </c>
      <c r="I3991" s="2" t="s">
        <v>9903</v>
      </c>
      <c r="J3991" s="3" t="str">
        <f>HYPERLINK("https://www.boe.es/gazeta/dias/1809/03/22/pdfs/GMD-1809-81.pdf#page=3","Abrir facsímil")</f>
        <v>Abrir facsímil</v>
      </c>
      <c r="K3991" s="3" t="s">
        <v>57</v>
      </c>
    </row>
    <row r="3992" spans="1:11" ht="42" customHeight="1">
      <c r="A3992" s="2" t="s">
        <v>9904</v>
      </c>
      <c r="B3992" s="2" t="s">
        <v>9904</v>
      </c>
      <c r="C3992" s="2" t="s">
        <v>25</v>
      </c>
      <c r="D3992" s="2" t="s">
        <v>72</v>
      </c>
      <c r="E3992" s="3" t="s">
        <v>1514</v>
      </c>
      <c r="F3992" s="3" t="s">
        <v>1515</v>
      </c>
      <c r="G3992" s="3" t="s">
        <v>62</v>
      </c>
      <c r="H3992" s="2" t="s">
        <v>55</v>
      </c>
      <c r="I3992" s="2" t="s">
        <v>9905</v>
      </c>
      <c r="J3992" s="3" t="str">
        <f>HYPERLINK("https://www.boe.es/gazeta/dias/1809/04/17/pdfs/GGB-G-1809-19.pdf#page=1","Abrir facsímil")</f>
        <v>Abrir facsímil</v>
      </c>
      <c r="K3992" s="3" t="s">
        <v>57</v>
      </c>
    </row>
    <row r="3993" spans="1:11" ht="42" customHeight="1">
      <c r="A3993" s="2" t="s">
        <v>9906</v>
      </c>
      <c r="B3993" s="2" t="s">
        <v>9906</v>
      </c>
      <c r="C3993" s="2" t="s">
        <v>25</v>
      </c>
      <c r="D3993" s="2" t="s">
        <v>26</v>
      </c>
      <c r="E3993" s="3" t="s">
        <v>410</v>
      </c>
      <c r="F3993" s="3" t="s">
        <v>411</v>
      </c>
      <c r="G3993" s="3" t="s">
        <v>6973</v>
      </c>
      <c r="H3993" s="2" t="s">
        <v>55</v>
      </c>
      <c r="I3993" s="2" t="s">
        <v>9907</v>
      </c>
      <c r="J3993" s="3" t="str">
        <f>HYPERLINK("https://www.boe.es/gazeta/dias/1809/03/04/pdfs/GMD-1809-63.pdf#page=3","Abrir facsímil")</f>
        <v>Abrir facsímil</v>
      </c>
      <c r="K3993" s="3" t="s">
        <v>57</v>
      </c>
    </row>
    <row r="3994" spans="1:11" ht="42" customHeight="1">
      <c r="A3994" s="2" t="s">
        <v>9908</v>
      </c>
      <c r="B3994" s="2" t="s">
        <v>9908</v>
      </c>
      <c r="C3994" s="2" t="s">
        <v>25</v>
      </c>
      <c r="D3994" s="2" t="s">
        <v>107</v>
      </c>
      <c r="E3994" s="3" t="s">
        <v>1616</v>
      </c>
      <c r="F3994" s="3" t="s">
        <v>1617</v>
      </c>
      <c r="G3994" s="3" t="s">
        <v>525</v>
      </c>
      <c r="H3994" s="2" t="s">
        <v>55</v>
      </c>
      <c r="I3994" s="2" t="s">
        <v>9909</v>
      </c>
      <c r="J3994" s="3" t="str">
        <f>HYPERLINK("https://www.boe.es/gazeta/dias/1809/01/14/pdfs/GGB-1809-3.pdf#page=1","Abrir facsímil")</f>
        <v>Abrir facsímil</v>
      </c>
      <c r="K3994" s="3" t="s">
        <v>57</v>
      </c>
    </row>
    <row r="3995" spans="1:11" ht="42" customHeight="1">
      <c r="A3995" s="2" t="s">
        <v>9910</v>
      </c>
      <c r="B3995" s="2" t="s">
        <v>9910</v>
      </c>
      <c r="C3995" s="2" t="s">
        <v>25</v>
      </c>
      <c r="D3995" s="2" t="s">
        <v>18</v>
      </c>
      <c r="E3995" s="3" t="s">
        <v>739</v>
      </c>
      <c r="F3995" s="3" t="s">
        <v>740</v>
      </c>
      <c r="G3995" s="3" t="s">
        <v>62</v>
      </c>
      <c r="H3995" s="2" t="s">
        <v>55</v>
      </c>
      <c r="I3995" s="2" t="s">
        <v>9911</v>
      </c>
      <c r="J3995" s="3" t="str">
        <f>HYPERLINK("https://www.boe.es/gazeta/dias/1809/05/08/pdfs/GMD-1809-128.pdf#page=2","Abrir facsímil")</f>
        <v>Abrir facsímil</v>
      </c>
      <c r="K3995" s="3" t="s">
        <v>57</v>
      </c>
    </row>
    <row r="3996" spans="1:11" ht="42" customHeight="1">
      <c r="A3996" s="2" t="s">
        <v>9912</v>
      </c>
      <c r="B3996" s="2" t="s">
        <v>9912</v>
      </c>
      <c r="C3996" s="2" t="s">
        <v>25</v>
      </c>
      <c r="D3996" s="2" t="s">
        <v>18</v>
      </c>
      <c r="E3996" s="3" t="s">
        <v>1807</v>
      </c>
      <c r="F3996" s="3" t="s">
        <v>1808</v>
      </c>
      <c r="G3996" s="3" t="s">
        <v>2093</v>
      </c>
      <c r="H3996" s="2" t="s">
        <v>55</v>
      </c>
      <c r="I3996" s="2" t="s">
        <v>9913</v>
      </c>
      <c r="J3996" s="3" t="str">
        <f>HYPERLINK("https://www.boe.es/gazeta/dias/1809/01/22/pdfs/GMD-1809-22.pdf#page=2","Abrir facsímil")</f>
        <v>Abrir facsímil</v>
      </c>
      <c r="K3996" s="3" t="s">
        <v>57</v>
      </c>
    </row>
    <row r="3997" spans="1:11" ht="42" customHeight="1">
      <c r="A3997" s="2" t="s">
        <v>9912</v>
      </c>
      <c r="B3997" s="2" t="s">
        <v>9912</v>
      </c>
      <c r="C3997" s="2" t="s">
        <v>25</v>
      </c>
      <c r="D3997" s="2" t="s">
        <v>26</v>
      </c>
      <c r="E3997" s="3" t="s">
        <v>496</v>
      </c>
      <c r="F3997" s="3" t="s">
        <v>497</v>
      </c>
      <c r="G3997" s="3" t="s">
        <v>129</v>
      </c>
      <c r="H3997" s="2" t="s">
        <v>55</v>
      </c>
      <c r="I3997" s="2" t="s">
        <v>9914</v>
      </c>
      <c r="J3997" s="3" t="str">
        <f>HYPERLINK("https://www.boe.es/gazeta/dias/1809/03/13/pdfs/GMD-1809-72.pdf#page=2","Abrir facsímil")</f>
        <v>Abrir facsímil</v>
      </c>
      <c r="K3997" s="3" t="s">
        <v>57</v>
      </c>
    </row>
    <row r="3998" spans="1:11" ht="42" customHeight="1">
      <c r="A3998" s="2" t="s">
        <v>9912</v>
      </c>
      <c r="B3998" s="2" t="s">
        <v>9912</v>
      </c>
      <c r="C3998" s="2" t="s">
        <v>25</v>
      </c>
      <c r="D3998" s="2" t="s">
        <v>26</v>
      </c>
      <c r="E3998" s="3" t="s">
        <v>278</v>
      </c>
      <c r="F3998" s="3" t="s">
        <v>279</v>
      </c>
      <c r="G3998" s="3" t="s">
        <v>75</v>
      </c>
      <c r="H3998" s="2" t="s">
        <v>55</v>
      </c>
      <c r="I3998" s="2" t="s">
        <v>9915</v>
      </c>
      <c r="J3998" s="3" t="str">
        <f>HYPERLINK("https://www.boe.es/gazeta/dias/1809/03/26/pdfs/GMD-1809-85.pdf#page=2","Abrir facsímil")</f>
        <v>Abrir facsímil</v>
      </c>
      <c r="K3998" s="3" t="s">
        <v>57</v>
      </c>
    </row>
    <row r="3999" spans="1:11" ht="42" customHeight="1">
      <c r="A3999" s="2" t="s">
        <v>9912</v>
      </c>
      <c r="B3999" s="2" t="s">
        <v>9912</v>
      </c>
      <c r="C3999" s="2" t="s">
        <v>25</v>
      </c>
      <c r="D3999" s="2" t="s">
        <v>26</v>
      </c>
      <c r="E3999" s="3" t="s">
        <v>3764</v>
      </c>
      <c r="F3999" s="3" t="s">
        <v>3765</v>
      </c>
      <c r="G3999" s="3" t="s">
        <v>3766</v>
      </c>
      <c r="H3999" s="2" t="s">
        <v>55</v>
      </c>
      <c r="I3999" s="2" t="s">
        <v>9916</v>
      </c>
      <c r="J3999" s="3" t="str">
        <f>HYPERLINK("https://www.boe.es/gazeta/dias/1809/03/28/pdfs/GMD-1809-87.pdf#page=1","Abrir facsímil")</f>
        <v>Abrir facsímil</v>
      </c>
      <c r="K3999" s="3" t="s">
        <v>57</v>
      </c>
    </row>
    <row r="4000" spans="1:11" ht="42" customHeight="1">
      <c r="A4000" s="2" t="s">
        <v>9912</v>
      </c>
      <c r="B4000" s="2" t="s">
        <v>9912</v>
      </c>
      <c r="C4000" s="2" t="s">
        <v>25</v>
      </c>
      <c r="D4000" s="2" t="s">
        <v>18</v>
      </c>
      <c r="E4000" s="3" t="s">
        <v>739</v>
      </c>
      <c r="F4000" s="3" t="s">
        <v>740</v>
      </c>
      <c r="G4000" s="3" t="s">
        <v>62</v>
      </c>
      <c r="H4000" s="2" t="s">
        <v>55</v>
      </c>
      <c r="I4000" s="2" t="s">
        <v>9917</v>
      </c>
      <c r="J4000" s="3" t="str">
        <f>HYPERLINK("https://www.boe.es/gazeta/dias/1809/05/08/pdfs/GMD-1809-128.pdf#page=2","Abrir facsímil")</f>
        <v>Abrir facsímil</v>
      </c>
      <c r="K4000" s="3" t="s">
        <v>57</v>
      </c>
    </row>
    <row r="4001" spans="1:11" ht="42" customHeight="1">
      <c r="A4001" s="2" t="s">
        <v>9912</v>
      </c>
      <c r="B4001" s="2" t="s">
        <v>9912</v>
      </c>
      <c r="C4001" s="2" t="s">
        <v>25</v>
      </c>
      <c r="D4001" s="2" t="s">
        <v>26</v>
      </c>
      <c r="E4001" s="3" t="s">
        <v>1053</v>
      </c>
      <c r="F4001" s="3" t="s">
        <v>1054</v>
      </c>
      <c r="G4001" s="3" t="s">
        <v>234</v>
      </c>
      <c r="H4001" s="2" t="s">
        <v>55</v>
      </c>
      <c r="I4001" s="2" t="s">
        <v>9918</v>
      </c>
      <c r="J4001" s="3" t="str">
        <f>HYPERLINK("https://www.boe.es/gazeta/dias/1809/05/13/pdfs/GMD-1809-133.pdf#page=2","Abrir facsímil")</f>
        <v>Abrir facsímil</v>
      </c>
      <c r="K4001" s="3" t="s">
        <v>57</v>
      </c>
    </row>
    <row r="4002" spans="1:11" ht="42" customHeight="1">
      <c r="A4002" s="2" t="s">
        <v>9912</v>
      </c>
      <c r="B4002" s="2" t="s">
        <v>9912</v>
      </c>
      <c r="C4002" s="2" t="s">
        <v>25</v>
      </c>
      <c r="D4002" s="2" t="s">
        <v>18</v>
      </c>
      <c r="E4002" s="3" t="s">
        <v>1053</v>
      </c>
      <c r="F4002" s="3" t="s">
        <v>1054</v>
      </c>
      <c r="G4002" s="3" t="s">
        <v>239</v>
      </c>
      <c r="H4002" s="2" t="s">
        <v>55</v>
      </c>
      <c r="I4002" s="2" t="s">
        <v>9919</v>
      </c>
      <c r="J4002" s="3" t="str">
        <f>HYPERLINK("https://www.boe.es/gazeta/dias/1809/05/13/pdfs/GMD-1809-133.pdf#page=3","Abrir facsímil")</f>
        <v>Abrir facsímil</v>
      </c>
      <c r="K4002" s="3" t="s">
        <v>57</v>
      </c>
    </row>
    <row r="4003" spans="1:11" ht="42" customHeight="1">
      <c r="A4003" s="2" t="s">
        <v>9912</v>
      </c>
      <c r="B4003" s="2" t="s">
        <v>9912</v>
      </c>
      <c r="C4003" s="2" t="s">
        <v>25</v>
      </c>
      <c r="D4003" s="2" t="s">
        <v>18</v>
      </c>
      <c r="E4003" s="3" t="s">
        <v>5974</v>
      </c>
      <c r="F4003" s="3" t="s">
        <v>5975</v>
      </c>
      <c r="G4003" s="3" t="s">
        <v>3092</v>
      </c>
      <c r="H4003" s="2" t="s">
        <v>55</v>
      </c>
      <c r="I4003" s="2" t="s">
        <v>9920</v>
      </c>
      <c r="J4003" s="3" t="str">
        <f>HYPERLINK("https://www.boe.es/gazeta/dias/1809/05/21/pdfs/GMD-1809-141.pdf#page=1","Abrir facsímil")</f>
        <v>Abrir facsímil</v>
      </c>
      <c r="K4003" s="3" t="s">
        <v>57</v>
      </c>
    </row>
    <row r="4004" spans="1:11" ht="42" customHeight="1">
      <c r="A4004" s="2" t="s">
        <v>9912</v>
      </c>
      <c r="B4004" s="2" t="s">
        <v>9912</v>
      </c>
      <c r="C4004" s="2" t="s">
        <v>25</v>
      </c>
      <c r="D4004" s="2" t="s">
        <v>26</v>
      </c>
      <c r="E4004" s="3" t="s">
        <v>429</v>
      </c>
      <c r="F4004" s="3" t="s">
        <v>1544</v>
      </c>
      <c r="G4004" s="3" t="s">
        <v>1545</v>
      </c>
      <c r="H4004" s="2" t="s">
        <v>55</v>
      </c>
      <c r="I4004" s="2" t="s">
        <v>9921</v>
      </c>
      <c r="J4004" s="3" t="str">
        <f>HYPERLINK("https://www.boe.es/gazeta/dias/1809/06/09/pdfs/GMD-1809-160.pdf#page=2","Abrir facsímil")</f>
        <v>Abrir facsímil</v>
      </c>
      <c r="K4004" s="3" t="s">
        <v>57</v>
      </c>
    </row>
    <row r="4005" spans="1:11" ht="42" customHeight="1">
      <c r="A4005" s="2" t="s">
        <v>9912</v>
      </c>
      <c r="B4005" s="2" t="s">
        <v>9912</v>
      </c>
      <c r="C4005" s="2" t="s">
        <v>25</v>
      </c>
      <c r="D4005" s="2" t="s">
        <v>26</v>
      </c>
      <c r="E4005" s="3" t="s">
        <v>1560</v>
      </c>
      <c r="F4005" s="3" t="s">
        <v>1561</v>
      </c>
      <c r="G4005" s="3" t="s">
        <v>9409</v>
      </c>
      <c r="H4005" s="2" t="s">
        <v>55</v>
      </c>
      <c r="I4005" s="2" t="s">
        <v>9922</v>
      </c>
      <c r="J4005" s="3" t="str">
        <f>HYPERLINK("https://www.boe.es/gazeta/dias/1809/07/03/pdfs/GMD-1809-184.pdf#page=4","Abrir facsímil")</f>
        <v>Abrir facsímil</v>
      </c>
      <c r="K4005" s="3" t="s">
        <v>57</v>
      </c>
    </row>
    <row r="4006" spans="1:11" ht="42" customHeight="1">
      <c r="A4006" s="2" t="s">
        <v>9912</v>
      </c>
      <c r="B4006" s="2" t="s">
        <v>9912</v>
      </c>
      <c r="C4006" s="2" t="s">
        <v>25</v>
      </c>
      <c r="D4006" s="2" t="s">
        <v>18</v>
      </c>
      <c r="E4006" s="3" t="s">
        <v>1343</v>
      </c>
      <c r="F4006" s="3" t="s">
        <v>1344</v>
      </c>
      <c r="G4006" s="3" t="s">
        <v>340</v>
      </c>
      <c r="H4006" s="2" t="s">
        <v>55</v>
      </c>
      <c r="I4006" s="2" t="s">
        <v>9923</v>
      </c>
      <c r="J4006" s="3" t="str">
        <f>HYPERLINK("https://www.boe.es/gazeta/dias/1809/07/24/pdfs/GMD-1809-205.pdf#page=4","Abrir facsímil")</f>
        <v>Abrir facsímil</v>
      </c>
      <c r="K4006" s="3" t="s">
        <v>57</v>
      </c>
    </row>
    <row r="4007" spans="1:11" ht="42" customHeight="1">
      <c r="A4007" s="2" t="s">
        <v>9912</v>
      </c>
      <c r="B4007" s="2" t="s">
        <v>9912</v>
      </c>
      <c r="C4007" s="2" t="s">
        <v>25</v>
      </c>
      <c r="D4007" s="2" t="s">
        <v>18</v>
      </c>
      <c r="E4007" s="3" t="s">
        <v>1343</v>
      </c>
      <c r="F4007" s="3" t="s">
        <v>1344</v>
      </c>
      <c r="G4007" s="3" t="s">
        <v>340</v>
      </c>
      <c r="H4007" s="2" t="s">
        <v>55</v>
      </c>
      <c r="I4007" s="2" t="s">
        <v>9924</v>
      </c>
      <c r="J4007" s="3" t="str">
        <f>HYPERLINK("https://www.boe.es/gazeta/dias/1809/07/24/pdfs/GMD-1809-205.pdf#page=6","Abrir facsímil")</f>
        <v>Abrir facsímil</v>
      </c>
      <c r="K4007" s="3" t="s">
        <v>57</v>
      </c>
    </row>
    <row r="4008" spans="1:11" ht="42" customHeight="1">
      <c r="A4008" s="2" t="s">
        <v>9912</v>
      </c>
      <c r="B4008" s="2" t="s">
        <v>9912</v>
      </c>
      <c r="C4008" s="2" t="s">
        <v>47</v>
      </c>
      <c r="D4008" s="2" t="s">
        <v>18</v>
      </c>
      <c r="E4008" s="3" t="s">
        <v>237</v>
      </c>
      <c r="F4008" s="3" t="s">
        <v>238</v>
      </c>
      <c r="G4008" s="3" t="s">
        <v>29</v>
      </c>
      <c r="H4008" s="2" t="s">
        <v>55</v>
      </c>
      <c r="I4008" s="2" t="s">
        <v>9925</v>
      </c>
      <c r="J4008" s="3" t="str">
        <f>HYPERLINK("https://www.boe.es/gazeta/dias/1809/07/30/pdfs/GMD-1809-212.pdf#page=3","Abrir facsímil")</f>
        <v>Abrir facsímil</v>
      </c>
      <c r="K4008" s="3" t="s">
        <v>57</v>
      </c>
    </row>
    <row r="4009" spans="1:11" ht="42" customHeight="1">
      <c r="A4009" s="2" t="s">
        <v>9912</v>
      </c>
      <c r="B4009" s="2" t="s">
        <v>9912</v>
      </c>
      <c r="C4009" s="2" t="s">
        <v>25</v>
      </c>
      <c r="D4009" s="2" t="s">
        <v>26</v>
      </c>
      <c r="E4009" s="3" t="s">
        <v>1865</v>
      </c>
      <c r="F4009" s="3" t="s">
        <v>1866</v>
      </c>
      <c r="G4009" s="3" t="s">
        <v>587</v>
      </c>
      <c r="H4009" s="2" t="s">
        <v>55</v>
      </c>
      <c r="I4009" s="2" t="s">
        <v>9926</v>
      </c>
      <c r="J4009" s="3" t="str">
        <f>HYPERLINK("https://www.boe.es/gazeta/dias/1809/08/08/pdfs/GGB-1809-32.pdf#page=2","Abrir facsímil")</f>
        <v>Abrir facsímil</v>
      </c>
      <c r="K4009" s="3" t="s">
        <v>57</v>
      </c>
    </row>
    <row r="4010" spans="1:11" ht="42" customHeight="1">
      <c r="A4010" s="2" t="s">
        <v>9912</v>
      </c>
      <c r="B4010" s="2" t="s">
        <v>9912</v>
      </c>
      <c r="C4010" s="2" t="s">
        <v>17</v>
      </c>
      <c r="D4010" s="2" t="s">
        <v>18</v>
      </c>
      <c r="E4010" s="3" t="s">
        <v>8557</v>
      </c>
      <c r="F4010" s="3" t="s">
        <v>8558</v>
      </c>
      <c r="G4010" s="3" t="s">
        <v>120</v>
      </c>
      <c r="H4010" s="2" t="s">
        <v>55</v>
      </c>
      <c r="I4010" s="2" t="s">
        <v>9927</v>
      </c>
      <c r="J4010" s="3" t="str">
        <f>HYPERLINK("https://www.boe.es/gazeta/dias/1809/08/09/pdfs/GMD-1809-222.pdf#page=1","Abrir facsímil")</f>
        <v>Abrir facsímil</v>
      </c>
      <c r="K4010" s="3" t="s">
        <v>57</v>
      </c>
    </row>
    <row r="4011" spans="1:11" ht="42" customHeight="1">
      <c r="A4011" s="2" t="s">
        <v>9912</v>
      </c>
      <c r="B4011" s="2" t="s">
        <v>9912</v>
      </c>
      <c r="C4011" s="2" t="s">
        <v>25</v>
      </c>
      <c r="D4011" s="2" t="s">
        <v>18</v>
      </c>
      <c r="E4011" s="3" t="s">
        <v>3031</v>
      </c>
      <c r="F4011" s="3" t="s">
        <v>3032</v>
      </c>
      <c r="G4011" s="3" t="s">
        <v>467</v>
      </c>
      <c r="H4011" s="2" t="s">
        <v>55</v>
      </c>
      <c r="I4011" s="2" t="s">
        <v>9928</v>
      </c>
      <c r="J4011" s="3" t="str">
        <f>HYPERLINK("https://www.boe.es/gazeta/dias/1809/08/18/pdfs/GMD-1809-231.pdf#page=3","Abrir facsímil")</f>
        <v>Abrir facsímil</v>
      </c>
      <c r="K4011" s="3" t="s">
        <v>57</v>
      </c>
    </row>
    <row r="4012" spans="1:11" ht="42" customHeight="1">
      <c r="A4012" s="2" t="s">
        <v>9912</v>
      </c>
      <c r="B4012" s="2" t="s">
        <v>9912</v>
      </c>
      <c r="C4012" s="2" t="s">
        <v>47</v>
      </c>
      <c r="D4012" s="2" t="s">
        <v>18</v>
      </c>
      <c r="E4012" s="3" t="s">
        <v>1786</v>
      </c>
      <c r="F4012" s="3" t="s">
        <v>2296</v>
      </c>
      <c r="G4012" s="3" t="s">
        <v>1504</v>
      </c>
      <c r="H4012" s="2" t="s">
        <v>55</v>
      </c>
      <c r="I4012" s="2" t="s">
        <v>9929</v>
      </c>
      <c r="J4012" s="3" t="str">
        <f>HYPERLINK("https://www.boe.es/gazeta/dias/1809/08/24/pdfs/GGB-1809-102.pdf#page=2","Abrir facsímil")</f>
        <v>Abrir facsímil</v>
      </c>
      <c r="K4012" s="3" t="s">
        <v>57</v>
      </c>
    </row>
    <row r="4013" spans="1:11" ht="42" customHeight="1">
      <c r="A4013" s="2" t="s">
        <v>9912</v>
      </c>
      <c r="B4013" s="2" t="s">
        <v>9912</v>
      </c>
      <c r="C4013" s="2" t="s">
        <v>25</v>
      </c>
      <c r="D4013" s="2" t="s">
        <v>107</v>
      </c>
      <c r="E4013" s="3" t="s">
        <v>442</v>
      </c>
      <c r="F4013" s="3" t="s">
        <v>2171</v>
      </c>
      <c r="G4013" s="3" t="s">
        <v>3710</v>
      </c>
      <c r="H4013" s="2" t="s">
        <v>55</v>
      </c>
      <c r="I4013" s="2" t="s">
        <v>9930</v>
      </c>
      <c r="J4013" s="3" t="str">
        <f>HYPERLINK("https://www.boe.es/gazeta/dias/1809/09/05/pdfs/GMD-1809-249.pdf#page=1","Abrir facsímil")</f>
        <v>Abrir facsímil</v>
      </c>
      <c r="K4013" s="3" t="s">
        <v>57</v>
      </c>
    </row>
    <row r="4014" spans="1:11" ht="42" customHeight="1">
      <c r="A4014" s="2" t="s">
        <v>9912</v>
      </c>
      <c r="B4014" s="2" t="s">
        <v>9912</v>
      </c>
      <c r="C4014" s="2" t="s">
        <v>25</v>
      </c>
      <c r="D4014" s="2" t="s">
        <v>26</v>
      </c>
      <c r="E4014" s="3" t="s">
        <v>2408</v>
      </c>
      <c r="F4014" s="3" t="s">
        <v>2409</v>
      </c>
      <c r="G4014" s="3" t="s">
        <v>75</v>
      </c>
      <c r="H4014" s="2" t="s">
        <v>55</v>
      </c>
      <c r="I4014" s="2" t="s">
        <v>9931</v>
      </c>
      <c r="J4014" s="3" t="str">
        <f>HYPERLINK("https://www.boe.es/gazeta/dias/1809/09/20/pdfs/GMD-1809-264.pdf#page=2","Abrir facsímil")</f>
        <v>Abrir facsímil</v>
      </c>
      <c r="K4014" s="3" t="s">
        <v>57</v>
      </c>
    </row>
    <row r="4015" spans="1:11" ht="42" customHeight="1">
      <c r="A4015" s="2" t="s">
        <v>9912</v>
      </c>
      <c r="B4015" s="2" t="s">
        <v>9912</v>
      </c>
      <c r="C4015" s="2" t="s">
        <v>131</v>
      </c>
      <c r="D4015" s="2" t="s">
        <v>26</v>
      </c>
      <c r="E4015" s="3" t="s">
        <v>1132</v>
      </c>
      <c r="F4015" s="3" t="s">
        <v>1133</v>
      </c>
      <c r="G4015" s="3" t="s">
        <v>8398</v>
      </c>
      <c r="H4015" s="2" t="s">
        <v>55</v>
      </c>
      <c r="I4015" s="2" t="s">
        <v>9932</v>
      </c>
      <c r="J4015" s="3" t="str">
        <f>HYPERLINK("https://www.boe.es/gazeta/dias/1809/11/11/pdfs/GGB-1809-442.pdf#page=4","Abrir facsímil")</f>
        <v>Abrir facsímil</v>
      </c>
      <c r="K4015" s="3" t="s">
        <v>57</v>
      </c>
    </row>
    <row r="4016" spans="1:11" ht="42" customHeight="1">
      <c r="A4016" s="2" t="s">
        <v>9912</v>
      </c>
      <c r="B4016" s="2" t="s">
        <v>9912</v>
      </c>
      <c r="C4016" s="2" t="s">
        <v>47</v>
      </c>
      <c r="D4016" s="2" t="s">
        <v>18</v>
      </c>
      <c r="E4016" s="3" t="s">
        <v>7617</v>
      </c>
      <c r="F4016" s="3" t="s">
        <v>7618</v>
      </c>
      <c r="G4016" s="3" t="s">
        <v>89</v>
      </c>
      <c r="H4016" s="2" t="s">
        <v>55</v>
      </c>
      <c r="I4016" s="2" t="s">
        <v>9933</v>
      </c>
      <c r="J4016" s="3" t="str">
        <f>HYPERLINK("https://www.boe.es/gazeta/dias/1809/12/24/pdfs/GMD-1809-359.pdf#page=3","Abrir facsímil")</f>
        <v>Abrir facsímil</v>
      </c>
      <c r="K4016" s="3" t="s">
        <v>57</v>
      </c>
    </row>
    <row r="4017" spans="1:11" ht="42" customHeight="1">
      <c r="A4017" s="2" t="s">
        <v>9934</v>
      </c>
      <c r="B4017" s="2" t="s">
        <v>9934</v>
      </c>
      <c r="C4017" s="2" t="s">
        <v>17</v>
      </c>
      <c r="D4017" s="2" t="s">
        <v>18</v>
      </c>
      <c r="E4017" s="3" t="s">
        <v>1343</v>
      </c>
      <c r="F4017" s="3" t="s">
        <v>1344</v>
      </c>
      <c r="G4017" s="3" t="s">
        <v>270</v>
      </c>
      <c r="H4017" s="2" t="s">
        <v>55</v>
      </c>
      <c r="I4017" s="2" t="s">
        <v>9935</v>
      </c>
      <c r="J4017" s="3" t="str">
        <f>HYPERLINK("https://www.boe.es/gazeta/dias/1809/07/24/pdfs/GMD-1809-205.pdf#page=5","Abrir facsímil")</f>
        <v>Abrir facsímil</v>
      </c>
      <c r="K4017" s="3" t="s">
        <v>57</v>
      </c>
    </row>
    <row r="4018" spans="1:11" ht="42" customHeight="1">
      <c r="A4018" s="2" t="s">
        <v>9936</v>
      </c>
      <c r="B4018" s="2" t="s">
        <v>9936</v>
      </c>
      <c r="C4018" s="2" t="s">
        <v>25</v>
      </c>
      <c r="D4018" s="2" t="s">
        <v>18</v>
      </c>
      <c r="E4018" s="3" t="s">
        <v>5350</v>
      </c>
      <c r="F4018" s="3" t="s">
        <v>5351</v>
      </c>
      <c r="G4018" s="3" t="s">
        <v>9937</v>
      </c>
      <c r="H4018" s="2" t="s">
        <v>55</v>
      </c>
      <c r="I4018" s="2" t="s">
        <v>9938</v>
      </c>
      <c r="J4018" s="3" t="str">
        <f>HYPERLINK("https://www.boe.es/gazeta/dias/1809/05/25/pdfs/GMD-1809-145.pdf#page=2","Abrir facsímil")</f>
        <v>Abrir facsímil</v>
      </c>
      <c r="K4018" s="3" t="s">
        <v>57</v>
      </c>
    </row>
    <row r="4019" spans="1:11" ht="42" customHeight="1">
      <c r="A4019" s="2" t="s">
        <v>9939</v>
      </c>
      <c r="B4019" s="2" t="s">
        <v>9939</v>
      </c>
      <c r="C4019" s="2" t="s">
        <v>25</v>
      </c>
      <c r="D4019" s="2" t="s">
        <v>18</v>
      </c>
      <c r="E4019" s="3" t="s">
        <v>1343</v>
      </c>
      <c r="F4019" s="3" t="s">
        <v>1344</v>
      </c>
      <c r="G4019" s="3" t="s">
        <v>340</v>
      </c>
      <c r="H4019" s="2" t="s">
        <v>55</v>
      </c>
      <c r="I4019" s="2" t="s">
        <v>9940</v>
      </c>
      <c r="J4019" s="3" t="str">
        <f>HYPERLINK("https://www.boe.es/gazeta/dias/1809/07/24/pdfs/GMD-1809-205.pdf#page=4","Abrir facsímil")</f>
        <v>Abrir facsímil</v>
      </c>
      <c r="K4019" s="3" t="s">
        <v>57</v>
      </c>
    </row>
    <row r="4020" spans="1:11" ht="42" customHeight="1">
      <c r="A4020" s="2" t="s">
        <v>9941</v>
      </c>
      <c r="B4020" s="2" t="s">
        <v>9941</v>
      </c>
      <c r="C4020" s="2" t="s">
        <v>25</v>
      </c>
      <c r="D4020" s="2" t="s">
        <v>18</v>
      </c>
      <c r="E4020" s="3" t="s">
        <v>5350</v>
      </c>
      <c r="F4020" s="3" t="s">
        <v>5351</v>
      </c>
      <c r="G4020" s="3" t="s">
        <v>9937</v>
      </c>
      <c r="H4020" s="2" t="s">
        <v>55</v>
      </c>
      <c r="I4020" s="2" t="s">
        <v>9942</v>
      </c>
      <c r="J4020" s="3" t="str">
        <f>HYPERLINK("https://www.boe.es/gazeta/dias/1809/05/25/pdfs/GMD-1809-145.pdf#page=2","Abrir facsímil")</f>
        <v>Abrir facsímil</v>
      </c>
      <c r="K4020" s="3" t="s">
        <v>57</v>
      </c>
    </row>
    <row r="4021" spans="1:11" ht="42" customHeight="1">
      <c r="A4021" s="2" t="s">
        <v>9943</v>
      </c>
      <c r="B4021" s="2" t="s">
        <v>9944</v>
      </c>
      <c r="C4021" s="2" t="s">
        <v>17</v>
      </c>
      <c r="D4021" s="2" t="s">
        <v>18</v>
      </c>
      <c r="E4021" s="3" t="s">
        <v>158</v>
      </c>
      <c r="F4021" s="3" t="s">
        <v>159</v>
      </c>
      <c r="G4021" s="3" t="s">
        <v>120</v>
      </c>
      <c r="H4021" s="2" t="s">
        <v>55</v>
      </c>
      <c r="I4021" s="2" t="s">
        <v>9945</v>
      </c>
      <c r="J4021" s="3" t="str">
        <f>HYPERLINK("https://www.boe.es/gazeta/dias/1809/02/10/pdfs/GGB-1809-7.pdf#page=9","Abrir facsímil")</f>
        <v>Abrir facsímil</v>
      </c>
      <c r="K4021" s="3" t="s">
        <v>57</v>
      </c>
    </row>
    <row r="4022" spans="1:11" ht="42" customHeight="1">
      <c r="A4022" s="2" t="s">
        <v>9946</v>
      </c>
      <c r="B4022" s="2" t="s">
        <v>9947</v>
      </c>
      <c r="C4022" s="2" t="s">
        <v>17</v>
      </c>
      <c r="D4022" s="2" t="s">
        <v>18</v>
      </c>
      <c r="E4022" s="3" t="s">
        <v>925</v>
      </c>
      <c r="F4022" s="3" t="s">
        <v>926</v>
      </c>
      <c r="G4022" s="3" t="s">
        <v>62</v>
      </c>
      <c r="H4022" s="2" t="s">
        <v>55</v>
      </c>
      <c r="I4022" s="2" t="s">
        <v>9948</v>
      </c>
      <c r="J4022" s="3" t="str">
        <f>HYPERLINK("https://www.boe.es/gazeta/dias/1809/01/11/pdfs/GGB-1809-2.pdf#page=6","Abrir facsímil")</f>
        <v>Abrir facsímil</v>
      </c>
      <c r="K4022" s="3" t="s">
        <v>57</v>
      </c>
    </row>
    <row r="4023" spans="1:11" ht="42" customHeight="1">
      <c r="A4023" s="2" t="s">
        <v>9946</v>
      </c>
      <c r="B4023" s="2" t="s">
        <v>9947</v>
      </c>
      <c r="C4023" s="2" t="s">
        <v>17</v>
      </c>
      <c r="D4023" s="2" t="s">
        <v>18</v>
      </c>
      <c r="E4023" s="3" t="s">
        <v>925</v>
      </c>
      <c r="F4023" s="3" t="s">
        <v>926</v>
      </c>
      <c r="G4023" s="3" t="s">
        <v>595</v>
      </c>
      <c r="H4023" s="2" t="s">
        <v>55</v>
      </c>
      <c r="I4023" s="2" t="s">
        <v>9949</v>
      </c>
      <c r="J4023" s="3" t="str">
        <f>HYPERLINK("https://www.boe.es/gazeta/dias/1809/01/11/pdfs/GGB-1809-2.pdf#page=7","Abrir facsímil")</f>
        <v>Abrir facsímil</v>
      </c>
      <c r="K4023" s="3" t="s">
        <v>57</v>
      </c>
    </row>
    <row r="4024" spans="1:11" ht="42" customHeight="1">
      <c r="A4024" s="2" t="s">
        <v>9950</v>
      </c>
      <c r="B4024" s="2" t="s">
        <v>9951</v>
      </c>
      <c r="C4024" s="2" t="s">
        <v>25</v>
      </c>
      <c r="D4024" s="2" t="s">
        <v>72</v>
      </c>
      <c r="E4024" s="3" t="s">
        <v>143</v>
      </c>
      <c r="F4024" s="3" t="s">
        <v>705</v>
      </c>
      <c r="G4024" s="3" t="s">
        <v>225</v>
      </c>
      <c r="H4024" s="2" t="s">
        <v>55</v>
      </c>
      <c r="I4024" s="2" t="s">
        <v>9952</v>
      </c>
      <c r="J4024" s="3" t="str">
        <f>HYPERLINK("https://www.boe.es/gazeta/dias/1809/11/16/pdfs/GGB-H-1809-462.pdf#page=4","Abrir facsímil")</f>
        <v>Abrir facsímil</v>
      </c>
      <c r="K4024" s="3" t="s">
        <v>57</v>
      </c>
    </row>
    <row r="4025" spans="1:11" ht="42" customHeight="1">
      <c r="A4025" s="2" t="s">
        <v>9953</v>
      </c>
      <c r="B4025" s="2" t="s">
        <v>9954</v>
      </c>
      <c r="C4025" s="2" t="s">
        <v>17</v>
      </c>
      <c r="D4025" s="2" t="s">
        <v>18</v>
      </c>
      <c r="E4025" s="3" t="s">
        <v>1468</v>
      </c>
      <c r="F4025" s="3" t="s">
        <v>1469</v>
      </c>
      <c r="G4025" s="3" t="s">
        <v>104</v>
      </c>
      <c r="H4025" s="2" t="s">
        <v>55</v>
      </c>
      <c r="I4025" s="2" t="s">
        <v>9955</v>
      </c>
      <c r="J4025" s="3" t="str">
        <f>HYPERLINK("https://www.boe.es/gazeta/dias/1809/02/12/pdfs/GMD-1809-43.pdf#page=6","Abrir facsímil")</f>
        <v>Abrir facsímil</v>
      </c>
      <c r="K4025" s="3" t="s">
        <v>57</v>
      </c>
    </row>
    <row r="4026" spans="1:11" ht="42" customHeight="1">
      <c r="A4026" s="2" t="s">
        <v>9956</v>
      </c>
      <c r="B4026" s="2" t="s">
        <v>9957</v>
      </c>
      <c r="C4026" s="2" t="s">
        <v>131</v>
      </c>
      <c r="D4026" s="2" t="s">
        <v>18</v>
      </c>
      <c r="E4026" s="3" t="s">
        <v>305</v>
      </c>
      <c r="F4026" s="3" t="s">
        <v>306</v>
      </c>
      <c r="G4026" s="3" t="s">
        <v>29</v>
      </c>
      <c r="H4026" s="2" t="s">
        <v>22</v>
      </c>
      <c r="I4026" s="2" t="s">
        <v>9958</v>
      </c>
      <c r="J4026" s="3" t="str">
        <f>HYPERLINK("https://www.boe.es/gazeta/dias/1809/10/20/pdfs/GMD-1809-294.pdf#page=3","Abrir facsímil")</f>
        <v>Abrir facsímil</v>
      </c>
      <c r="K4026" s="3" t="s">
        <v>24</v>
      </c>
    </row>
    <row r="4027" spans="1:11" ht="42" customHeight="1">
      <c r="A4027" s="2" t="s">
        <v>9959</v>
      </c>
      <c r="B4027" s="2" t="s">
        <v>9960</v>
      </c>
      <c r="C4027" s="2" t="s">
        <v>17</v>
      </c>
      <c r="D4027" s="2" t="s">
        <v>18</v>
      </c>
      <c r="E4027" s="3" t="s">
        <v>33</v>
      </c>
      <c r="F4027" s="3" t="s">
        <v>34</v>
      </c>
      <c r="G4027" s="3" t="s">
        <v>493</v>
      </c>
      <c r="H4027" s="2" t="s">
        <v>55</v>
      </c>
      <c r="I4027" s="2" t="s">
        <v>9961</v>
      </c>
      <c r="J4027" s="3" t="str">
        <f>HYPERLINK("https://www.boe.es/gazeta/dias/1809/12/19/pdfs/GGB-1809-602.pdf#page=6","Abrir facsímil")</f>
        <v>Abrir facsímil</v>
      </c>
      <c r="K4027" s="3" t="s">
        <v>57</v>
      </c>
    </row>
    <row r="4028" spans="1:11" ht="42" customHeight="1">
      <c r="A4028" s="2" t="s">
        <v>9962</v>
      </c>
      <c r="B4028" s="2" t="s">
        <v>9963</v>
      </c>
      <c r="C4028" s="2" t="s">
        <v>47</v>
      </c>
      <c r="D4028" s="2" t="s">
        <v>18</v>
      </c>
      <c r="E4028" s="3" t="s">
        <v>5140</v>
      </c>
      <c r="F4028" s="3" t="s">
        <v>5141</v>
      </c>
      <c r="G4028" s="3" t="s">
        <v>6049</v>
      </c>
      <c r="H4028" s="2" t="s">
        <v>55</v>
      </c>
      <c r="I4028" s="2" t="s">
        <v>9964</v>
      </c>
      <c r="J4028" s="3" t="str">
        <f>HYPERLINK("https://www.boe.es/gazeta/dias/1809/07/16/pdfs/GMD-1809-197.pdf#page=3","Abrir facsímil")</f>
        <v>Abrir facsímil</v>
      </c>
      <c r="K4028" s="3" t="s">
        <v>57</v>
      </c>
    </row>
    <row r="4029" spans="1:11" ht="42" customHeight="1">
      <c r="A4029" s="2" t="s">
        <v>9965</v>
      </c>
      <c r="B4029" s="2" t="s">
        <v>9965</v>
      </c>
      <c r="C4029" s="2" t="s">
        <v>47</v>
      </c>
      <c r="D4029" s="2" t="s">
        <v>107</v>
      </c>
      <c r="E4029" s="3" t="s">
        <v>1053</v>
      </c>
      <c r="F4029" s="3" t="s">
        <v>1054</v>
      </c>
      <c r="G4029" s="3" t="s">
        <v>120</v>
      </c>
      <c r="H4029" s="2" t="s">
        <v>55</v>
      </c>
      <c r="I4029" s="2" t="s">
        <v>9966</v>
      </c>
      <c r="J4029" s="3" t="str">
        <f>HYPERLINK("https://www.boe.es/gazeta/dias/1809/05/13/pdfs/GMD-1809-133.pdf#page=1","Abrir facsímil")</f>
        <v>Abrir facsímil</v>
      </c>
      <c r="K4029" s="3" t="s">
        <v>57</v>
      </c>
    </row>
    <row r="4030" spans="1:11" ht="42" customHeight="1">
      <c r="A4030" s="2" t="s">
        <v>9965</v>
      </c>
      <c r="B4030" s="2" t="s">
        <v>9965</v>
      </c>
      <c r="C4030" s="2" t="s">
        <v>131</v>
      </c>
      <c r="D4030" s="2" t="s">
        <v>18</v>
      </c>
      <c r="E4030" s="3" t="s">
        <v>1829</v>
      </c>
      <c r="F4030" s="3" t="s">
        <v>1830</v>
      </c>
      <c r="G4030" s="3" t="s">
        <v>129</v>
      </c>
      <c r="H4030" s="2" t="s">
        <v>55</v>
      </c>
      <c r="I4030" s="2" t="s">
        <v>9967</v>
      </c>
      <c r="J4030" s="3" t="str">
        <f>HYPERLINK("https://www.boe.es/gazeta/dias/1809/09/17/pdfs/GMD-1809-261.pdf#page=2","Abrir facsímil")</f>
        <v>Abrir facsímil</v>
      </c>
      <c r="K4030" s="3" t="s">
        <v>57</v>
      </c>
    </row>
    <row r="4031" spans="1:11" ht="42" customHeight="1">
      <c r="A4031" s="2" t="s">
        <v>9968</v>
      </c>
      <c r="B4031" s="2" t="s">
        <v>9969</v>
      </c>
      <c r="C4031" s="2" t="s">
        <v>17</v>
      </c>
      <c r="D4031" s="2" t="s">
        <v>18</v>
      </c>
      <c r="E4031" s="3" t="s">
        <v>158</v>
      </c>
      <c r="F4031" s="3" t="s">
        <v>159</v>
      </c>
      <c r="G4031" s="3" t="s">
        <v>120</v>
      </c>
      <c r="H4031" s="2" t="s">
        <v>55</v>
      </c>
      <c r="I4031" s="2" t="s">
        <v>9970</v>
      </c>
      <c r="J4031" s="3" t="str">
        <f>HYPERLINK("https://www.boe.es/gazeta/dias/1809/02/10/pdfs/GGB-1809-7.pdf#page=9","Abrir facsímil")</f>
        <v>Abrir facsímil</v>
      </c>
      <c r="K4031" s="3" t="s">
        <v>57</v>
      </c>
    </row>
    <row r="4032" spans="1:11" ht="42" customHeight="1">
      <c r="A4032" s="2" t="s">
        <v>9971</v>
      </c>
      <c r="B4032" s="2" t="s">
        <v>9971</v>
      </c>
      <c r="C4032" s="2" t="s">
        <v>25</v>
      </c>
      <c r="D4032" s="2" t="s">
        <v>26</v>
      </c>
      <c r="E4032" s="3" t="s">
        <v>1608</v>
      </c>
      <c r="F4032" s="3" t="s">
        <v>1609</v>
      </c>
      <c r="G4032" s="3" t="s">
        <v>89</v>
      </c>
      <c r="H4032" s="2" t="s">
        <v>55</v>
      </c>
      <c r="I4032" s="2" t="s">
        <v>9972</v>
      </c>
      <c r="J4032" s="3" t="str">
        <f>HYPERLINK("https://www.boe.es/gazeta/dias/1809/04/15/pdfs/GGB-1809-18E.pdf#page=7","Abrir facsímil")</f>
        <v>Abrir facsímil</v>
      </c>
      <c r="K4032" s="3" t="s">
        <v>57</v>
      </c>
    </row>
    <row r="4033" spans="1:11" ht="42" customHeight="1">
      <c r="A4033" s="2" t="s">
        <v>9973</v>
      </c>
      <c r="B4033" s="2" t="s">
        <v>9973</v>
      </c>
      <c r="C4033" s="2" t="s">
        <v>131</v>
      </c>
      <c r="D4033" s="2" t="s">
        <v>18</v>
      </c>
      <c r="E4033" s="3" t="s">
        <v>332</v>
      </c>
      <c r="F4033" s="3" t="s">
        <v>333</v>
      </c>
      <c r="G4033" s="3" t="s">
        <v>225</v>
      </c>
      <c r="H4033" s="2" t="s">
        <v>55</v>
      </c>
      <c r="I4033" s="2" t="s">
        <v>9974</v>
      </c>
      <c r="J4033" s="3" t="str">
        <f>HYPERLINK("https://www.boe.es/gazeta/dias/1809/02/23/pdfs/GMD-1809-54.pdf#page=4","Abrir facsímil")</f>
        <v>Abrir facsímil</v>
      </c>
      <c r="K4033" s="3" t="s">
        <v>57</v>
      </c>
    </row>
    <row r="4034" spans="1:11" ht="42" customHeight="1">
      <c r="A4034" s="2" t="s">
        <v>9975</v>
      </c>
      <c r="B4034" s="2" t="s">
        <v>9976</v>
      </c>
      <c r="C4034" s="2" t="s">
        <v>25</v>
      </c>
      <c r="D4034" s="2" t="s">
        <v>26</v>
      </c>
      <c r="E4034" s="3" t="s">
        <v>548</v>
      </c>
      <c r="F4034" s="3" t="s">
        <v>549</v>
      </c>
      <c r="G4034" s="3" t="s">
        <v>687</v>
      </c>
      <c r="H4034" s="2" t="s">
        <v>55</v>
      </c>
      <c r="I4034" s="2" t="s">
        <v>9977</v>
      </c>
      <c r="J4034" s="3" t="str">
        <f>HYPERLINK("https://www.boe.es/gazeta/dias/1809/03/12/pdfs/GMD-1809-71.pdf#page=2","Abrir facsímil")</f>
        <v>Abrir facsímil</v>
      </c>
      <c r="K4034" s="3" t="s">
        <v>57</v>
      </c>
    </row>
    <row r="4035" spans="1:11" ht="42" customHeight="1">
      <c r="A4035" s="2" t="s">
        <v>9978</v>
      </c>
      <c r="B4035" s="2" t="s">
        <v>9979</v>
      </c>
      <c r="C4035" s="2" t="s">
        <v>25</v>
      </c>
      <c r="D4035" s="2" t="s">
        <v>80</v>
      </c>
      <c r="E4035" s="3" t="s">
        <v>755</v>
      </c>
      <c r="F4035" s="3" t="s">
        <v>2335</v>
      </c>
      <c r="G4035" s="3" t="s">
        <v>623</v>
      </c>
      <c r="H4035" s="2" t="s">
        <v>55</v>
      </c>
      <c r="I4035" s="2" t="s">
        <v>9980</v>
      </c>
      <c r="J4035" s="3" t="str">
        <f>HYPERLINK("https://www.boe.es/gazeta/dias/1809/05/20/pdfs/GGB-1809-29E2.pdf#page=6","Abrir facsímil")</f>
        <v>Abrir facsímil</v>
      </c>
      <c r="K4035" s="3" t="s">
        <v>57</v>
      </c>
    </row>
    <row r="4036" spans="1:11" ht="42" customHeight="1">
      <c r="A4036" s="2" t="s">
        <v>9981</v>
      </c>
      <c r="B4036" s="2" t="s">
        <v>9981</v>
      </c>
      <c r="C4036" s="2" t="s">
        <v>25</v>
      </c>
      <c r="D4036" s="2" t="s">
        <v>18</v>
      </c>
      <c r="E4036" s="3" t="s">
        <v>207</v>
      </c>
      <c r="F4036" s="3" t="s">
        <v>2864</v>
      </c>
      <c r="G4036" s="3" t="s">
        <v>6113</v>
      </c>
      <c r="H4036" s="2" t="s">
        <v>55</v>
      </c>
      <c r="I4036" s="2" t="s">
        <v>9982</v>
      </c>
      <c r="J4036" s="3" t="str">
        <f>HYPERLINK("https://www.boe.es/gazeta/dias/1809/09/16/pdfs/GGB-1809-202.pdf#page=3","Abrir facsímil")</f>
        <v>Abrir facsímil</v>
      </c>
      <c r="K4036" s="3" t="s">
        <v>57</v>
      </c>
    </row>
    <row r="4037" spans="1:11" ht="42" customHeight="1">
      <c r="A4037" s="2" t="s">
        <v>9983</v>
      </c>
      <c r="B4037" s="2" t="s">
        <v>9983</v>
      </c>
      <c r="C4037" s="2" t="s">
        <v>25</v>
      </c>
      <c r="D4037" s="2" t="s">
        <v>26</v>
      </c>
      <c r="E4037" s="3" t="s">
        <v>1648</v>
      </c>
      <c r="F4037" s="3" t="s">
        <v>1649</v>
      </c>
      <c r="G4037" s="3" t="s">
        <v>1935</v>
      </c>
      <c r="H4037" s="2" t="s">
        <v>55</v>
      </c>
      <c r="I4037" s="2" t="s">
        <v>9984</v>
      </c>
      <c r="J4037" s="3" t="str">
        <f>HYPERLINK("https://www.boe.es/gazeta/dias/1809/05/16/pdfs/GMD-1809-136.pdf#page=1","Abrir facsímil")</f>
        <v>Abrir facsímil</v>
      </c>
      <c r="K4037" s="3" t="s">
        <v>57</v>
      </c>
    </row>
    <row r="4038" spans="1:11" ht="42" customHeight="1">
      <c r="A4038" s="2" t="s">
        <v>9985</v>
      </c>
      <c r="B4038" s="2" t="s">
        <v>9986</v>
      </c>
      <c r="C4038" s="2" t="s">
        <v>17</v>
      </c>
      <c r="D4038" s="2" t="s">
        <v>72</v>
      </c>
      <c r="E4038" s="3" t="s">
        <v>243</v>
      </c>
      <c r="F4038" s="3" t="s">
        <v>244</v>
      </c>
      <c r="G4038" s="3" t="s">
        <v>525</v>
      </c>
      <c r="H4038" s="2" t="s">
        <v>55</v>
      </c>
      <c r="I4038" s="2" t="s">
        <v>9987</v>
      </c>
      <c r="J4038" s="3" t="str">
        <f>HYPERLINK("https://www.boe.es/gazeta/dias/1809/02/17/pdfs/GGB-G-1809-8.pdf#page=4","Abrir facsímil")</f>
        <v>Abrir facsímil</v>
      </c>
      <c r="K4038" s="3" t="s">
        <v>57</v>
      </c>
    </row>
    <row r="4039" spans="1:11" ht="42" customHeight="1">
      <c r="A4039" s="2" t="s">
        <v>9988</v>
      </c>
      <c r="B4039" s="2" t="s">
        <v>9989</v>
      </c>
      <c r="C4039" s="2" t="s">
        <v>17</v>
      </c>
      <c r="D4039" s="2" t="s">
        <v>72</v>
      </c>
      <c r="E4039" s="3" t="s">
        <v>1206</v>
      </c>
      <c r="F4039" s="3" t="s">
        <v>1207</v>
      </c>
      <c r="G4039" s="3" t="s">
        <v>2545</v>
      </c>
      <c r="H4039" s="2" t="s">
        <v>55</v>
      </c>
      <c r="I4039" s="2" t="s">
        <v>9990</v>
      </c>
      <c r="J4039" s="3" t="str">
        <f>HYPERLINK("https://www.boe.es/gazeta/dias/1809/09/23/pdfs/GGB-H-1809-232.pdf#page=6","Abrir facsímil")</f>
        <v>Abrir facsímil</v>
      </c>
      <c r="K4039" s="3" t="s">
        <v>57</v>
      </c>
    </row>
    <row r="4040" spans="1:11" ht="42" customHeight="1">
      <c r="A4040" s="2" t="s">
        <v>9991</v>
      </c>
      <c r="B4040" s="2" t="s">
        <v>9991</v>
      </c>
      <c r="C4040" s="2" t="s">
        <v>25</v>
      </c>
      <c r="D4040" s="2" t="s">
        <v>72</v>
      </c>
      <c r="E4040" s="3" t="s">
        <v>1514</v>
      </c>
      <c r="F4040" s="3" t="s">
        <v>1515</v>
      </c>
      <c r="G4040" s="3" t="s">
        <v>239</v>
      </c>
      <c r="H4040" s="2" t="s">
        <v>55</v>
      </c>
      <c r="I4040" s="2" t="s">
        <v>9992</v>
      </c>
      <c r="J4040" s="3" t="str">
        <f>HYPERLINK("https://www.boe.es/gazeta/dias/1809/04/17/pdfs/GGB-G-1809-19.pdf#page=5","Abrir facsímil")</f>
        <v>Abrir facsímil</v>
      </c>
      <c r="K4040" s="3" t="s">
        <v>57</v>
      </c>
    </row>
    <row r="4041" spans="1:11" ht="42" customHeight="1">
      <c r="A4041" s="2" t="s">
        <v>9993</v>
      </c>
      <c r="B4041" s="2" t="s">
        <v>9994</v>
      </c>
      <c r="C4041" s="2" t="s">
        <v>79</v>
      </c>
      <c r="D4041" s="2" t="s">
        <v>18</v>
      </c>
      <c r="E4041" s="3" t="s">
        <v>53</v>
      </c>
      <c r="F4041" s="3" t="s">
        <v>54</v>
      </c>
      <c r="G4041" s="3" t="s">
        <v>29</v>
      </c>
      <c r="H4041" s="2" t="s">
        <v>55</v>
      </c>
      <c r="I4041" s="2" t="s">
        <v>9995</v>
      </c>
      <c r="J4041" s="3" t="str">
        <f>HYPERLINK("https://www.boe.es/gazeta/dias/1809/03/03/pdfs/GMD-1809-62.pdf#page=3","Abrir facsímil")</f>
        <v>Abrir facsímil</v>
      </c>
      <c r="K4041" s="3" t="s">
        <v>57</v>
      </c>
    </row>
    <row r="4042" spans="1:11" ht="42" customHeight="1">
      <c r="A4042" s="2" t="s">
        <v>9996</v>
      </c>
      <c r="B4042" s="2" t="s">
        <v>9997</v>
      </c>
      <c r="C4042" s="2" t="s">
        <v>17</v>
      </c>
      <c r="D4042" s="2" t="s">
        <v>80</v>
      </c>
      <c r="E4042" s="3" t="s">
        <v>179</v>
      </c>
      <c r="F4042" s="3" t="s">
        <v>180</v>
      </c>
      <c r="G4042" s="3" t="s">
        <v>239</v>
      </c>
      <c r="H4042" s="2" t="s">
        <v>55</v>
      </c>
      <c r="I4042" s="2" t="s">
        <v>9998</v>
      </c>
      <c r="J4042" s="3" t="str">
        <f>HYPERLINK("https://www.boe.es/gazeta/dias/1809/12/08/pdfs/GGB-1809-552E.pdf#page=2","Abrir facsímil")</f>
        <v>Abrir facsímil</v>
      </c>
      <c r="K4042" s="3" t="s">
        <v>57</v>
      </c>
    </row>
    <row r="4043" spans="1:11" ht="42" customHeight="1">
      <c r="A4043" s="2" t="s">
        <v>9999</v>
      </c>
      <c r="B4043" s="2" t="s">
        <v>9999</v>
      </c>
      <c r="C4043" s="2" t="s">
        <v>25</v>
      </c>
      <c r="D4043" s="2" t="s">
        <v>18</v>
      </c>
      <c r="E4043" s="3" t="s">
        <v>893</v>
      </c>
      <c r="F4043" s="3" t="s">
        <v>1348</v>
      </c>
      <c r="G4043" s="3" t="s">
        <v>154</v>
      </c>
      <c r="H4043" s="2" t="s">
        <v>55</v>
      </c>
      <c r="I4043" s="2" t="s">
        <v>10000</v>
      </c>
      <c r="J4043" s="3" t="str">
        <f>HYPERLINK("https://www.boe.es/gazeta/dias/1809/11/02/pdfs/GGB-1809-402.pdf#page=7","Abrir facsímil")</f>
        <v>Abrir facsímil</v>
      </c>
      <c r="K4043" s="3" t="s">
        <v>57</v>
      </c>
    </row>
    <row r="4044" spans="1:11" ht="42" customHeight="1">
      <c r="A4044" s="2" t="s">
        <v>10001</v>
      </c>
      <c r="B4044" s="2" t="s">
        <v>10002</v>
      </c>
      <c r="C4044" s="2" t="s">
        <v>17</v>
      </c>
      <c r="D4044" s="2" t="s">
        <v>18</v>
      </c>
      <c r="E4044" s="3" t="s">
        <v>33</v>
      </c>
      <c r="F4044" s="3" t="s">
        <v>34</v>
      </c>
      <c r="G4044" s="3" t="s">
        <v>493</v>
      </c>
      <c r="H4044" s="2" t="s">
        <v>55</v>
      </c>
      <c r="I4044" s="2" t="s">
        <v>10003</v>
      </c>
      <c r="J4044" s="3" t="str">
        <f>HYPERLINK("https://www.boe.es/gazeta/dias/1809/12/19/pdfs/GGB-1809-602.pdf#page=6","Abrir facsímil")</f>
        <v>Abrir facsímil</v>
      </c>
      <c r="K4044" s="3" t="s">
        <v>57</v>
      </c>
    </row>
    <row r="4045" spans="1:11" ht="42" customHeight="1">
      <c r="A4045" s="2" t="s">
        <v>10004</v>
      </c>
      <c r="B4045" s="2" t="s">
        <v>10004</v>
      </c>
      <c r="C4045" s="2" t="s">
        <v>25</v>
      </c>
      <c r="D4045" s="2" t="s">
        <v>26</v>
      </c>
      <c r="E4045" s="3" t="s">
        <v>113</v>
      </c>
      <c r="F4045" s="3" t="s">
        <v>3549</v>
      </c>
      <c r="G4045" s="3" t="s">
        <v>129</v>
      </c>
      <c r="H4045" s="2" t="s">
        <v>55</v>
      </c>
      <c r="I4045" s="2" t="s">
        <v>10005</v>
      </c>
      <c r="J4045" s="3" t="str">
        <f>HYPERLINK("https://www.boe.es/gazeta/dias/1809/04/24/pdfs/GGB-G-1809-21.pdf#page=2","Abrir facsímil")</f>
        <v>Abrir facsímil</v>
      </c>
      <c r="K4045" s="3" t="s">
        <v>57</v>
      </c>
    </row>
    <row r="4046" spans="1:11" ht="42" customHeight="1">
      <c r="A4046" s="2" t="s">
        <v>10006</v>
      </c>
      <c r="B4046" s="2" t="s">
        <v>10007</v>
      </c>
      <c r="C4046" s="2" t="s">
        <v>25</v>
      </c>
      <c r="D4046" s="2" t="s">
        <v>72</v>
      </c>
      <c r="E4046" s="3" t="s">
        <v>143</v>
      </c>
      <c r="F4046" s="3" t="s">
        <v>705</v>
      </c>
      <c r="G4046" s="3" t="s">
        <v>110</v>
      </c>
      <c r="H4046" s="2" t="s">
        <v>55</v>
      </c>
      <c r="I4046" s="2" t="s">
        <v>10008</v>
      </c>
      <c r="J4046" s="3" t="str">
        <f>HYPERLINK("https://www.boe.es/gazeta/dias/1809/11/16/pdfs/GGB-H-1809-462.pdf#page=3","Abrir facsímil")</f>
        <v>Abrir facsímil</v>
      </c>
      <c r="K4046" s="3" t="s">
        <v>57</v>
      </c>
    </row>
    <row r="4047" spans="1:11" ht="42" customHeight="1">
      <c r="A4047" s="2" t="s">
        <v>10009</v>
      </c>
      <c r="B4047" s="2" t="s">
        <v>10010</v>
      </c>
      <c r="C4047" s="2" t="s">
        <v>17</v>
      </c>
      <c r="D4047" s="2" t="s">
        <v>18</v>
      </c>
      <c r="E4047" s="3" t="s">
        <v>305</v>
      </c>
      <c r="F4047" s="3" t="s">
        <v>306</v>
      </c>
      <c r="G4047" s="3" t="s">
        <v>29</v>
      </c>
      <c r="H4047" s="2" t="s">
        <v>55</v>
      </c>
      <c r="I4047" s="2" t="s">
        <v>10011</v>
      </c>
      <c r="J4047" s="3" t="str">
        <f>HYPERLINK("https://www.boe.es/gazeta/dias/1809/10/20/pdfs/GMD-1809-294.pdf#page=3","Abrir facsímil")</f>
        <v>Abrir facsímil</v>
      </c>
      <c r="K4047" s="3" t="s">
        <v>57</v>
      </c>
    </row>
    <row r="4048" spans="1:11" ht="42" customHeight="1">
      <c r="A4048" s="2" t="s">
        <v>10012</v>
      </c>
      <c r="B4048" s="2" t="s">
        <v>10013</v>
      </c>
      <c r="C4048" s="2" t="s">
        <v>17</v>
      </c>
      <c r="D4048" s="2" t="s">
        <v>18</v>
      </c>
      <c r="E4048" s="3" t="s">
        <v>102</v>
      </c>
      <c r="F4048" s="3" t="s">
        <v>1095</v>
      </c>
      <c r="G4048" s="3" t="s">
        <v>29</v>
      </c>
      <c r="H4048" s="2" t="s">
        <v>55</v>
      </c>
      <c r="I4048" s="2" t="s">
        <v>10014</v>
      </c>
      <c r="J4048" s="3" t="str">
        <f>HYPERLINK("https://www.boe.es/gazeta/dias/1809/09/28/pdfs/GMD-1809-272.pdf#page=3","Abrir facsímil")</f>
        <v>Abrir facsímil</v>
      </c>
      <c r="K4048" s="3" t="s">
        <v>57</v>
      </c>
    </row>
    <row r="4049" spans="1:11" ht="42" customHeight="1">
      <c r="A4049" s="2" t="s">
        <v>10015</v>
      </c>
      <c r="B4049" s="2" t="s">
        <v>10015</v>
      </c>
      <c r="C4049" s="2" t="s">
        <v>25</v>
      </c>
      <c r="D4049" s="2" t="s">
        <v>26</v>
      </c>
      <c r="E4049" s="3" t="s">
        <v>327</v>
      </c>
      <c r="F4049" s="3" t="s">
        <v>2138</v>
      </c>
      <c r="G4049" s="3" t="s">
        <v>2139</v>
      </c>
      <c r="H4049" s="2" t="s">
        <v>55</v>
      </c>
      <c r="I4049" s="2" t="s">
        <v>10016</v>
      </c>
      <c r="J4049" s="3" t="str">
        <f>HYPERLINK("https://www.boe.es/gazeta/dias/1809/09/14/pdfs/GMD-1809-258.pdf#page=1","Abrir facsímil")</f>
        <v>Abrir facsímil</v>
      </c>
      <c r="K4049" s="3" t="s">
        <v>57</v>
      </c>
    </row>
    <row r="4050" spans="1:11" ht="42" customHeight="1">
      <c r="A4050" s="2" t="s">
        <v>10017</v>
      </c>
      <c r="B4050" s="2" t="s">
        <v>10018</v>
      </c>
      <c r="C4050" s="2" t="s">
        <v>17</v>
      </c>
      <c r="D4050" s="2" t="s">
        <v>18</v>
      </c>
      <c r="E4050" s="3" t="s">
        <v>1076</v>
      </c>
      <c r="F4050" s="3" t="s">
        <v>1645</v>
      </c>
      <c r="G4050" s="3" t="s">
        <v>1646</v>
      </c>
      <c r="H4050" s="2" t="s">
        <v>55</v>
      </c>
      <c r="I4050" s="2" t="s">
        <v>10019</v>
      </c>
      <c r="J4050" s="3" t="str">
        <f>HYPERLINK("https://www.boe.es/gazeta/dias/1809/04/13/pdfs/GMD-1809-103.pdf#page=3","Abrir facsímil")</f>
        <v>Abrir facsímil</v>
      </c>
      <c r="K4050" s="3" t="s">
        <v>57</v>
      </c>
    </row>
    <row r="4051" spans="1:11" ht="42" customHeight="1">
      <c r="A4051" s="2" t="s">
        <v>10020</v>
      </c>
      <c r="B4051" s="2" t="s">
        <v>10021</v>
      </c>
      <c r="C4051" s="2" t="s">
        <v>17</v>
      </c>
      <c r="D4051" s="2" t="s">
        <v>18</v>
      </c>
      <c r="E4051" s="3" t="s">
        <v>33</v>
      </c>
      <c r="F4051" s="3" t="s">
        <v>34</v>
      </c>
      <c r="G4051" s="3" t="s">
        <v>595</v>
      </c>
      <c r="H4051" s="2" t="s">
        <v>55</v>
      </c>
      <c r="I4051" s="2" t="s">
        <v>10022</v>
      </c>
      <c r="J4051" s="3" t="str">
        <f>HYPERLINK("https://www.boe.es/gazeta/dias/1809/12/19/pdfs/GGB-1809-602.pdf#page=7","Abrir facsímil")</f>
        <v>Abrir facsímil</v>
      </c>
      <c r="K4051" s="3" t="s">
        <v>57</v>
      </c>
    </row>
    <row r="4052" spans="1:11" ht="42" customHeight="1">
      <c r="A4052" s="2" t="s">
        <v>10023</v>
      </c>
      <c r="B4052" s="2" t="s">
        <v>10024</v>
      </c>
      <c r="C4052" s="2" t="s">
        <v>17</v>
      </c>
      <c r="D4052" s="2" t="s">
        <v>18</v>
      </c>
      <c r="E4052" s="3" t="s">
        <v>1396</v>
      </c>
      <c r="F4052" s="3" t="s">
        <v>1397</v>
      </c>
      <c r="G4052" s="3" t="s">
        <v>5757</v>
      </c>
      <c r="H4052" s="2" t="s">
        <v>55</v>
      </c>
      <c r="I4052" s="2" t="s">
        <v>10025</v>
      </c>
      <c r="J4052" s="3" t="str">
        <f>HYPERLINK("https://www.boe.es/gazeta/dias/1809/11/28/pdfs/GGB-1809-512.pdf#page=6","Abrir facsímil")</f>
        <v>Abrir facsímil</v>
      </c>
      <c r="K4052" s="3" t="s">
        <v>57</v>
      </c>
    </row>
    <row r="4053" spans="1:11" ht="42" customHeight="1">
      <c r="A4053" s="2" t="s">
        <v>10026</v>
      </c>
      <c r="B4053" s="2" t="s">
        <v>10027</v>
      </c>
      <c r="C4053" s="2" t="s">
        <v>17</v>
      </c>
      <c r="D4053" s="2" t="s">
        <v>18</v>
      </c>
      <c r="E4053" s="3" t="s">
        <v>33</v>
      </c>
      <c r="F4053" s="3" t="s">
        <v>34</v>
      </c>
      <c r="G4053" s="3" t="s">
        <v>493</v>
      </c>
      <c r="H4053" s="2" t="s">
        <v>55</v>
      </c>
      <c r="I4053" s="2" t="s">
        <v>10028</v>
      </c>
      <c r="J4053" s="3" t="str">
        <f>HYPERLINK("https://www.boe.es/gazeta/dias/1809/12/19/pdfs/GGB-1809-602.pdf#page=6","Abrir facsímil")</f>
        <v>Abrir facsímil</v>
      </c>
      <c r="K4053" s="3" t="s">
        <v>57</v>
      </c>
    </row>
    <row r="4054" spans="1:11" ht="42" customHeight="1">
      <c r="A4054" s="2" t="s">
        <v>10029</v>
      </c>
      <c r="B4054" s="2" t="s">
        <v>10030</v>
      </c>
      <c r="C4054" s="2" t="s">
        <v>17</v>
      </c>
      <c r="D4054" s="2" t="s">
        <v>18</v>
      </c>
      <c r="E4054" s="3" t="s">
        <v>370</v>
      </c>
      <c r="F4054" s="3" t="s">
        <v>371</v>
      </c>
      <c r="G4054" s="3" t="s">
        <v>239</v>
      </c>
      <c r="H4054" s="2" t="s">
        <v>55</v>
      </c>
      <c r="I4054" s="2" t="s">
        <v>10031</v>
      </c>
      <c r="J4054" s="3" t="str">
        <f>HYPERLINK("https://www.boe.es/gazeta/dias/1809/08/20/pdfs/GMD-1809-233.pdf#page=3","Abrir facsímil")</f>
        <v>Abrir facsímil</v>
      </c>
      <c r="K4054" s="3" t="s">
        <v>57</v>
      </c>
    </row>
    <row r="4055" spans="1:11" ht="42" customHeight="1">
      <c r="A4055" s="2" t="s">
        <v>10032</v>
      </c>
      <c r="B4055" s="2" t="s">
        <v>10032</v>
      </c>
      <c r="C4055" s="2" t="s">
        <v>25</v>
      </c>
      <c r="D4055" s="2" t="s">
        <v>26</v>
      </c>
      <c r="E4055" s="3" t="s">
        <v>118</v>
      </c>
      <c r="F4055" s="3" t="s">
        <v>2125</v>
      </c>
      <c r="G4055" s="3" t="s">
        <v>5828</v>
      </c>
      <c r="H4055" s="2" t="s">
        <v>55</v>
      </c>
      <c r="I4055" s="2" t="s">
        <v>10033</v>
      </c>
      <c r="J4055" s="3" t="str">
        <f>HYPERLINK("https://www.boe.es/gazeta/dias/1809/09/07/pdfs/GGB-1809-162.pdf#page=1","Abrir facsímil")</f>
        <v>Abrir facsímil</v>
      </c>
      <c r="K4055" s="3" t="s">
        <v>57</v>
      </c>
    </row>
    <row r="4056" spans="1:11" ht="42" customHeight="1">
      <c r="A4056" s="2" t="s">
        <v>10034</v>
      </c>
      <c r="B4056" s="2" t="s">
        <v>10034</v>
      </c>
      <c r="C4056" s="2" t="s">
        <v>25</v>
      </c>
      <c r="D4056" s="2" t="s">
        <v>18</v>
      </c>
      <c r="E4056" s="3" t="s">
        <v>1396</v>
      </c>
      <c r="F4056" s="3" t="s">
        <v>1397</v>
      </c>
      <c r="G4056" s="3" t="s">
        <v>1398</v>
      </c>
      <c r="H4056" s="2" t="s">
        <v>55</v>
      </c>
      <c r="I4056" s="2" t="s">
        <v>10035</v>
      </c>
      <c r="J4056" s="3" t="str">
        <f>HYPERLINK("https://www.boe.es/gazeta/dias/1809/11/28/pdfs/GGB-1809-512.pdf#page=7","Abrir facsímil")</f>
        <v>Abrir facsímil</v>
      </c>
      <c r="K4056" s="3" t="s">
        <v>57</v>
      </c>
    </row>
    <row r="4057" spans="1:11" ht="42" customHeight="1">
      <c r="A4057" s="2" t="s">
        <v>10036</v>
      </c>
      <c r="B4057" s="2" t="s">
        <v>10037</v>
      </c>
      <c r="C4057" s="2" t="s">
        <v>17</v>
      </c>
      <c r="D4057" s="2" t="s">
        <v>18</v>
      </c>
      <c r="E4057" s="3" t="s">
        <v>5172</v>
      </c>
      <c r="F4057" s="3" t="s">
        <v>5173</v>
      </c>
      <c r="G4057" s="3" t="s">
        <v>5174</v>
      </c>
      <c r="H4057" s="2" t="s">
        <v>55</v>
      </c>
      <c r="I4057" s="2" t="s">
        <v>10038</v>
      </c>
      <c r="J4057" s="3" t="str">
        <f>HYPERLINK("https://www.boe.es/gazeta/dias/1809/03/06/pdfs/GMD-1809-65.pdf#page=4","Abrir facsímil")</f>
        <v>Abrir facsímil</v>
      </c>
      <c r="K4057" s="3" t="s">
        <v>57</v>
      </c>
    </row>
    <row r="4058" spans="1:11" ht="42" customHeight="1">
      <c r="A4058" s="2" t="s">
        <v>10039</v>
      </c>
      <c r="B4058" s="2" t="s">
        <v>10040</v>
      </c>
      <c r="C4058" s="2" t="s">
        <v>17</v>
      </c>
      <c r="D4058" s="2" t="s">
        <v>72</v>
      </c>
      <c r="E4058" s="3" t="s">
        <v>243</v>
      </c>
      <c r="F4058" s="3" t="s">
        <v>244</v>
      </c>
      <c r="G4058" s="3" t="s">
        <v>29</v>
      </c>
      <c r="H4058" s="2" t="s">
        <v>55</v>
      </c>
      <c r="I4058" s="2" t="s">
        <v>10041</v>
      </c>
      <c r="J4058" s="3" t="str">
        <f>HYPERLINK("https://www.boe.es/gazeta/dias/1809/02/17/pdfs/GGB-G-1809-8.pdf#page=3","Abrir facsímil")</f>
        <v>Abrir facsímil</v>
      </c>
      <c r="K4058" s="3" t="s">
        <v>57</v>
      </c>
    </row>
    <row r="4059" spans="1:11" ht="42" customHeight="1">
      <c r="A4059" s="2" t="s">
        <v>10042</v>
      </c>
      <c r="B4059" s="2" t="s">
        <v>10042</v>
      </c>
      <c r="C4059" s="2" t="s">
        <v>17</v>
      </c>
      <c r="D4059" s="2" t="s">
        <v>18</v>
      </c>
      <c r="E4059" s="3" t="s">
        <v>33</v>
      </c>
      <c r="F4059" s="3" t="s">
        <v>34</v>
      </c>
      <c r="G4059" s="3" t="s">
        <v>595</v>
      </c>
      <c r="H4059" s="2" t="s">
        <v>55</v>
      </c>
      <c r="I4059" s="2" t="s">
        <v>10043</v>
      </c>
      <c r="J4059" s="3" t="str">
        <f>HYPERLINK("https://www.boe.es/gazeta/dias/1809/12/19/pdfs/GGB-1809-602.pdf#page=7","Abrir facsímil")</f>
        <v>Abrir facsímil</v>
      </c>
      <c r="K4059" s="3" t="s">
        <v>57</v>
      </c>
    </row>
    <row r="4060" spans="1:11" ht="42" customHeight="1">
      <c r="A4060" s="2" t="s">
        <v>10044</v>
      </c>
      <c r="B4060" s="2" t="s">
        <v>10045</v>
      </c>
      <c r="C4060" s="2" t="s">
        <v>25</v>
      </c>
      <c r="D4060" s="2" t="s">
        <v>72</v>
      </c>
      <c r="E4060" s="3" t="s">
        <v>190</v>
      </c>
      <c r="F4060" s="3" t="s">
        <v>3505</v>
      </c>
      <c r="G4060" s="3" t="s">
        <v>120</v>
      </c>
      <c r="H4060" s="2" t="s">
        <v>55</v>
      </c>
      <c r="I4060" s="2" t="s">
        <v>10046</v>
      </c>
      <c r="J4060" s="3" t="str">
        <f>HYPERLINK("https://www.boe.es/gazeta/dias/1809/10/14/pdfs/GGB-H-1809-322.pdf#page=7","Abrir facsímil")</f>
        <v>Abrir facsímil</v>
      </c>
      <c r="K4060" s="3" t="s">
        <v>57</v>
      </c>
    </row>
    <row r="4061" spans="1:11" ht="42" customHeight="1">
      <c r="A4061" s="2" t="s">
        <v>10047</v>
      </c>
      <c r="B4061" s="2" t="s">
        <v>10048</v>
      </c>
      <c r="C4061" s="2" t="s">
        <v>17</v>
      </c>
      <c r="D4061" s="2" t="s">
        <v>18</v>
      </c>
      <c r="E4061" s="3" t="s">
        <v>33</v>
      </c>
      <c r="F4061" s="3" t="s">
        <v>34</v>
      </c>
      <c r="G4061" s="3" t="s">
        <v>595</v>
      </c>
      <c r="H4061" s="2" t="s">
        <v>55</v>
      </c>
      <c r="I4061" s="2" t="s">
        <v>10049</v>
      </c>
      <c r="J4061" s="3" t="str">
        <f>HYPERLINK("https://www.boe.es/gazeta/dias/1809/12/19/pdfs/GGB-1809-602.pdf#page=7","Abrir facsímil")</f>
        <v>Abrir facsímil</v>
      </c>
      <c r="K4061" s="3" t="s">
        <v>57</v>
      </c>
    </row>
    <row r="4062" spans="1:11" ht="42" customHeight="1">
      <c r="A4062" s="2" t="s">
        <v>10050</v>
      </c>
      <c r="B4062" s="2" t="s">
        <v>10051</v>
      </c>
      <c r="C4062" s="2" t="s">
        <v>79</v>
      </c>
      <c r="D4062" s="2" t="s">
        <v>18</v>
      </c>
      <c r="E4062" s="3" t="s">
        <v>327</v>
      </c>
      <c r="F4062" s="3" t="s">
        <v>328</v>
      </c>
      <c r="G4062" s="3" t="s">
        <v>329</v>
      </c>
      <c r="H4062" s="2" t="s">
        <v>55</v>
      </c>
      <c r="I4062" s="2" t="s">
        <v>10052</v>
      </c>
      <c r="J4062" s="3" t="str">
        <f>HYPERLINK("https://www.boe.es/gazeta/dias/1809/09/14/pdfs/GGB-1809-192.pdf#page=8","Abrir facsímil")</f>
        <v>Abrir facsímil</v>
      </c>
      <c r="K4062" s="3" t="s">
        <v>57</v>
      </c>
    </row>
    <row r="4063" spans="1:11" ht="42" customHeight="1">
      <c r="A4063" s="2" t="s">
        <v>10053</v>
      </c>
      <c r="B4063" s="2" t="s">
        <v>10053</v>
      </c>
      <c r="C4063" s="2" t="s">
        <v>17</v>
      </c>
      <c r="D4063" s="2" t="s">
        <v>40</v>
      </c>
      <c r="E4063" s="3" t="s">
        <v>73</v>
      </c>
      <c r="F4063" s="3" t="s">
        <v>1045</v>
      </c>
      <c r="G4063" s="3" t="s">
        <v>89</v>
      </c>
      <c r="H4063" s="2" t="s">
        <v>55</v>
      </c>
      <c r="I4063" s="2" t="s">
        <v>10054</v>
      </c>
      <c r="J4063" s="3" t="str">
        <f>HYPERLINK("https://www.boe.es/gazeta/dias/1809/09/21/pdfs/GMD-1809-265.pdf#page=3","Abrir facsímil")</f>
        <v>Abrir facsímil</v>
      </c>
      <c r="K4063" s="3" t="s">
        <v>57</v>
      </c>
    </row>
    <row r="4064" spans="1:11" ht="42" customHeight="1">
      <c r="A4064" s="2" t="s">
        <v>10055</v>
      </c>
      <c r="B4064" s="2" t="s">
        <v>10055</v>
      </c>
      <c r="C4064" s="2" t="s">
        <v>25</v>
      </c>
      <c r="D4064" s="2" t="s">
        <v>18</v>
      </c>
      <c r="E4064" s="3" t="s">
        <v>1551</v>
      </c>
      <c r="F4064" s="3" t="s">
        <v>1552</v>
      </c>
      <c r="G4064" s="3" t="s">
        <v>75</v>
      </c>
      <c r="H4064" s="2" t="s">
        <v>55</v>
      </c>
      <c r="I4064" s="2" t="s">
        <v>10056</v>
      </c>
      <c r="J4064" s="3" t="str">
        <f>HYPERLINK("https://www.boe.es/gazeta/dias/1809/06/12/pdfs/GGB-1809-36.pdf#page=2","Abrir facsímil")</f>
        <v>Abrir facsímil</v>
      </c>
      <c r="K4064" s="3" t="s">
        <v>57</v>
      </c>
    </row>
    <row r="4065" spans="1:11" ht="42" customHeight="1">
      <c r="A4065" s="2" t="s">
        <v>10057</v>
      </c>
      <c r="B4065" s="2" t="s">
        <v>10058</v>
      </c>
      <c r="C4065" s="2" t="s">
        <v>25</v>
      </c>
      <c r="D4065" s="2" t="s">
        <v>26</v>
      </c>
      <c r="E4065" s="3" t="s">
        <v>216</v>
      </c>
      <c r="F4065" s="3" t="s">
        <v>2813</v>
      </c>
      <c r="G4065" s="3" t="s">
        <v>10059</v>
      </c>
      <c r="H4065" s="2" t="s">
        <v>55</v>
      </c>
      <c r="I4065" s="2" t="s">
        <v>10060</v>
      </c>
      <c r="J4065" s="3" t="str">
        <f>HYPERLINK("https://www.boe.es/gazeta/dias/1809/12/05/pdfs/GMD-1809-340.pdf#page=4","Abrir facsímil")</f>
        <v>Abrir facsímil</v>
      </c>
      <c r="K4065" s="3" t="s">
        <v>57</v>
      </c>
    </row>
    <row r="4066" spans="1:11" ht="42" customHeight="1">
      <c r="A4066" s="2" t="s">
        <v>10061</v>
      </c>
      <c r="B4066" s="2" t="s">
        <v>10061</v>
      </c>
      <c r="C4066" s="2" t="s">
        <v>25</v>
      </c>
      <c r="D4066" s="2" t="s">
        <v>26</v>
      </c>
      <c r="E4066" s="3" t="s">
        <v>158</v>
      </c>
      <c r="F4066" s="3" t="s">
        <v>159</v>
      </c>
      <c r="G4066" s="3" t="s">
        <v>129</v>
      </c>
      <c r="H4066" s="2" t="s">
        <v>55</v>
      </c>
      <c r="I4066" s="2" t="s">
        <v>10062</v>
      </c>
      <c r="J4066" s="3" t="str">
        <f>HYPERLINK("https://www.boe.es/gazeta/dias/1809/02/10/pdfs/GGB-1809-7.pdf#page=2","Abrir facsímil")</f>
        <v>Abrir facsímil</v>
      </c>
      <c r="K4066" s="3" t="s">
        <v>57</v>
      </c>
    </row>
    <row r="4067" spans="1:11" ht="42" customHeight="1">
      <c r="A4067" s="2" t="s">
        <v>10063</v>
      </c>
      <c r="B4067" s="2" t="s">
        <v>10064</v>
      </c>
      <c r="C4067" s="2" t="s">
        <v>25</v>
      </c>
      <c r="D4067" s="2" t="s">
        <v>18</v>
      </c>
      <c r="E4067" s="3" t="s">
        <v>1011</v>
      </c>
      <c r="F4067" s="3" t="s">
        <v>1012</v>
      </c>
      <c r="G4067" s="3" t="s">
        <v>62</v>
      </c>
      <c r="H4067" s="2" t="s">
        <v>55</v>
      </c>
      <c r="I4067" s="2" t="s">
        <v>10065</v>
      </c>
      <c r="J4067" s="3" t="str">
        <f>HYPERLINK("https://www.boe.es/gazeta/dias/1809/08/01/pdfs/GGB-1809-50.pdf#page=7","Abrir facsímil")</f>
        <v>Abrir facsímil</v>
      </c>
      <c r="K4067" s="3" t="s">
        <v>57</v>
      </c>
    </row>
    <row r="4068" spans="1:11" ht="42" customHeight="1">
      <c r="A4068" s="2" t="s">
        <v>10066</v>
      </c>
      <c r="B4068" s="2" t="s">
        <v>10066</v>
      </c>
      <c r="C4068" s="2" t="s">
        <v>25</v>
      </c>
      <c r="D4068" s="2" t="s">
        <v>18</v>
      </c>
      <c r="E4068" s="3" t="s">
        <v>73</v>
      </c>
      <c r="F4068" s="3" t="s">
        <v>822</v>
      </c>
      <c r="G4068" s="3" t="s">
        <v>823</v>
      </c>
      <c r="H4068" s="2" t="s">
        <v>55</v>
      </c>
      <c r="I4068" s="2" t="s">
        <v>10067</v>
      </c>
      <c r="J4068" s="3" t="str">
        <f>HYPERLINK("https://www.boe.es/gazeta/dias/1809/09/21/pdfs/GGB-1809-222.pdf#page=4","Abrir facsímil")</f>
        <v>Abrir facsímil</v>
      </c>
      <c r="K4068" s="3" t="s">
        <v>57</v>
      </c>
    </row>
    <row r="4069" spans="1:11" ht="42" customHeight="1">
      <c r="A4069" s="2" t="s">
        <v>10068</v>
      </c>
      <c r="B4069" s="2" t="s">
        <v>10069</v>
      </c>
      <c r="C4069" s="2" t="s">
        <v>25</v>
      </c>
      <c r="D4069" s="2" t="s">
        <v>72</v>
      </c>
      <c r="E4069" s="3" t="s">
        <v>216</v>
      </c>
      <c r="F4069" s="3" t="s">
        <v>217</v>
      </c>
      <c r="G4069" s="3" t="s">
        <v>439</v>
      </c>
      <c r="H4069" s="2" t="s">
        <v>55</v>
      </c>
      <c r="I4069" s="2" t="s">
        <v>10070</v>
      </c>
      <c r="J4069" s="3" t="str">
        <f>HYPERLINK("https://www.boe.es/gazeta/dias/1809/12/05/pdfs/GGB-H-1809-542.pdf#page=7","Abrir facsímil")</f>
        <v>Abrir facsímil</v>
      </c>
      <c r="K4069" s="3" t="s">
        <v>57</v>
      </c>
    </row>
    <row r="4070" spans="1:11" ht="42" customHeight="1">
      <c r="A4070" s="2" t="s">
        <v>10071</v>
      </c>
      <c r="B4070" s="2" t="s">
        <v>10072</v>
      </c>
      <c r="C4070" s="2" t="s">
        <v>39</v>
      </c>
      <c r="D4070" s="2" t="s">
        <v>18</v>
      </c>
      <c r="E4070" s="3" t="s">
        <v>390</v>
      </c>
      <c r="F4070" s="3" t="s">
        <v>2858</v>
      </c>
      <c r="G4070" s="3" t="s">
        <v>110</v>
      </c>
      <c r="H4070" s="2" t="s">
        <v>55</v>
      </c>
      <c r="I4070" s="2" t="s">
        <v>10073</v>
      </c>
      <c r="J4070" s="3" t="str">
        <f>HYPERLINK("https://www.boe.es/gazeta/dias/1809/10/19/pdfs/GMD-1809-293.pdf#page=4","Abrir facsímil")</f>
        <v>Abrir facsímil</v>
      </c>
      <c r="K4070" s="3" t="s">
        <v>57</v>
      </c>
    </row>
    <row r="4071" spans="1:11" ht="42" customHeight="1">
      <c r="A4071" s="2" t="s">
        <v>10074</v>
      </c>
      <c r="B4071" s="2" t="s">
        <v>10075</v>
      </c>
      <c r="C4071" s="2" t="s">
        <v>17</v>
      </c>
      <c r="D4071" s="2" t="s">
        <v>18</v>
      </c>
      <c r="E4071" s="3" t="s">
        <v>1514</v>
      </c>
      <c r="F4071" s="3" t="s">
        <v>1840</v>
      </c>
      <c r="G4071" s="3" t="s">
        <v>21</v>
      </c>
      <c r="H4071" s="2" t="s">
        <v>55</v>
      </c>
      <c r="I4071" s="2" t="s">
        <v>10076</v>
      </c>
      <c r="J4071" s="3" t="str">
        <f>HYPERLINK("https://www.boe.es/gazeta/dias/1809/04/17/pdfs/GGB-1809-19.pdf#page=12","Abrir facsímil")</f>
        <v>Abrir facsímil</v>
      </c>
      <c r="K4071" s="3" t="s">
        <v>57</v>
      </c>
    </row>
    <row r="4072" spans="1:11" ht="42" customHeight="1">
      <c r="A4072" s="2" t="s">
        <v>10077</v>
      </c>
      <c r="B4072" s="2" t="s">
        <v>10078</v>
      </c>
      <c r="C4072" s="2" t="s">
        <v>17</v>
      </c>
      <c r="D4072" s="2" t="s">
        <v>18</v>
      </c>
      <c r="E4072" s="3" t="s">
        <v>357</v>
      </c>
      <c r="F4072" s="3" t="s">
        <v>358</v>
      </c>
      <c r="G4072" s="3" t="s">
        <v>225</v>
      </c>
      <c r="H4072" s="2" t="s">
        <v>55</v>
      </c>
      <c r="I4072" s="2" t="s">
        <v>10079</v>
      </c>
      <c r="J4072" s="3" t="str">
        <f>HYPERLINK("https://www.boe.es/gazeta/dias/1809/03/20/pdfs/GMD-1809-79.pdf#page=4","Abrir facsímil")</f>
        <v>Abrir facsímil</v>
      </c>
      <c r="K4072" s="3" t="s">
        <v>57</v>
      </c>
    </row>
    <row r="4073" spans="1:11" ht="42" customHeight="1">
      <c r="A4073" s="2" t="s">
        <v>10080</v>
      </c>
      <c r="B4073" s="2" t="s">
        <v>10081</v>
      </c>
      <c r="C4073" s="2" t="s">
        <v>25</v>
      </c>
      <c r="D4073" s="2" t="s">
        <v>26</v>
      </c>
      <c r="E4073" s="3" t="s">
        <v>712</v>
      </c>
      <c r="F4073" s="3" t="s">
        <v>713</v>
      </c>
      <c r="G4073" s="3" t="s">
        <v>154</v>
      </c>
      <c r="H4073" s="2" t="s">
        <v>55</v>
      </c>
      <c r="I4073" s="2" t="s">
        <v>10082</v>
      </c>
      <c r="J4073" s="3" t="str">
        <f>HYPERLINK("https://www.boe.es/gazeta/dias/1809/09/10/pdfs/GMD-1809-254.pdf#page=3","Abrir facsímil")</f>
        <v>Abrir facsímil</v>
      </c>
      <c r="K4073" s="3" t="s">
        <v>57</v>
      </c>
    </row>
    <row r="4074" spans="1:11" ht="42" customHeight="1">
      <c r="A4074" s="2" t="s">
        <v>10083</v>
      </c>
      <c r="B4074" s="2" t="s">
        <v>10084</v>
      </c>
      <c r="C4074" s="2" t="s">
        <v>288</v>
      </c>
      <c r="D4074" s="2" t="s">
        <v>18</v>
      </c>
      <c r="E4074" s="3" t="s">
        <v>60</v>
      </c>
      <c r="F4074" s="3" t="s">
        <v>61</v>
      </c>
      <c r="G4074" s="3" t="s">
        <v>62</v>
      </c>
      <c r="H4074" s="2" t="s">
        <v>55</v>
      </c>
      <c r="I4074" s="2" t="s">
        <v>10085</v>
      </c>
      <c r="J4074" s="3" t="str">
        <f>HYPERLINK("https://www.boe.es/gazeta/dias/1809/02/07/pdfs/GMD-1809-38.pdf#page=4","Abrir facsímil")</f>
        <v>Abrir facsímil</v>
      </c>
      <c r="K4074" s="3" t="s">
        <v>57</v>
      </c>
    </row>
    <row r="4075" spans="1:11" ht="42" customHeight="1">
      <c r="A4075" s="2" t="s">
        <v>10086</v>
      </c>
      <c r="B4075" s="2" t="s">
        <v>10086</v>
      </c>
      <c r="C4075" s="2" t="s">
        <v>25</v>
      </c>
      <c r="D4075" s="2" t="s">
        <v>18</v>
      </c>
      <c r="E4075" s="3" t="s">
        <v>432</v>
      </c>
      <c r="F4075" s="3" t="s">
        <v>433</v>
      </c>
      <c r="G4075" s="3" t="s">
        <v>129</v>
      </c>
      <c r="H4075" s="2" t="s">
        <v>55</v>
      </c>
      <c r="I4075" s="2" t="s">
        <v>10087</v>
      </c>
      <c r="J4075" s="3" t="str">
        <f>HYPERLINK("https://www.boe.es/gazeta/dias/1809/07/11/pdfs/GMD-1809-192.pdf#page=2","Abrir facsímil")</f>
        <v>Abrir facsímil</v>
      </c>
      <c r="K4075" s="3" t="s">
        <v>57</v>
      </c>
    </row>
    <row r="4076" spans="1:11" ht="42" customHeight="1">
      <c r="A4076" s="2" t="s">
        <v>10088</v>
      </c>
      <c r="B4076" s="2" t="s">
        <v>10088</v>
      </c>
      <c r="C4076" s="2" t="s">
        <v>17</v>
      </c>
      <c r="D4076" s="2" t="s">
        <v>40</v>
      </c>
      <c r="E4076" s="3" t="s">
        <v>211</v>
      </c>
      <c r="F4076" s="3" t="s">
        <v>212</v>
      </c>
      <c r="G4076" s="3" t="s">
        <v>29</v>
      </c>
      <c r="H4076" s="2" t="s">
        <v>55</v>
      </c>
      <c r="I4076" s="2" t="s">
        <v>10089</v>
      </c>
      <c r="J4076" s="3" t="str">
        <f>HYPERLINK("https://www.boe.es/gazeta/dias/1809/10/27/pdfs/GMD-1809-301.pdf#page=3","Abrir facsímil")</f>
        <v>Abrir facsímil</v>
      </c>
      <c r="K4076" s="3" t="s">
        <v>57</v>
      </c>
    </row>
    <row r="4077" spans="1:11" ht="42" customHeight="1">
      <c r="A4077" s="2" t="s">
        <v>10090</v>
      </c>
      <c r="B4077" s="2" t="s">
        <v>10090</v>
      </c>
      <c r="C4077" s="2" t="s">
        <v>17</v>
      </c>
      <c r="D4077" s="2" t="s">
        <v>72</v>
      </c>
      <c r="E4077" s="3" t="s">
        <v>243</v>
      </c>
      <c r="F4077" s="3" t="s">
        <v>244</v>
      </c>
      <c r="G4077" s="3" t="s">
        <v>582</v>
      </c>
      <c r="H4077" s="2" t="s">
        <v>55</v>
      </c>
      <c r="I4077" s="2" t="s">
        <v>10091</v>
      </c>
      <c r="J4077" s="3" t="str">
        <f>HYPERLINK("https://www.boe.es/gazeta/dias/1809/02/17/pdfs/GGB-G-1809-8.pdf#page=7","Abrir facsímil")</f>
        <v>Abrir facsímil</v>
      </c>
      <c r="K4077" s="3" t="s">
        <v>57</v>
      </c>
    </row>
    <row r="4078" spans="1:11" ht="42" customHeight="1">
      <c r="A4078" s="2" t="s">
        <v>10090</v>
      </c>
      <c r="B4078" s="2" t="s">
        <v>10090</v>
      </c>
      <c r="C4078" s="2" t="s">
        <v>79</v>
      </c>
      <c r="D4078" s="2" t="s">
        <v>18</v>
      </c>
      <c r="E4078" s="3" t="s">
        <v>53</v>
      </c>
      <c r="F4078" s="3" t="s">
        <v>54</v>
      </c>
      <c r="G4078" s="3" t="s">
        <v>29</v>
      </c>
      <c r="H4078" s="2" t="s">
        <v>55</v>
      </c>
      <c r="I4078" s="2" t="s">
        <v>10092</v>
      </c>
      <c r="J4078" s="3" t="str">
        <f>HYPERLINK("https://www.boe.es/gazeta/dias/1809/03/03/pdfs/GMD-1809-62.pdf#page=3","Abrir facsímil")</f>
        <v>Abrir facsímil</v>
      </c>
      <c r="K4078" s="3" t="s">
        <v>57</v>
      </c>
    </row>
    <row r="4079" spans="1:11" ht="42" customHeight="1">
      <c r="A4079" s="2" t="s">
        <v>10090</v>
      </c>
      <c r="B4079" s="2" t="s">
        <v>10090</v>
      </c>
      <c r="C4079" s="2" t="s">
        <v>39</v>
      </c>
      <c r="D4079" s="2" t="s">
        <v>72</v>
      </c>
      <c r="E4079" s="3" t="s">
        <v>557</v>
      </c>
      <c r="F4079" s="3" t="s">
        <v>558</v>
      </c>
      <c r="G4079" s="3" t="s">
        <v>265</v>
      </c>
      <c r="H4079" s="2" t="s">
        <v>55</v>
      </c>
      <c r="I4079" s="2" t="s">
        <v>10093</v>
      </c>
      <c r="J4079" s="3" t="str">
        <f>HYPERLINK("https://www.boe.es/gazeta/dias/1809/04/19/pdfs/GMD-E-1809-109.pdf#page=2","Abrir facsímil")</f>
        <v>Abrir facsímil</v>
      </c>
      <c r="K4079" s="3" t="s">
        <v>57</v>
      </c>
    </row>
    <row r="4080" spans="1:11" ht="42" customHeight="1">
      <c r="A4080" s="2" t="s">
        <v>10090</v>
      </c>
      <c r="B4080" s="2" t="s">
        <v>10090</v>
      </c>
      <c r="C4080" s="2" t="s">
        <v>47</v>
      </c>
      <c r="D4080" s="2" t="s">
        <v>18</v>
      </c>
      <c r="E4080" s="3" t="s">
        <v>508</v>
      </c>
      <c r="F4080" s="3" t="s">
        <v>509</v>
      </c>
      <c r="G4080" s="3" t="s">
        <v>316</v>
      </c>
      <c r="H4080" s="2" t="s">
        <v>55</v>
      </c>
      <c r="I4080" s="2" t="s">
        <v>10094</v>
      </c>
      <c r="J4080" s="3" t="str">
        <f>HYPERLINK("https://www.boe.es/gazeta/dias/1809/06/21/pdfs/GMD-1809-172.pdf#page=4","Abrir facsímil")</f>
        <v>Abrir facsímil</v>
      </c>
      <c r="K4080" s="3" t="s">
        <v>57</v>
      </c>
    </row>
    <row r="4081" spans="1:11" ht="42" customHeight="1">
      <c r="A4081" s="2" t="s">
        <v>10090</v>
      </c>
      <c r="B4081" s="2" t="s">
        <v>10090</v>
      </c>
      <c r="C4081" s="2" t="s">
        <v>17</v>
      </c>
      <c r="D4081" s="2" t="s">
        <v>18</v>
      </c>
      <c r="E4081" s="3" t="s">
        <v>464</v>
      </c>
      <c r="F4081" s="3" t="s">
        <v>465</v>
      </c>
      <c r="G4081" s="3" t="s">
        <v>62</v>
      </c>
      <c r="H4081" s="2" t="s">
        <v>55</v>
      </c>
      <c r="I4081" s="2" t="s">
        <v>10095</v>
      </c>
      <c r="J4081" s="3" t="str">
        <f>HYPERLINK("https://www.boe.es/gazeta/dias/1809/07/05/pdfs/GMD-1809-186.pdf#page=4","Abrir facsímil")</f>
        <v>Abrir facsímil</v>
      </c>
      <c r="K4081" s="3" t="s">
        <v>57</v>
      </c>
    </row>
    <row r="4082" spans="1:11" ht="42" customHeight="1">
      <c r="A4082" s="2" t="s">
        <v>10090</v>
      </c>
      <c r="B4082" s="2" t="s">
        <v>10090</v>
      </c>
      <c r="C4082" s="2" t="s">
        <v>17</v>
      </c>
      <c r="D4082" s="2" t="s">
        <v>18</v>
      </c>
      <c r="E4082" s="3" t="s">
        <v>530</v>
      </c>
      <c r="F4082" s="3" t="s">
        <v>531</v>
      </c>
      <c r="G4082" s="3" t="s">
        <v>532</v>
      </c>
      <c r="H4082" s="2" t="s">
        <v>55</v>
      </c>
      <c r="I4082" s="2" t="s">
        <v>10096</v>
      </c>
      <c r="J4082" s="3" t="str">
        <f>HYPERLINK("https://www.boe.es/gazeta/dias/1809/07/10/pdfs/GMD-1809-191.pdf#page=4","Abrir facsímil")</f>
        <v>Abrir facsímil</v>
      </c>
      <c r="K4082" s="3" t="s">
        <v>57</v>
      </c>
    </row>
    <row r="4083" spans="1:11" ht="42" customHeight="1">
      <c r="A4083" s="2" t="s">
        <v>10090</v>
      </c>
      <c r="B4083" s="2" t="s">
        <v>10090</v>
      </c>
      <c r="C4083" s="2" t="s">
        <v>47</v>
      </c>
      <c r="D4083" s="2" t="s">
        <v>18</v>
      </c>
      <c r="E4083" s="3" t="s">
        <v>503</v>
      </c>
      <c r="F4083" s="3" t="s">
        <v>504</v>
      </c>
      <c r="G4083" s="3" t="s">
        <v>62</v>
      </c>
      <c r="H4083" s="2" t="s">
        <v>55</v>
      </c>
      <c r="I4083" s="2" t="s">
        <v>10097</v>
      </c>
      <c r="J4083" s="3" t="str">
        <f>HYPERLINK("https://www.boe.es/gazeta/dias/1809/09/01/pdfs/GMD-1809-245.pdf#page=4","Abrir facsímil")</f>
        <v>Abrir facsímil</v>
      </c>
      <c r="K4083" s="3" t="s">
        <v>57</v>
      </c>
    </row>
    <row r="4084" spans="1:11" ht="42" customHeight="1">
      <c r="A4084" s="2" t="s">
        <v>10090</v>
      </c>
      <c r="B4084" s="2" t="s">
        <v>10090</v>
      </c>
      <c r="C4084" s="2" t="s">
        <v>17</v>
      </c>
      <c r="D4084" s="2" t="s">
        <v>72</v>
      </c>
      <c r="E4084" s="3" t="s">
        <v>1080</v>
      </c>
      <c r="F4084" s="3" t="s">
        <v>1722</v>
      </c>
      <c r="G4084" s="3" t="s">
        <v>120</v>
      </c>
      <c r="H4084" s="2" t="s">
        <v>55</v>
      </c>
      <c r="I4084" s="2" t="s">
        <v>10098</v>
      </c>
      <c r="J4084" s="3" t="str">
        <f>HYPERLINK("https://www.boe.es/gazeta/dias/1809/10/23/pdfs/GMD-E-1809-297.pdf#page=1","Abrir facsímil")</f>
        <v>Abrir facsímil</v>
      </c>
      <c r="K4084" s="3" t="s">
        <v>57</v>
      </c>
    </row>
    <row r="4085" spans="1:11" ht="42" customHeight="1">
      <c r="A4085" s="2" t="s">
        <v>10090</v>
      </c>
      <c r="B4085" s="2" t="s">
        <v>10090</v>
      </c>
      <c r="C4085" s="2" t="s">
        <v>25</v>
      </c>
      <c r="D4085" s="2" t="s">
        <v>18</v>
      </c>
      <c r="E4085" s="3" t="s">
        <v>211</v>
      </c>
      <c r="F4085" s="3" t="s">
        <v>212</v>
      </c>
      <c r="G4085" s="3" t="s">
        <v>467</v>
      </c>
      <c r="H4085" s="2" t="s">
        <v>55</v>
      </c>
      <c r="I4085" s="2" t="s">
        <v>10099</v>
      </c>
      <c r="J4085" s="3" t="str">
        <f>HYPERLINK("https://www.boe.es/gazeta/dias/1809/10/27/pdfs/GMD-1809-301.pdf#page=2","Abrir facsímil")</f>
        <v>Abrir facsímil</v>
      </c>
      <c r="K4085" s="3" t="s">
        <v>57</v>
      </c>
    </row>
    <row r="4086" spans="1:11" ht="42" customHeight="1">
      <c r="A4086" s="2" t="s">
        <v>10090</v>
      </c>
      <c r="B4086" s="2" t="s">
        <v>10090</v>
      </c>
      <c r="C4086" s="2" t="s">
        <v>17</v>
      </c>
      <c r="D4086" s="2" t="s">
        <v>40</v>
      </c>
      <c r="E4086" s="3" t="s">
        <v>211</v>
      </c>
      <c r="F4086" s="3" t="s">
        <v>212</v>
      </c>
      <c r="G4086" s="3" t="s">
        <v>29</v>
      </c>
      <c r="H4086" s="2" t="s">
        <v>55</v>
      </c>
      <c r="I4086" s="2" t="s">
        <v>10100</v>
      </c>
      <c r="J4086" s="3" t="str">
        <f>HYPERLINK("https://www.boe.es/gazeta/dias/1809/10/27/pdfs/GMD-1809-301.pdf#page=3","Abrir facsímil")</f>
        <v>Abrir facsímil</v>
      </c>
      <c r="K4086" s="3" t="s">
        <v>57</v>
      </c>
    </row>
    <row r="4087" spans="1:11" ht="42" customHeight="1">
      <c r="A4087" s="2" t="s">
        <v>10090</v>
      </c>
      <c r="B4087" s="2" t="s">
        <v>10090</v>
      </c>
      <c r="C4087" s="2" t="s">
        <v>25</v>
      </c>
      <c r="D4087" s="2" t="s">
        <v>26</v>
      </c>
      <c r="E4087" s="3" t="s">
        <v>211</v>
      </c>
      <c r="F4087" s="3" t="s">
        <v>212</v>
      </c>
      <c r="G4087" s="3" t="s">
        <v>213</v>
      </c>
      <c r="H4087" s="2" t="s">
        <v>55</v>
      </c>
      <c r="I4087" s="2" t="s">
        <v>10101</v>
      </c>
      <c r="J4087" s="3" t="str">
        <f>HYPERLINK("https://www.boe.es/gazeta/dias/1809/10/27/pdfs/GMD-1809-301.pdf#page=4","Abrir facsímil")</f>
        <v>Abrir facsímil</v>
      </c>
      <c r="K4087" s="3" t="s">
        <v>57</v>
      </c>
    </row>
    <row r="4088" spans="1:11" ht="42" customHeight="1">
      <c r="A4088" s="2" t="s">
        <v>10090</v>
      </c>
      <c r="B4088" s="2" t="s">
        <v>10090</v>
      </c>
      <c r="C4088" s="2" t="s">
        <v>17</v>
      </c>
      <c r="D4088" s="2" t="s">
        <v>40</v>
      </c>
      <c r="E4088" s="3" t="s">
        <v>2414</v>
      </c>
      <c r="F4088" s="3" t="s">
        <v>4556</v>
      </c>
      <c r="G4088" s="3" t="s">
        <v>4557</v>
      </c>
      <c r="H4088" s="2" t="s">
        <v>55</v>
      </c>
      <c r="I4088" s="2" t="s">
        <v>10102</v>
      </c>
      <c r="J4088" s="3" t="str">
        <f>HYPERLINK("https://www.boe.es/gazeta/dias/1809/11/18/pdfs/GGB-1809-472.pdf#page=8","Abrir facsímil")</f>
        <v>Abrir facsímil</v>
      </c>
      <c r="K4088" s="3" t="s">
        <v>57</v>
      </c>
    </row>
    <row r="4089" spans="1:11" ht="42" customHeight="1">
      <c r="A4089" s="2" t="s">
        <v>10090</v>
      </c>
      <c r="B4089" s="2" t="s">
        <v>10090</v>
      </c>
      <c r="C4089" s="2" t="s">
        <v>25</v>
      </c>
      <c r="D4089" s="2" t="s">
        <v>26</v>
      </c>
      <c r="E4089" s="3" t="s">
        <v>1396</v>
      </c>
      <c r="F4089" s="3" t="s">
        <v>2370</v>
      </c>
      <c r="G4089" s="3" t="s">
        <v>4139</v>
      </c>
      <c r="H4089" s="2" t="s">
        <v>55</v>
      </c>
      <c r="I4089" s="2" t="s">
        <v>10103</v>
      </c>
      <c r="J4089" s="3" t="str">
        <f>HYPERLINK("https://www.boe.es/gazeta/dias/1809/11/28/pdfs/GGB-H-1809-512.pdf#page=8","Abrir facsímil")</f>
        <v>Abrir facsímil</v>
      </c>
      <c r="K4089" s="3" t="s">
        <v>57</v>
      </c>
    </row>
    <row r="4090" spans="1:11" ht="42" customHeight="1">
      <c r="A4090" s="2" t="s">
        <v>10090</v>
      </c>
      <c r="B4090" s="2" t="s">
        <v>10090</v>
      </c>
      <c r="C4090" s="2" t="s">
        <v>25</v>
      </c>
      <c r="D4090" s="2" t="s">
        <v>26</v>
      </c>
      <c r="E4090" s="3" t="s">
        <v>216</v>
      </c>
      <c r="F4090" s="3" t="s">
        <v>217</v>
      </c>
      <c r="G4090" s="3" t="s">
        <v>75</v>
      </c>
      <c r="H4090" s="2" t="s">
        <v>55</v>
      </c>
      <c r="I4090" s="2" t="s">
        <v>10104</v>
      </c>
      <c r="J4090" s="3" t="str">
        <f>HYPERLINK("https://www.boe.es/gazeta/dias/1809/12/05/pdfs/GGB-H-1809-542.pdf#page=2","Abrir facsímil")</f>
        <v>Abrir facsímil</v>
      </c>
      <c r="K4090" s="3" t="s">
        <v>57</v>
      </c>
    </row>
    <row r="4091" spans="1:11" ht="42" customHeight="1">
      <c r="A4091" s="2" t="s">
        <v>10090</v>
      </c>
      <c r="B4091" s="2" t="s">
        <v>10090</v>
      </c>
      <c r="C4091" s="2" t="s">
        <v>25</v>
      </c>
      <c r="D4091" s="2" t="s">
        <v>26</v>
      </c>
      <c r="E4091" s="3" t="s">
        <v>216</v>
      </c>
      <c r="F4091" s="3" t="s">
        <v>217</v>
      </c>
      <c r="G4091" s="3" t="s">
        <v>270</v>
      </c>
      <c r="H4091" s="2" t="s">
        <v>55</v>
      </c>
      <c r="I4091" s="2" t="s">
        <v>10105</v>
      </c>
      <c r="J4091" s="3" t="str">
        <f>HYPERLINK("https://www.boe.es/gazeta/dias/1809/12/05/pdfs/GGB-H-1809-542.pdf#page=3","Abrir facsímil")</f>
        <v>Abrir facsímil</v>
      </c>
      <c r="K4091" s="3" t="s">
        <v>57</v>
      </c>
    </row>
    <row r="4092" spans="1:11" ht="42" customHeight="1">
      <c r="A4092" s="2" t="s">
        <v>10090</v>
      </c>
      <c r="B4092" s="2" t="s">
        <v>10090</v>
      </c>
      <c r="C4092" s="2" t="s">
        <v>25</v>
      </c>
      <c r="D4092" s="2" t="s">
        <v>40</v>
      </c>
      <c r="E4092" s="3" t="s">
        <v>216</v>
      </c>
      <c r="F4092" s="3" t="s">
        <v>217</v>
      </c>
      <c r="G4092" s="3" t="s">
        <v>587</v>
      </c>
      <c r="H4092" s="2" t="s">
        <v>55</v>
      </c>
      <c r="I4092" s="2" t="s">
        <v>10106</v>
      </c>
      <c r="J4092" s="3" t="str">
        <f>HYPERLINK("https://www.boe.es/gazeta/dias/1809/12/05/pdfs/GGB-H-1809-542.pdf#page=4","Abrir facsímil")</f>
        <v>Abrir facsímil</v>
      </c>
      <c r="K4092" s="3" t="s">
        <v>57</v>
      </c>
    </row>
    <row r="4093" spans="1:11" ht="42" customHeight="1">
      <c r="A4093" s="2" t="s">
        <v>10090</v>
      </c>
      <c r="B4093" s="2" t="s">
        <v>10090</v>
      </c>
      <c r="C4093" s="2" t="s">
        <v>17</v>
      </c>
      <c r="D4093" s="2" t="s">
        <v>72</v>
      </c>
      <c r="E4093" s="3" t="s">
        <v>216</v>
      </c>
      <c r="F4093" s="3" t="s">
        <v>217</v>
      </c>
      <c r="G4093" s="3" t="s">
        <v>94</v>
      </c>
      <c r="H4093" s="2" t="s">
        <v>55</v>
      </c>
      <c r="I4093" s="2" t="s">
        <v>10107</v>
      </c>
      <c r="J4093" s="3" t="str">
        <f>HYPERLINK("https://www.boe.es/gazeta/dias/1809/12/05/pdfs/GGB-H-1809-542.pdf#page=5","Abrir facsímil")</f>
        <v>Abrir facsímil</v>
      </c>
      <c r="K4093" s="3" t="s">
        <v>57</v>
      </c>
    </row>
    <row r="4094" spans="1:11" ht="42" customHeight="1">
      <c r="A4094" s="2" t="s">
        <v>10090</v>
      </c>
      <c r="B4094" s="2" t="s">
        <v>10090</v>
      </c>
      <c r="C4094" s="2" t="s">
        <v>25</v>
      </c>
      <c r="D4094" s="2" t="s">
        <v>72</v>
      </c>
      <c r="E4094" s="3" t="s">
        <v>216</v>
      </c>
      <c r="F4094" s="3" t="s">
        <v>217</v>
      </c>
      <c r="G4094" s="3" t="s">
        <v>218</v>
      </c>
      <c r="H4094" s="2" t="s">
        <v>55</v>
      </c>
      <c r="I4094" s="2" t="s">
        <v>10108</v>
      </c>
      <c r="J4094" s="3" t="str">
        <f>HYPERLINK("https://www.boe.es/gazeta/dias/1809/12/05/pdfs/GGB-H-1809-542.pdf#page=6","Abrir facsímil")</f>
        <v>Abrir facsímil</v>
      </c>
      <c r="K4094" s="3" t="s">
        <v>57</v>
      </c>
    </row>
    <row r="4095" spans="1:11" ht="42" customHeight="1">
      <c r="A4095" s="2" t="s">
        <v>10090</v>
      </c>
      <c r="B4095" s="2" t="s">
        <v>10090</v>
      </c>
      <c r="C4095" s="2" t="s">
        <v>25</v>
      </c>
      <c r="D4095" s="2" t="s">
        <v>18</v>
      </c>
      <c r="E4095" s="3" t="s">
        <v>220</v>
      </c>
      <c r="F4095" s="3" t="s">
        <v>221</v>
      </c>
      <c r="G4095" s="3" t="s">
        <v>154</v>
      </c>
      <c r="H4095" s="2" t="s">
        <v>55</v>
      </c>
      <c r="I4095" s="2" t="s">
        <v>10109</v>
      </c>
      <c r="J4095" s="3" t="str">
        <f>HYPERLINK("https://www.boe.es/gazeta/dias/1809/12/13/pdfs/GMD-1809-348.pdf#page=4","Abrir facsímil")</f>
        <v>Abrir facsímil</v>
      </c>
      <c r="K4095" s="3" t="s">
        <v>57</v>
      </c>
    </row>
    <row r="4096" spans="1:11" ht="42" customHeight="1">
      <c r="A4096" s="2" t="s">
        <v>10090</v>
      </c>
      <c r="B4096" s="2" t="s">
        <v>10090</v>
      </c>
      <c r="C4096" s="2" t="s">
        <v>17</v>
      </c>
      <c r="D4096" s="2" t="s">
        <v>18</v>
      </c>
      <c r="E4096" s="3" t="s">
        <v>223</v>
      </c>
      <c r="F4096" s="3" t="s">
        <v>224</v>
      </c>
      <c r="G4096" s="3" t="s">
        <v>75</v>
      </c>
      <c r="H4096" s="2" t="s">
        <v>55</v>
      </c>
      <c r="I4096" s="2" t="s">
        <v>10110</v>
      </c>
      <c r="J4096" s="3" t="str">
        <f>HYPERLINK("https://www.boe.es/gazeta/dias/1809/12/17/pdfs/GMD-1809-352.pdf#page=3","Abrir facsímil")</f>
        <v>Abrir facsímil</v>
      </c>
      <c r="K4096" s="3" t="s">
        <v>57</v>
      </c>
    </row>
    <row r="4097" spans="1:11" ht="42" customHeight="1">
      <c r="A4097" s="2" t="s">
        <v>10090</v>
      </c>
      <c r="B4097" s="2" t="s">
        <v>10090</v>
      </c>
      <c r="C4097" s="2" t="s">
        <v>25</v>
      </c>
      <c r="D4097" s="2" t="s">
        <v>26</v>
      </c>
      <c r="E4097" s="3" t="s">
        <v>223</v>
      </c>
      <c r="F4097" s="3" t="s">
        <v>224</v>
      </c>
      <c r="G4097" s="3" t="s">
        <v>225</v>
      </c>
      <c r="H4097" s="2" t="s">
        <v>55</v>
      </c>
      <c r="I4097" s="2" t="s">
        <v>10111</v>
      </c>
      <c r="J4097" s="3" t="str">
        <f>HYPERLINK("https://www.boe.es/gazeta/dias/1809/12/17/pdfs/GMD-1809-352.pdf#page=4","Abrir facsímil")</f>
        <v>Abrir facsímil</v>
      </c>
      <c r="K4097" s="3" t="s">
        <v>57</v>
      </c>
    </row>
    <row r="4098" spans="1:11" ht="42" customHeight="1">
      <c r="A4098" s="2" t="s">
        <v>10090</v>
      </c>
      <c r="B4098" s="2" t="s">
        <v>10090</v>
      </c>
      <c r="C4098" s="2" t="s">
        <v>39</v>
      </c>
      <c r="D4098" s="2" t="s">
        <v>18</v>
      </c>
      <c r="E4098" s="3" t="s">
        <v>883</v>
      </c>
      <c r="F4098" s="3" t="s">
        <v>884</v>
      </c>
      <c r="G4098" s="3" t="s">
        <v>21</v>
      </c>
      <c r="H4098" s="2" t="s">
        <v>55</v>
      </c>
      <c r="I4098" s="2" t="s">
        <v>10112</v>
      </c>
      <c r="J4098" s="3" t="str">
        <f>HYPERLINK("https://www.boe.es/gazeta/dias/1809/12/21/pdfs/GMD-1809-356.pdf#page=3","Abrir facsímil")</f>
        <v>Abrir facsímil</v>
      </c>
      <c r="K4098" s="3" t="s">
        <v>57</v>
      </c>
    </row>
    <row r="4099" spans="1:11" ht="42" customHeight="1">
      <c r="A4099" s="2" t="s">
        <v>10090</v>
      </c>
      <c r="B4099" s="2" t="s">
        <v>10090</v>
      </c>
      <c r="C4099" s="2" t="s">
        <v>131</v>
      </c>
      <c r="D4099" s="2" t="s">
        <v>18</v>
      </c>
      <c r="E4099" s="3" t="s">
        <v>473</v>
      </c>
      <c r="F4099" s="3" t="s">
        <v>474</v>
      </c>
      <c r="G4099" s="3" t="s">
        <v>234</v>
      </c>
      <c r="H4099" s="2" t="s">
        <v>55</v>
      </c>
      <c r="I4099" s="2" t="s">
        <v>10113</v>
      </c>
      <c r="J4099" s="3" t="str">
        <f>HYPERLINK("https://www.boe.es/gazeta/dias/1809/12/28/pdfs/GMD-1809-363.pdf#page=3","Abrir facsímil")</f>
        <v>Abrir facsímil</v>
      </c>
      <c r="K4099" s="3" t="s">
        <v>57</v>
      </c>
    </row>
    <row r="4100" spans="1:11" ht="42" customHeight="1">
      <c r="A4100" s="2" t="s">
        <v>10114</v>
      </c>
      <c r="B4100" s="2" t="s">
        <v>10115</v>
      </c>
      <c r="C4100" s="2" t="s">
        <v>25</v>
      </c>
      <c r="D4100" s="2" t="s">
        <v>18</v>
      </c>
      <c r="E4100" s="3" t="s">
        <v>223</v>
      </c>
      <c r="F4100" s="3" t="s">
        <v>224</v>
      </c>
      <c r="G4100" s="3" t="s">
        <v>75</v>
      </c>
      <c r="H4100" s="2" t="s">
        <v>55</v>
      </c>
      <c r="I4100" s="2" t="s">
        <v>10116</v>
      </c>
      <c r="J4100" s="3" t="str">
        <f>HYPERLINK("https://www.boe.es/gazeta/dias/1809/12/17/pdfs/GMD-1809-352.pdf#page=3","Abrir facsímil")</f>
        <v>Abrir facsímil</v>
      </c>
      <c r="K4100" s="3" t="s">
        <v>57</v>
      </c>
    </row>
    <row r="4101" spans="1:11" ht="42" customHeight="1">
      <c r="A4101" s="2" t="s">
        <v>10117</v>
      </c>
      <c r="B4101" s="2" t="s">
        <v>10118</v>
      </c>
      <c r="C4101" s="2" t="s">
        <v>25</v>
      </c>
      <c r="D4101" s="2" t="s">
        <v>26</v>
      </c>
      <c r="E4101" s="3" t="s">
        <v>66</v>
      </c>
      <c r="F4101" s="3" t="s">
        <v>793</v>
      </c>
      <c r="G4101" s="3" t="s">
        <v>239</v>
      </c>
      <c r="H4101" s="2" t="s">
        <v>55</v>
      </c>
      <c r="I4101" s="2" t="s">
        <v>10119</v>
      </c>
      <c r="J4101" s="3" t="str">
        <f>HYPERLINK("https://www.boe.es/gazeta/dias/1809/12/30/pdfs/GMD-1809-365.pdf#page=4","Abrir facsímil")</f>
        <v>Abrir facsímil</v>
      </c>
      <c r="K4101" s="3" t="s">
        <v>57</v>
      </c>
    </row>
    <row r="4102" spans="1:11" ht="42" customHeight="1">
      <c r="A4102" s="2" t="s">
        <v>10120</v>
      </c>
      <c r="B4102" s="2" t="s">
        <v>10121</v>
      </c>
      <c r="C4102" s="2" t="s">
        <v>25</v>
      </c>
      <c r="D4102" s="2" t="s">
        <v>26</v>
      </c>
      <c r="E4102" s="3" t="s">
        <v>1736</v>
      </c>
      <c r="F4102" s="3" t="s">
        <v>7218</v>
      </c>
      <c r="G4102" s="3" t="s">
        <v>270</v>
      </c>
      <c r="H4102" s="2" t="s">
        <v>22</v>
      </c>
      <c r="I4102" s="2" t="s">
        <v>10122</v>
      </c>
      <c r="J4102" s="3" t="str">
        <f>HYPERLINK("https://www.boe.es/gazeta/dias/1809/02/28/pdfs/GGB-1809-9E.pdf#page=3","Abrir facsímil")</f>
        <v>Abrir facsímil</v>
      </c>
      <c r="K4102" s="3" t="s">
        <v>24</v>
      </c>
    </row>
    <row r="4103" spans="1:11" ht="42" customHeight="1">
      <c r="A4103" s="2" t="s">
        <v>10123</v>
      </c>
      <c r="B4103" s="2" t="s">
        <v>10123</v>
      </c>
      <c r="C4103" s="2" t="s">
        <v>17</v>
      </c>
      <c r="D4103" s="2" t="s">
        <v>18</v>
      </c>
      <c r="E4103" s="3" t="s">
        <v>207</v>
      </c>
      <c r="F4103" s="3" t="s">
        <v>208</v>
      </c>
      <c r="G4103" s="3" t="s">
        <v>209</v>
      </c>
      <c r="H4103" s="2" t="s">
        <v>55</v>
      </c>
      <c r="I4103" s="2" t="s">
        <v>10124</v>
      </c>
      <c r="J4103" s="3" t="str">
        <f>HYPERLINK("https://www.boe.es/gazeta/dias/1809/09/16/pdfs/GMD-1809-260.pdf#page=4","Abrir facsímil")</f>
        <v>Abrir facsímil</v>
      </c>
      <c r="K4103" s="3" t="s">
        <v>57</v>
      </c>
    </row>
    <row r="4104" spans="1:11" ht="42" customHeight="1">
      <c r="A4104" s="2" t="s">
        <v>10125</v>
      </c>
      <c r="B4104" s="2" t="s">
        <v>10126</v>
      </c>
      <c r="C4104" s="2" t="s">
        <v>17</v>
      </c>
      <c r="D4104" s="2" t="s">
        <v>18</v>
      </c>
      <c r="E4104" s="3" t="s">
        <v>500</v>
      </c>
      <c r="F4104" s="3" t="s">
        <v>2357</v>
      </c>
      <c r="G4104" s="3" t="s">
        <v>115</v>
      </c>
      <c r="H4104" s="2" t="s">
        <v>55</v>
      </c>
      <c r="I4104" s="2" t="s">
        <v>10127</v>
      </c>
      <c r="J4104" s="3" t="str">
        <f>HYPERLINK("https://www.boe.es/gazeta/dias/1809/03/24/pdfs/GGB-1809-13.pdf#page=6","Abrir facsímil")</f>
        <v>Abrir facsímil</v>
      </c>
      <c r="K4104" s="3" t="s">
        <v>57</v>
      </c>
    </row>
    <row r="4105" spans="1:11" ht="42" customHeight="1">
      <c r="A4105" s="2" t="s">
        <v>10128</v>
      </c>
      <c r="B4105" s="2" t="s">
        <v>10128</v>
      </c>
      <c r="C4105" s="2" t="s">
        <v>25</v>
      </c>
      <c r="D4105" s="2" t="s">
        <v>107</v>
      </c>
      <c r="E4105" s="3" t="s">
        <v>9534</v>
      </c>
      <c r="F4105" s="3" t="s">
        <v>9535</v>
      </c>
      <c r="G4105" s="3" t="s">
        <v>7108</v>
      </c>
      <c r="H4105" s="2" t="s">
        <v>55</v>
      </c>
      <c r="I4105" s="2" t="s">
        <v>10129</v>
      </c>
      <c r="J4105" s="3" t="str">
        <f>HYPERLINK("https://www.boe.es/gazeta/dias/1809/10/30/pdfs/GMD-1809-304.pdf#page=4","Abrir facsímil")</f>
        <v>Abrir facsímil</v>
      </c>
      <c r="K4105" s="3" t="s">
        <v>57</v>
      </c>
    </row>
    <row r="4106" spans="1:11" ht="42" customHeight="1">
      <c r="A4106" s="2" t="s">
        <v>10128</v>
      </c>
      <c r="B4106" s="2" t="s">
        <v>10128</v>
      </c>
      <c r="C4106" s="2" t="s">
        <v>25</v>
      </c>
      <c r="D4106" s="2" t="s">
        <v>18</v>
      </c>
      <c r="E4106" s="3" t="s">
        <v>1921</v>
      </c>
      <c r="F4106" s="3" t="s">
        <v>1922</v>
      </c>
      <c r="G4106" s="3" t="s">
        <v>1302</v>
      </c>
      <c r="H4106" s="2" t="s">
        <v>55</v>
      </c>
      <c r="I4106" s="2" t="s">
        <v>10130</v>
      </c>
      <c r="J4106" s="3" t="str">
        <f>HYPERLINK("https://www.boe.es/gazeta/dias/1809/11/05/pdfs/GMD-1809-310.pdf#page=3","Abrir facsímil")</f>
        <v>Abrir facsímil</v>
      </c>
      <c r="K4106" s="3" t="s">
        <v>57</v>
      </c>
    </row>
    <row r="4107" spans="1:11" ht="42" customHeight="1">
      <c r="A4107" s="2" t="s">
        <v>10131</v>
      </c>
      <c r="B4107" s="2" t="s">
        <v>10131</v>
      </c>
      <c r="C4107" s="2" t="s">
        <v>17</v>
      </c>
      <c r="D4107" s="2" t="s">
        <v>18</v>
      </c>
      <c r="E4107" s="3" t="s">
        <v>1667</v>
      </c>
      <c r="F4107" s="3" t="s">
        <v>1668</v>
      </c>
      <c r="G4107" s="3" t="s">
        <v>239</v>
      </c>
      <c r="H4107" s="2" t="s">
        <v>55</v>
      </c>
      <c r="I4107" s="2" t="s">
        <v>10132</v>
      </c>
      <c r="J4107" s="3" t="str">
        <f>HYPERLINK("https://www.boe.es/gazeta/dias/1809/02/21/pdfs/GMD-1809-52.pdf#page=6","Abrir facsímil")</f>
        <v>Abrir facsímil</v>
      </c>
      <c r="K4107" s="3" t="s">
        <v>57</v>
      </c>
    </row>
    <row r="4108" spans="1:11" ht="42" customHeight="1">
      <c r="A4108" s="2" t="s">
        <v>10133</v>
      </c>
      <c r="B4108" s="2" t="s">
        <v>10134</v>
      </c>
      <c r="C4108" s="2" t="s">
        <v>17</v>
      </c>
      <c r="D4108" s="2" t="s">
        <v>18</v>
      </c>
      <c r="E4108" s="3" t="s">
        <v>33</v>
      </c>
      <c r="F4108" s="3" t="s">
        <v>34</v>
      </c>
      <c r="G4108" s="3" t="s">
        <v>595</v>
      </c>
      <c r="H4108" s="2" t="s">
        <v>55</v>
      </c>
      <c r="I4108" s="2" t="s">
        <v>10135</v>
      </c>
      <c r="J4108" s="3" t="str">
        <f>HYPERLINK("https://www.boe.es/gazeta/dias/1809/12/19/pdfs/GGB-1809-602.pdf#page=7","Abrir facsímil")</f>
        <v>Abrir facsímil</v>
      </c>
      <c r="K4108" s="3" t="s">
        <v>57</v>
      </c>
    </row>
    <row r="4109" spans="1:11" ht="42" customHeight="1">
      <c r="A4109" s="2" t="s">
        <v>10136</v>
      </c>
      <c r="B4109" s="2" t="s">
        <v>10136</v>
      </c>
      <c r="C4109" s="2" t="s">
        <v>25</v>
      </c>
      <c r="D4109" s="2" t="s">
        <v>18</v>
      </c>
      <c r="E4109" s="3" t="s">
        <v>381</v>
      </c>
      <c r="F4109" s="3" t="s">
        <v>382</v>
      </c>
      <c r="G4109" s="3" t="s">
        <v>5194</v>
      </c>
      <c r="H4109" s="2" t="s">
        <v>55</v>
      </c>
      <c r="I4109" s="2" t="s">
        <v>10137</v>
      </c>
      <c r="J4109" s="3" t="str">
        <f>HYPERLINK("https://www.boe.es/gazeta/dias/1809/06/27/pdfs/GMD-1809-178.pdf#page=3","Abrir facsímil")</f>
        <v>Abrir facsímil</v>
      </c>
      <c r="K4109" s="3" t="s">
        <v>57</v>
      </c>
    </row>
    <row r="4110" spans="1:11" ht="42" customHeight="1">
      <c r="A4110" s="2" t="s">
        <v>10136</v>
      </c>
      <c r="B4110" s="2" t="s">
        <v>10136</v>
      </c>
      <c r="C4110" s="2" t="s">
        <v>25</v>
      </c>
      <c r="D4110" s="2" t="s">
        <v>26</v>
      </c>
      <c r="E4110" s="3" t="s">
        <v>6238</v>
      </c>
      <c r="F4110" s="3" t="s">
        <v>6239</v>
      </c>
      <c r="G4110" s="3" t="s">
        <v>426</v>
      </c>
      <c r="H4110" s="2" t="s">
        <v>55</v>
      </c>
      <c r="I4110" s="2" t="s">
        <v>10138</v>
      </c>
      <c r="J4110" s="3" t="str">
        <f>HYPERLINK("https://www.boe.es/gazeta/dias/1809/07/17/pdfs/GMD-1809-198.pdf#page=1","Abrir facsímil")</f>
        <v>Abrir facsímil</v>
      </c>
      <c r="K4110" s="3" t="s">
        <v>57</v>
      </c>
    </row>
    <row r="4111" spans="1:11" ht="42" customHeight="1">
      <c r="A4111" s="2" t="s">
        <v>10139</v>
      </c>
      <c r="B4111" s="2" t="s">
        <v>10139</v>
      </c>
      <c r="C4111" s="2" t="s">
        <v>47</v>
      </c>
      <c r="D4111" s="2" t="s">
        <v>18</v>
      </c>
      <c r="E4111" s="3" t="s">
        <v>925</v>
      </c>
      <c r="F4111" s="3" t="s">
        <v>926</v>
      </c>
      <c r="G4111" s="3" t="s">
        <v>270</v>
      </c>
      <c r="H4111" s="2" t="s">
        <v>55</v>
      </c>
      <c r="I4111" s="2" t="s">
        <v>10140</v>
      </c>
      <c r="J4111" s="3" t="str">
        <f>HYPERLINK("https://www.boe.es/gazeta/dias/1809/01/11/pdfs/GGB-1809-2.pdf#page=5","Abrir facsímil")</f>
        <v>Abrir facsímil</v>
      </c>
      <c r="K4111" s="3" t="s">
        <v>57</v>
      </c>
    </row>
    <row r="4112" spans="1:11" ht="42" customHeight="1">
      <c r="A4112" s="2" t="s">
        <v>10141</v>
      </c>
      <c r="B4112" s="2" t="s">
        <v>10141</v>
      </c>
      <c r="C4112" s="2" t="s">
        <v>25</v>
      </c>
      <c r="D4112" s="2" t="s">
        <v>26</v>
      </c>
      <c r="E4112" s="3" t="s">
        <v>184</v>
      </c>
      <c r="F4112" s="3" t="s">
        <v>7090</v>
      </c>
      <c r="G4112" s="3" t="s">
        <v>110</v>
      </c>
      <c r="H4112" s="2" t="s">
        <v>55</v>
      </c>
      <c r="I4112" s="2" t="s">
        <v>10142</v>
      </c>
      <c r="J4112" s="3" t="str">
        <f>HYPERLINK("https://www.boe.es/gazeta/dias/1809/01/07/pdfs/GMD-1809-7.pdf#page=2","Abrir facsímil")</f>
        <v>Abrir facsímil</v>
      </c>
      <c r="K4112" s="3" t="s">
        <v>57</v>
      </c>
    </row>
    <row r="4113" spans="1:11" ht="42" customHeight="1">
      <c r="A4113" s="2" t="s">
        <v>10143</v>
      </c>
      <c r="B4113" s="2" t="s">
        <v>10144</v>
      </c>
      <c r="C4113" s="2" t="s">
        <v>288</v>
      </c>
      <c r="D4113" s="2" t="s">
        <v>72</v>
      </c>
      <c r="E4113" s="3" t="s">
        <v>720</v>
      </c>
      <c r="F4113" s="3" t="s">
        <v>721</v>
      </c>
      <c r="G4113" s="3" t="s">
        <v>62</v>
      </c>
      <c r="H4113" s="2" t="s">
        <v>55</v>
      </c>
      <c r="I4113" s="2" t="s">
        <v>10145</v>
      </c>
      <c r="J4113" s="3" t="str">
        <f>HYPERLINK("https://www.boe.es/gazeta/dias/1809/01/27/pdfs/GGB-G-1809-5.pdf#page=8","Abrir facsímil")</f>
        <v>Abrir facsímil</v>
      </c>
      <c r="K4113" s="3" t="s">
        <v>57</v>
      </c>
    </row>
    <row r="4114" spans="1:11" ht="42" customHeight="1">
      <c r="A4114" s="2" t="s">
        <v>10146</v>
      </c>
      <c r="B4114" s="2" t="s">
        <v>10147</v>
      </c>
      <c r="C4114" s="2" t="s">
        <v>17</v>
      </c>
      <c r="D4114" s="2" t="s">
        <v>18</v>
      </c>
      <c r="E4114" s="3" t="s">
        <v>893</v>
      </c>
      <c r="F4114" s="3" t="s">
        <v>1348</v>
      </c>
      <c r="G4114" s="3" t="s">
        <v>1349</v>
      </c>
      <c r="H4114" s="2" t="s">
        <v>55</v>
      </c>
      <c r="I4114" s="2" t="s">
        <v>10148</v>
      </c>
      <c r="J4114" s="3" t="str">
        <f>HYPERLINK("https://www.boe.es/gazeta/dias/1809/11/02/pdfs/GGB-1809-402.pdf#page=4","Abrir facsímil")</f>
        <v>Abrir facsímil</v>
      </c>
      <c r="K4114" s="3" t="s">
        <v>57</v>
      </c>
    </row>
    <row r="4115" spans="1:11" ht="42" customHeight="1">
      <c r="A4115" s="2" t="s">
        <v>10149</v>
      </c>
      <c r="B4115" s="2" t="s">
        <v>10150</v>
      </c>
      <c r="C4115" s="2" t="s">
        <v>25</v>
      </c>
      <c r="D4115" s="2" t="s">
        <v>40</v>
      </c>
      <c r="E4115" s="3" t="s">
        <v>500</v>
      </c>
      <c r="F4115" s="3" t="s">
        <v>2357</v>
      </c>
      <c r="G4115" s="3" t="s">
        <v>94</v>
      </c>
      <c r="H4115" s="2" t="s">
        <v>55</v>
      </c>
      <c r="I4115" s="2" t="s">
        <v>10151</v>
      </c>
      <c r="J4115" s="3" t="str">
        <f>HYPERLINK("https://www.boe.es/gazeta/dias/1809/03/24/pdfs/GGB-1809-13.pdf#page=5","Abrir facsímil")</f>
        <v>Abrir facsímil</v>
      </c>
      <c r="K4115" s="3" t="s">
        <v>57</v>
      </c>
    </row>
    <row r="4116" spans="1:11" ht="42" customHeight="1">
      <c r="A4116" s="2" t="s">
        <v>10152</v>
      </c>
      <c r="B4116" s="2" t="s">
        <v>10153</v>
      </c>
      <c r="C4116" s="2" t="s">
        <v>131</v>
      </c>
      <c r="D4116" s="2" t="s">
        <v>18</v>
      </c>
      <c r="E4116" s="3" t="s">
        <v>305</v>
      </c>
      <c r="F4116" s="3" t="s">
        <v>306</v>
      </c>
      <c r="G4116" s="3" t="s">
        <v>29</v>
      </c>
      <c r="H4116" s="2" t="s">
        <v>55</v>
      </c>
      <c r="I4116" s="2" t="s">
        <v>10154</v>
      </c>
      <c r="J4116" s="3" t="str">
        <f>HYPERLINK("https://www.boe.es/gazeta/dias/1809/10/20/pdfs/GMD-1809-294.pdf#page=3","Abrir facsímil")</f>
        <v>Abrir facsímil</v>
      </c>
      <c r="K4116" s="3" t="s">
        <v>57</v>
      </c>
    </row>
    <row r="4117" spans="1:11" ht="42" customHeight="1">
      <c r="A4117" s="2" t="s">
        <v>10155</v>
      </c>
      <c r="B4117" s="2" t="s">
        <v>10156</v>
      </c>
      <c r="C4117" s="2" t="s">
        <v>17</v>
      </c>
      <c r="D4117" s="2" t="s">
        <v>18</v>
      </c>
      <c r="E4117" s="3" t="s">
        <v>33</v>
      </c>
      <c r="F4117" s="3" t="s">
        <v>34</v>
      </c>
      <c r="G4117" s="3" t="s">
        <v>595</v>
      </c>
      <c r="H4117" s="2" t="s">
        <v>55</v>
      </c>
      <c r="I4117" s="2" t="s">
        <v>10157</v>
      </c>
      <c r="J4117" s="3" t="str">
        <f>HYPERLINK("https://www.boe.es/gazeta/dias/1809/12/19/pdfs/GGB-1809-602.pdf#page=7","Abrir facsímil")</f>
        <v>Abrir facsímil</v>
      </c>
      <c r="K4117" s="3" t="s">
        <v>57</v>
      </c>
    </row>
    <row r="4118" spans="1:11" ht="42" customHeight="1">
      <c r="A4118" s="2" t="s">
        <v>10158</v>
      </c>
      <c r="B4118" s="2" t="s">
        <v>10158</v>
      </c>
      <c r="C4118" s="2" t="s">
        <v>25</v>
      </c>
      <c r="D4118" s="2" t="s">
        <v>26</v>
      </c>
      <c r="E4118" s="3" t="s">
        <v>1700</v>
      </c>
      <c r="F4118" s="3" t="s">
        <v>1701</v>
      </c>
      <c r="G4118" s="3" t="s">
        <v>225</v>
      </c>
      <c r="H4118" s="2" t="s">
        <v>55</v>
      </c>
      <c r="I4118" s="2" t="s">
        <v>10159</v>
      </c>
      <c r="J4118" s="3" t="str">
        <f>HYPERLINK("https://www.boe.es/gazeta/dias/1809/01/16/pdfs/GGB-1809-3E.pdf#page=4","Abrir facsímil")</f>
        <v>Abrir facsímil</v>
      </c>
      <c r="K4118" s="3" t="s">
        <v>57</v>
      </c>
    </row>
    <row r="4119" spans="1:11" ht="42" customHeight="1">
      <c r="A4119" s="2" t="s">
        <v>10160</v>
      </c>
      <c r="B4119" s="2" t="s">
        <v>10160</v>
      </c>
      <c r="C4119" s="2" t="s">
        <v>25</v>
      </c>
      <c r="D4119" s="2" t="s">
        <v>26</v>
      </c>
      <c r="E4119" s="3" t="s">
        <v>2808</v>
      </c>
      <c r="F4119" s="3" t="s">
        <v>2809</v>
      </c>
      <c r="G4119" s="3" t="s">
        <v>21</v>
      </c>
      <c r="H4119" s="2" t="s">
        <v>55</v>
      </c>
      <c r="I4119" s="2" t="s">
        <v>10161</v>
      </c>
      <c r="J4119" s="3" t="str">
        <f>HYPERLINK("https://www.boe.es/gazeta/dias/1809/10/06/pdfs/GMD-1809-280.pdf#page=2","Abrir facsímil")</f>
        <v>Abrir facsímil</v>
      </c>
      <c r="K4119" s="3" t="s">
        <v>57</v>
      </c>
    </row>
    <row r="4120" spans="1:11" ht="42" customHeight="1">
      <c r="A4120" s="2" t="s">
        <v>10162</v>
      </c>
      <c r="B4120" s="2" t="s">
        <v>10162</v>
      </c>
      <c r="C4120" s="2" t="s">
        <v>369</v>
      </c>
      <c r="D4120" s="2" t="s">
        <v>18</v>
      </c>
      <c r="E4120" s="3" t="s">
        <v>1551</v>
      </c>
      <c r="F4120" s="3" t="s">
        <v>1552</v>
      </c>
      <c r="G4120" s="3" t="s">
        <v>5377</v>
      </c>
      <c r="H4120" s="2" t="s">
        <v>55</v>
      </c>
      <c r="I4120" s="2" t="s">
        <v>10163</v>
      </c>
      <c r="J4120" s="3" t="str">
        <f>HYPERLINK("https://www.boe.es/gazeta/dias/1809/06/12/pdfs/GGB-1809-36.pdf#page=6","Abrir facsímil")</f>
        <v>Abrir facsímil</v>
      </c>
      <c r="K4120" s="3" t="s">
        <v>57</v>
      </c>
    </row>
    <row r="4121" spans="1:11" ht="42" customHeight="1">
      <c r="A4121" s="2" t="s">
        <v>10164</v>
      </c>
      <c r="B4121" s="2" t="s">
        <v>10164</v>
      </c>
      <c r="C4121" s="2" t="s">
        <v>25</v>
      </c>
      <c r="D4121" s="2" t="s">
        <v>26</v>
      </c>
      <c r="E4121" s="3" t="s">
        <v>173</v>
      </c>
      <c r="F4121" s="3" t="s">
        <v>174</v>
      </c>
      <c r="G4121" s="3" t="s">
        <v>204</v>
      </c>
      <c r="H4121" s="2" t="s">
        <v>55</v>
      </c>
      <c r="I4121" s="2" t="s">
        <v>10165</v>
      </c>
      <c r="J4121" s="3" t="str">
        <f>HYPERLINK("https://www.boe.es/gazeta/dias/1809/09/12/pdfs/GGB-1809-182.pdf#page=8","Abrir facsímil")</f>
        <v>Abrir facsímil</v>
      </c>
      <c r="K4121" s="3" t="s">
        <v>57</v>
      </c>
    </row>
    <row r="4122" spans="1:11" ht="42" customHeight="1">
      <c r="A4122" s="2" t="s">
        <v>10166</v>
      </c>
      <c r="B4122" s="2" t="s">
        <v>10166</v>
      </c>
      <c r="C4122" s="2" t="s">
        <v>47</v>
      </c>
      <c r="D4122" s="2" t="s">
        <v>40</v>
      </c>
      <c r="E4122" s="3" t="s">
        <v>211</v>
      </c>
      <c r="F4122" s="3" t="s">
        <v>212</v>
      </c>
      <c r="G4122" s="3" t="s">
        <v>29</v>
      </c>
      <c r="H4122" s="2" t="s">
        <v>55</v>
      </c>
      <c r="I4122" s="2" t="s">
        <v>10167</v>
      </c>
      <c r="J4122" s="3" t="str">
        <f>HYPERLINK("https://www.boe.es/gazeta/dias/1809/10/27/pdfs/GMD-1809-301.pdf#page=3","Abrir facsímil")</f>
        <v>Abrir facsímil</v>
      </c>
      <c r="K4122" s="3" t="s">
        <v>57</v>
      </c>
    </row>
    <row r="4123" spans="1:11" ht="42" customHeight="1">
      <c r="A4123" s="2" t="s">
        <v>10168</v>
      </c>
      <c r="B4123" s="2" t="s">
        <v>10168</v>
      </c>
      <c r="C4123" s="2" t="s">
        <v>17</v>
      </c>
      <c r="D4123" s="2" t="s">
        <v>18</v>
      </c>
      <c r="E4123" s="3" t="s">
        <v>5974</v>
      </c>
      <c r="F4123" s="3" t="s">
        <v>5975</v>
      </c>
      <c r="G4123" s="3" t="s">
        <v>10169</v>
      </c>
      <c r="H4123" s="2" t="s">
        <v>55</v>
      </c>
      <c r="I4123" s="2" t="s">
        <v>10170</v>
      </c>
      <c r="J4123" s="3" t="str">
        <f>HYPERLINK("https://www.boe.es/gazeta/dias/1809/05/21/pdfs/GMD-1809-141.pdf#page=2","Abrir facsímil")</f>
        <v>Abrir facsímil</v>
      </c>
      <c r="K4123" s="3" t="s">
        <v>57</v>
      </c>
    </row>
    <row r="4124" spans="1:11" ht="42" customHeight="1">
      <c r="A4124" s="2" t="s">
        <v>10171</v>
      </c>
      <c r="B4124" s="2" t="s">
        <v>10172</v>
      </c>
      <c r="C4124" s="2" t="s">
        <v>17</v>
      </c>
      <c r="D4124" s="2" t="s">
        <v>18</v>
      </c>
      <c r="E4124" s="3" t="s">
        <v>599</v>
      </c>
      <c r="F4124" s="3" t="s">
        <v>600</v>
      </c>
      <c r="G4124" s="3" t="s">
        <v>601</v>
      </c>
      <c r="H4124" s="2" t="s">
        <v>55</v>
      </c>
      <c r="I4124" s="2" t="s">
        <v>10173</v>
      </c>
      <c r="J4124" s="3" t="str">
        <f>HYPERLINK("https://www.boe.es/gazeta/dias/1809/01/19/pdfs/GMD-1809-19.pdf#page=4","Abrir facsímil")</f>
        <v>Abrir facsímil</v>
      </c>
      <c r="K4124" s="3" t="s">
        <v>57</v>
      </c>
    </row>
    <row r="4125" spans="1:11" ht="42" customHeight="1">
      <c r="A4125" s="2" t="s">
        <v>10171</v>
      </c>
      <c r="B4125" s="2" t="s">
        <v>10172</v>
      </c>
      <c r="C4125" s="2" t="s">
        <v>17</v>
      </c>
      <c r="D4125" s="2" t="s">
        <v>18</v>
      </c>
      <c r="E4125" s="3" t="s">
        <v>283</v>
      </c>
      <c r="F4125" s="3" t="s">
        <v>284</v>
      </c>
      <c r="G4125" s="3" t="s">
        <v>21</v>
      </c>
      <c r="H4125" s="2" t="s">
        <v>55</v>
      </c>
      <c r="I4125" s="2" t="s">
        <v>10174</v>
      </c>
      <c r="J4125" s="3" t="str">
        <f>HYPERLINK("https://www.boe.es/gazeta/dias/1809/02/09/pdfs/GMD-1809-40.pdf#page=4","Abrir facsímil")</f>
        <v>Abrir facsímil</v>
      </c>
      <c r="K4125" s="3" t="s">
        <v>57</v>
      </c>
    </row>
    <row r="4126" spans="1:11" ht="42" customHeight="1">
      <c r="A4126" s="2" t="s">
        <v>10171</v>
      </c>
      <c r="B4126" s="2" t="s">
        <v>10172</v>
      </c>
      <c r="C4126" s="2" t="s">
        <v>47</v>
      </c>
      <c r="D4126" s="2" t="s">
        <v>40</v>
      </c>
      <c r="E4126" s="3" t="s">
        <v>158</v>
      </c>
      <c r="F4126" s="3" t="s">
        <v>7342</v>
      </c>
      <c r="G4126" s="3" t="s">
        <v>7343</v>
      </c>
      <c r="H4126" s="2" t="s">
        <v>55</v>
      </c>
      <c r="I4126" s="2" t="s">
        <v>10175</v>
      </c>
      <c r="J4126" s="3" t="str">
        <f>HYPERLINK("https://www.boe.es/gazeta/dias/1809/02/10/pdfs/GMD-1809-41.pdf#page=1","Abrir facsímil")</f>
        <v>Abrir facsímil</v>
      </c>
      <c r="K4126" s="3" t="s">
        <v>57</v>
      </c>
    </row>
    <row r="4127" spans="1:11" ht="42" customHeight="1">
      <c r="A4127" s="2" t="s">
        <v>10171</v>
      </c>
      <c r="B4127" s="2" t="s">
        <v>10172</v>
      </c>
      <c r="C4127" s="2" t="s">
        <v>131</v>
      </c>
      <c r="D4127" s="2" t="s">
        <v>72</v>
      </c>
      <c r="E4127" s="3" t="s">
        <v>216</v>
      </c>
      <c r="F4127" s="3" t="s">
        <v>217</v>
      </c>
      <c r="G4127" s="3" t="s">
        <v>439</v>
      </c>
      <c r="H4127" s="2" t="s">
        <v>55</v>
      </c>
      <c r="I4127" s="2" t="s">
        <v>10176</v>
      </c>
      <c r="J4127" s="3" t="str">
        <f>HYPERLINK("https://www.boe.es/gazeta/dias/1809/12/05/pdfs/GGB-H-1809-542.pdf#page=7","Abrir facsímil")</f>
        <v>Abrir facsímil</v>
      </c>
      <c r="K4127" s="3" t="s">
        <v>57</v>
      </c>
    </row>
    <row r="4128" spans="1:11" ht="42" customHeight="1">
      <c r="A4128" s="2" t="s">
        <v>10177</v>
      </c>
      <c r="B4128" s="2" t="s">
        <v>10177</v>
      </c>
      <c r="C4128" s="2" t="s">
        <v>25</v>
      </c>
      <c r="D4128" s="2" t="s">
        <v>26</v>
      </c>
      <c r="E4128" s="3" t="s">
        <v>761</v>
      </c>
      <c r="F4128" s="3" t="s">
        <v>1218</v>
      </c>
      <c r="G4128" s="3" t="s">
        <v>94</v>
      </c>
      <c r="H4128" s="2" t="s">
        <v>55</v>
      </c>
      <c r="I4128" s="2" t="s">
        <v>10178</v>
      </c>
      <c r="J4128" s="3" t="str">
        <f>HYPERLINK("https://www.boe.es/gazeta/dias/1809/06/02/pdfs/GGB-1809-33.pdf#page=5","Abrir facsímil")</f>
        <v>Abrir facsímil</v>
      </c>
      <c r="K4128" s="3" t="s">
        <v>57</v>
      </c>
    </row>
    <row r="4129" spans="1:11" ht="42" customHeight="1">
      <c r="A4129" s="2" t="s">
        <v>10179</v>
      </c>
      <c r="B4129" s="2" t="s">
        <v>10180</v>
      </c>
      <c r="C4129" s="2" t="s">
        <v>25</v>
      </c>
      <c r="D4129" s="2" t="s">
        <v>72</v>
      </c>
      <c r="E4129" s="3" t="s">
        <v>2818</v>
      </c>
      <c r="F4129" s="3" t="s">
        <v>4265</v>
      </c>
      <c r="G4129" s="3" t="s">
        <v>4266</v>
      </c>
      <c r="H4129" s="2" t="s">
        <v>22</v>
      </c>
      <c r="I4129" s="2" t="s">
        <v>10181</v>
      </c>
      <c r="J4129" s="3" t="str">
        <f>HYPERLINK("https://www.boe.es/gazeta/dias/1809/02/03/pdfs/GGB-G-1809-6.pdf#page=7","Abrir facsímil")</f>
        <v>Abrir facsímil</v>
      </c>
      <c r="K4129" s="3" t="s">
        <v>24</v>
      </c>
    </row>
    <row r="4130" spans="1:11" ht="42" customHeight="1">
      <c r="A4130" s="2" t="s">
        <v>10182</v>
      </c>
      <c r="B4130" s="2" t="s">
        <v>10183</v>
      </c>
      <c r="C4130" s="2" t="s">
        <v>25</v>
      </c>
      <c r="D4130" s="2" t="s">
        <v>18</v>
      </c>
      <c r="E4130" s="3" t="s">
        <v>515</v>
      </c>
      <c r="F4130" s="3" t="s">
        <v>3947</v>
      </c>
      <c r="G4130" s="3" t="s">
        <v>10184</v>
      </c>
      <c r="H4130" s="2" t="s">
        <v>55</v>
      </c>
      <c r="I4130" s="2" t="s">
        <v>10185</v>
      </c>
      <c r="J4130" s="3" t="str">
        <f>HYPERLINK("https://www.boe.es/gazeta/dias/1809/09/02/pdfs/GGB-1809-142.pdf#page=3","Abrir facsímil")</f>
        <v>Abrir facsímil</v>
      </c>
      <c r="K4130" s="3" t="s">
        <v>57</v>
      </c>
    </row>
    <row r="4131" spans="1:11" ht="42" customHeight="1">
      <c r="A4131" s="2" t="s">
        <v>10186</v>
      </c>
      <c r="B4131" s="2" t="s">
        <v>10187</v>
      </c>
      <c r="C4131" s="2" t="s">
        <v>79</v>
      </c>
      <c r="D4131" s="2" t="s">
        <v>18</v>
      </c>
      <c r="E4131" s="3" t="s">
        <v>102</v>
      </c>
      <c r="F4131" s="3" t="s">
        <v>103</v>
      </c>
      <c r="G4131" s="3" t="s">
        <v>104</v>
      </c>
      <c r="H4131" s="2" t="s">
        <v>55</v>
      </c>
      <c r="I4131" s="2" t="s">
        <v>10188</v>
      </c>
      <c r="J4131" s="3" t="str">
        <f>HYPERLINK("https://www.boe.es/gazeta/dias/1809/09/28/pdfs/GGB-1809-252.pdf#page=8","Abrir facsímil")</f>
        <v>Abrir facsímil</v>
      </c>
      <c r="K4131" s="3" t="s">
        <v>57</v>
      </c>
    </row>
    <row r="4132" spans="1:11" ht="42" customHeight="1">
      <c r="A4132" s="2" t="s">
        <v>10189</v>
      </c>
      <c r="B4132" s="2" t="s">
        <v>10190</v>
      </c>
      <c r="C4132" s="2" t="s">
        <v>39</v>
      </c>
      <c r="D4132" s="2" t="s">
        <v>18</v>
      </c>
      <c r="E4132" s="3" t="s">
        <v>102</v>
      </c>
      <c r="F4132" s="3" t="s">
        <v>103</v>
      </c>
      <c r="G4132" s="3" t="s">
        <v>1706</v>
      </c>
      <c r="H4132" s="2" t="s">
        <v>55</v>
      </c>
      <c r="I4132" s="2" t="s">
        <v>10191</v>
      </c>
      <c r="J4132" s="3" t="str">
        <f>HYPERLINK("https://www.boe.es/gazeta/dias/1809/09/28/pdfs/GGB-1809-252.pdf#page=5","Abrir facsímil")</f>
        <v>Abrir facsímil</v>
      </c>
      <c r="K4132" s="3" t="s">
        <v>57</v>
      </c>
    </row>
    <row r="4133" spans="1:11" ht="42" customHeight="1">
      <c r="A4133" s="2" t="s">
        <v>10192</v>
      </c>
      <c r="B4133" s="2" t="s">
        <v>10193</v>
      </c>
      <c r="C4133" s="2" t="s">
        <v>131</v>
      </c>
      <c r="D4133" s="2" t="s">
        <v>18</v>
      </c>
      <c r="E4133" s="3" t="s">
        <v>1603</v>
      </c>
      <c r="F4133" s="3" t="s">
        <v>2120</v>
      </c>
      <c r="G4133" s="3" t="s">
        <v>587</v>
      </c>
      <c r="H4133" s="2" t="s">
        <v>55</v>
      </c>
      <c r="I4133" s="2" t="s">
        <v>10194</v>
      </c>
      <c r="J4133" s="3" t="str">
        <f>HYPERLINK("https://www.boe.es/gazeta/dias/1809/03/31/pdfs/GMD-1809-90.pdf#page=3","Abrir facsímil")</f>
        <v>Abrir facsímil</v>
      </c>
      <c r="K4133" s="3" t="s">
        <v>57</v>
      </c>
    </row>
    <row r="4134" spans="1:11" ht="42" customHeight="1">
      <c r="A4134" s="2" t="s">
        <v>10195</v>
      </c>
      <c r="B4134" s="2" t="s">
        <v>10196</v>
      </c>
      <c r="C4134" s="2" t="s">
        <v>25</v>
      </c>
      <c r="D4134" s="2" t="s">
        <v>26</v>
      </c>
      <c r="E4134" s="3" t="s">
        <v>143</v>
      </c>
      <c r="F4134" s="3" t="s">
        <v>705</v>
      </c>
      <c r="G4134" s="3" t="s">
        <v>225</v>
      </c>
      <c r="H4134" s="2" t="s">
        <v>55</v>
      </c>
      <c r="I4134" s="2" t="s">
        <v>10197</v>
      </c>
      <c r="J4134" s="3" t="str">
        <f>HYPERLINK("https://www.boe.es/gazeta/dias/1809/11/16/pdfs/GGB-H-1809-462.pdf#page=4","Abrir facsímil")</f>
        <v>Abrir facsímil</v>
      </c>
      <c r="K4134" s="3" t="s">
        <v>57</v>
      </c>
    </row>
    <row r="4135" spans="1:11" ht="42" customHeight="1">
      <c r="A4135" s="2" t="s">
        <v>10198</v>
      </c>
      <c r="B4135" s="2" t="s">
        <v>10199</v>
      </c>
      <c r="C4135" s="2" t="s">
        <v>131</v>
      </c>
      <c r="D4135" s="2" t="s">
        <v>18</v>
      </c>
      <c r="E4135" s="3" t="s">
        <v>548</v>
      </c>
      <c r="F4135" s="3" t="s">
        <v>549</v>
      </c>
      <c r="G4135" s="3" t="s">
        <v>316</v>
      </c>
      <c r="H4135" s="2" t="s">
        <v>55</v>
      </c>
      <c r="I4135" s="2" t="s">
        <v>10200</v>
      </c>
      <c r="J4135" s="3" t="str">
        <f>HYPERLINK("https://www.boe.es/gazeta/dias/1809/03/12/pdfs/GMD-1809-71.pdf#page=4","Abrir facsímil")</f>
        <v>Abrir facsímil</v>
      </c>
      <c r="K4135" s="3" t="s">
        <v>57</v>
      </c>
    </row>
    <row r="4136" spans="1:11" ht="42" customHeight="1">
      <c r="A4136" s="2" t="s">
        <v>10201</v>
      </c>
      <c r="B4136" s="2" t="s">
        <v>10202</v>
      </c>
      <c r="C4136" s="2" t="s">
        <v>17</v>
      </c>
      <c r="D4136" s="2" t="s">
        <v>72</v>
      </c>
      <c r="E4136" s="3" t="s">
        <v>243</v>
      </c>
      <c r="F4136" s="3" t="s">
        <v>244</v>
      </c>
      <c r="G4136" s="3" t="s">
        <v>110</v>
      </c>
      <c r="H4136" s="2" t="s">
        <v>55</v>
      </c>
      <c r="I4136" s="2" t="s">
        <v>10203</v>
      </c>
      <c r="J4136" s="3" t="str">
        <f>HYPERLINK("https://www.boe.es/gazeta/dias/1809/02/17/pdfs/GGB-G-1809-8.pdf#page=5","Abrir facsímil")</f>
        <v>Abrir facsímil</v>
      </c>
      <c r="K4136" s="3" t="s">
        <v>57</v>
      </c>
    </row>
    <row r="4137" spans="1:11" ht="42" customHeight="1">
      <c r="A4137" s="2" t="s">
        <v>10204</v>
      </c>
      <c r="B4137" s="2" t="s">
        <v>10205</v>
      </c>
      <c r="C4137" s="2" t="s">
        <v>288</v>
      </c>
      <c r="D4137" s="2" t="s">
        <v>18</v>
      </c>
      <c r="E4137" s="3" t="s">
        <v>60</v>
      </c>
      <c r="F4137" s="3" t="s">
        <v>61</v>
      </c>
      <c r="G4137" s="3" t="s">
        <v>62</v>
      </c>
      <c r="H4137" s="2" t="s">
        <v>55</v>
      </c>
      <c r="I4137" s="2" t="s">
        <v>10206</v>
      </c>
      <c r="J4137" s="3" t="str">
        <f>HYPERLINK("https://www.boe.es/gazeta/dias/1809/02/07/pdfs/GMD-1809-38.pdf#page=4","Abrir facsímil")</f>
        <v>Abrir facsímil</v>
      </c>
      <c r="K4137" s="3" t="s">
        <v>57</v>
      </c>
    </row>
    <row r="4138" spans="1:11" ht="42" customHeight="1">
      <c r="A4138" s="2" t="s">
        <v>10207</v>
      </c>
      <c r="B4138" s="2" t="s">
        <v>10208</v>
      </c>
      <c r="C4138" s="2" t="s">
        <v>17</v>
      </c>
      <c r="D4138" s="2" t="s">
        <v>18</v>
      </c>
      <c r="E4138" s="3" t="s">
        <v>33</v>
      </c>
      <c r="F4138" s="3" t="s">
        <v>34</v>
      </c>
      <c r="G4138" s="3" t="s">
        <v>595</v>
      </c>
      <c r="H4138" s="2" t="s">
        <v>55</v>
      </c>
      <c r="I4138" s="2" t="s">
        <v>10209</v>
      </c>
      <c r="J4138" s="3" t="str">
        <f>HYPERLINK("https://www.boe.es/gazeta/dias/1809/12/19/pdfs/GGB-1809-602.pdf#page=7","Abrir facsímil")</f>
        <v>Abrir facsímil</v>
      </c>
      <c r="K4138" s="3" t="s">
        <v>57</v>
      </c>
    </row>
    <row r="4139" spans="1:11" ht="42" customHeight="1">
      <c r="A4139" s="2" t="s">
        <v>10210</v>
      </c>
      <c r="B4139" s="2" t="s">
        <v>10211</v>
      </c>
      <c r="C4139" s="2" t="s">
        <v>17</v>
      </c>
      <c r="D4139" s="2" t="s">
        <v>72</v>
      </c>
      <c r="E4139" s="3" t="s">
        <v>243</v>
      </c>
      <c r="F4139" s="3" t="s">
        <v>244</v>
      </c>
      <c r="G4139" s="3" t="s">
        <v>110</v>
      </c>
      <c r="H4139" s="2" t="s">
        <v>55</v>
      </c>
      <c r="I4139" s="2" t="s">
        <v>10212</v>
      </c>
      <c r="J4139" s="3" t="str">
        <f>HYPERLINK("https://www.boe.es/gazeta/dias/1809/02/17/pdfs/GGB-G-1809-8.pdf#page=6","Abrir facsímil")</f>
        <v>Abrir facsímil</v>
      </c>
      <c r="K4139" s="3" t="s">
        <v>57</v>
      </c>
    </row>
    <row r="4140" spans="1:11" ht="42" customHeight="1">
      <c r="A4140" s="2" t="s">
        <v>10213</v>
      </c>
      <c r="B4140" s="2" t="s">
        <v>10214</v>
      </c>
      <c r="C4140" s="2" t="s">
        <v>17</v>
      </c>
      <c r="D4140" s="2" t="s">
        <v>72</v>
      </c>
      <c r="E4140" s="3" t="s">
        <v>243</v>
      </c>
      <c r="F4140" s="3" t="s">
        <v>244</v>
      </c>
      <c r="G4140" s="3" t="s">
        <v>110</v>
      </c>
      <c r="H4140" s="2" t="s">
        <v>55</v>
      </c>
      <c r="I4140" s="2" t="s">
        <v>10215</v>
      </c>
      <c r="J4140" s="3" t="str">
        <f>HYPERLINK("https://www.boe.es/gazeta/dias/1809/02/17/pdfs/GGB-G-1809-8.pdf#page=5","Abrir facsímil")</f>
        <v>Abrir facsímil</v>
      </c>
      <c r="K4140" s="3" t="s">
        <v>57</v>
      </c>
    </row>
    <row r="4141" spans="1:11" ht="42" customHeight="1">
      <c r="A4141" s="2" t="s">
        <v>10213</v>
      </c>
      <c r="B4141" s="2" t="s">
        <v>10214</v>
      </c>
      <c r="C4141" s="2" t="s">
        <v>369</v>
      </c>
      <c r="D4141" s="2" t="s">
        <v>18</v>
      </c>
      <c r="E4141" s="3" t="s">
        <v>1586</v>
      </c>
      <c r="F4141" s="3" t="s">
        <v>1587</v>
      </c>
      <c r="G4141" s="3" t="s">
        <v>1909</v>
      </c>
      <c r="H4141" s="2" t="s">
        <v>55</v>
      </c>
      <c r="I4141" s="2" t="s">
        <v>10216</v>
      </c>
      <c r="J4141" s="3" t="str">
        <f>HYPERLINK("https://www.boe.es/gazeta/dias/1809/02/20/pdfs/GMD-1809-51.pdf#page=4","Abrir facsímil")</f>
        <v>Abrir facsímil</v>
      </c>
      <c r="K4141" s="3" t="s">
        <v>57</v>
      </c>
    </row>
    <row r="4142" spans="1:11" ht="42" customHeight="1">
      <c r="A4142" s="2" t="s">
        <v>10217</v>
      </c>
      <c r="B4142" s="2" t="s">
        <v>10218</v>
      </c>
      <c r="C4142" s="2" t="s">
        <v>17</v>
      </c>
      <c r="D4142" s="2" t="s">
        <v>72</v>
      </c>
      <c r="E4142" s="3" t="s">
        <v>557</v>
      </c>
      <c r="F4142" s="3" t="s">
        <v>558</v>
      </c>
      <c r="G4142" s="3" t="s">
        <v>21</v>
      </c>
      <c r="H4142" s="2" t="s">
        <v>55</v>
      </c>
      <c r="I4142" s="2" t="s">
        <v>10219</v>
      </c>
      <c r="J4142" s="3" t="str">
        <f>HYPERLINK("https://www.boe.es/gazeta/dias/1809/04/19/pdfs/GMD-E-1809-109.pdf#page=1","Abrir facsímil")</f>
        <v>Abrir facsímil</v>
      </c>
      <c r="K4142" s="3" t="s">
        <v>57</v>
      </c>
    </row>
    <row r="4143" spans="1:11" ht="42" customHeight="1">
      <c r="A4143" s="2" t="s">
        <v>10220</v>
      </c>
      <c r="B4143" s="2" t="s">
        <v>10220</v>
      </c>
      <c r="C4143" s="2" t="s">
        <v>17</v>
      </c>
      <c r="D4143" s="2" t="s">
        <v>40</v>
      </c>
      <c r="E4143" s="3" t="s">
        <v>1581</v>
      </c>
      <c r="F4143" s="3" t="s">
        <v>1582</v>
      </c>
      <c r="G4143" s="3" t="s">
        <v>75</v>
      </c>
      <c r="H4143" s="2" t="s">
        <v>55</v>
      </c>
      <c r="I4143" s="2" t="s">
        <v>10221</v>
      </c>
      <c r="J4143" s="3" t="str">
        <f>HYPERLINK("https://www.boe.es/gazeta/dias/1809/05/30/pdfs/GMD-1809-150.pdf#page=4","Abrir facsímil")</f>
        <v>Abrir facsímil</v>
      </c>
      <c r="K4143" s="3" t="s">
        <v>57</v>
      </c>
    </row>
    <row r="4144" spans="1:11" ht="42" customHeight="1">
      <c r="A4144" s="2" t="s">
        <v>10222</v>
      </c>
      <c r="B4144" s="2" t="s">
        <v>10223</v>
      </c>
      <c r="C4144" s="2" t="s">
        <v>131</v>
      </c>
      <c r="D4144" s="2" t="s">
        <v>26</v>
      </c>
      <c r="E4144" s="3" t="s">
        <v>515</v>
      </c>
      <c r="F4144" s="3" t="s">
        <v>516</v>
      </c>
      <c r="G4144" s="3" t="s">
        <v>1380</v>
      </c>
      <c r="H4144" s="2" t="s">
        <v>55</v>
      </c>
      <c r="I4144" s="2" t="s">
        <v>10224</v>
      </c>
      <c r="J4144" s="3" t="str">
        <f>HYPERLINK("https://www.boe.es/gazeta/dias/1809/09/02/pdfs/GMD-1809-246.pdf#page=3","Abrir facsímil")</f>
        <v>Abrir facsímil</v>
      </c>
      <c r="K4144" s="3" t="s">
        <v>57</v>
      </c>
    </row>
    <row r="4145" spans="1:11" ht="42" customHeight="1">
      <c r="A4145" s="2" t="s">
        <v>10225</v>
      </c>
      <c r="B4145" s="2" t="s">
        <v>10226</v>
      </c>
      <c r="C4145" s="2" t="s">
        <v>17</v>
      </c>
      <c r="D4145" s="2" t="s">
        <v>72</v>
      </c>
      <c r="E4145" s="3" t="s">
        <v>163</v>
      </c>
      <c r="F4145" s="3" t="s">
        <v>164</v>
      </c>
      <c r="G4145" s="3" t="s">
        <v>21</v>
      </c>
      <c r="H4145" s="2" t="s">
        <v>55</v>
      </c>
      <c r="I4145" s="2" t="s">
        <v>10227</v>
      </c>
      <c r="J4145" s="3" t="str">
        <f>HYPERLINK("https://www.boe.es/gazeta/dias/1809/03/10/pdfs/GGB-H-1809-11.pdf#page=8","Abrir facsímil")</f>
        <v>Abrir facsímil</v>
      </c>
      <c r="K4145" s="3" t="s">
        <v>57</v>
      </c>
    </row>
    <row r="4146" spans="1:11" ht="42" customHeight="1">
      <c r="A4146" s="2" t="s">
        <v>10228</v>
      </c>
      <c r="B4146" s="2" t="s">
        <v>10229</v>
      </c>
      <c r="C4146" s="2" t="s">
        <v>17</v>
      </c>
      <c r="D4146" s="2" t="s">
        <v>72</v>
      </c>
      <c r="E4146" s="3" t="s">
        <v>243</v>
      </c>
      <c r="F4146" s="3" t="s">
        <v>244</v>
      </c>
      <c r="G4146" s="3" t="s">
        <v>525</v>
      </c>
      <c r="H4146" s="2" t="s">
        <v>55</v>
      </c>
      <c r="I4146" s="2" t="s">
        <v>10230</v>
      </c>
      <c r="J4146" s="3" t="str">
        <f>HYPERLINK("https://www.boe.es/gazeta/dias/1809/02/17/pdfs/GGB-G-1809-8.pdf#page=4","Abrir facsímil")</f>
        <v>Abrir facsímil</v>
      </c>
      <c r="K4146" s="3" t="s">
        <v>57</v>
      </c>
    </row>
    <row r="4147" spans="1:11" ht="42" customHeight="1">
      <c r="A4147" s="2" t="s">
        <v>10231</v>
      </c>
      <c r="B4147" s="2" t="s">
        <v>10232</v>
      </c>
      <c r="C4147" s="2" t="s">
        <v>47</v>
      </c>
      <c r="D4147" s="2" t="s">
        <v>18</v>
      </c>
      <c r="E4147" s="3" t="s">
        <v>167</v>
      </c>
      <c r="F4147" s="3" t="s">
        <v>168</v>
      </c>
      <c r="G4147" s="3" t="s">
        <v>2232</v>
      </c>
      <c r="H4147" s="2" t="s">
        <v>55</v>
      </c>
      <c r="I4147" s="2" t="s">
        <v>10233</v>
      </c>
      <c r="J4147" s="3" t="str">
        <f>HYPERLINK("https://www.boe.es/gazeta/dias/1809/06/19/pdfs/GGB-1809-38.pdf#page=2","Abrir facsímil")</f>
        <v>Abrir facsímil</v>
      </c>
      <c r="K4147" s="3" t="s">
        <v>57</v>
      </c>
    </row>
    <row r="4148" spans="1:11" ht="42" customHeight="1">
      <c r="A4148" s="2" t="s">
        <v>10234</v>
      </c>
      <c r="B4148" s="2" t="s">
        <v>10235</v>
      </c>
      <c r="C4148" s="2" t="s">
        <v>25</v>
      </c>
      <c r="D4148" s="2" t="s">
        <v>26</v>
      </c>
      <c r="E4148" s="3" t="s">
        <v>258</v>
      </c>
      <c r="F4148" s="3" t="s">
        <v>910</v>
      </c>
      <c r="G4148" s="3" t="s">
        <v>693</v>
      </c>
      <c r="H4148" s="2" t="s">
        <v>55</v>
      </c>
      <c r="I4148" s="2" t="s">
        <v>10236</v>
      </c>
      <c r="J4148" s="3" t="str">
        <f>HYPERLINK("https://www.boe.es/gazeta/dias/1809/03/17/pdfs/GGB-1809-12.pdf#page=9","Abrir facsímil")</f>
        <v>Abrir facsímil</v>
      </c>
      <c r="K4148" s="3" t="s">
        <v>57</v>
      </c>
    </row>
    <row r="4149" spans="1:11" ht="42" customHeight="1">
      <c r="A4149" s="2" t="s">
        <v>10237</v>
      </c>
      <c r="B4149" s="2" t="s">
        <v>10238</v>
      </c>
      <c r="C4149" s="2" t="s">
        <v>17</v>
      </c>
      <c r="D4149" s="2" t="s">
        <v>18</v>
      </c>
      <c r="E4149" s="3" t="s">
        <v>2602</v>
      </c>
      <c r="F4149" s="3" t="s">
        <v>2603</v>
      </c>
      <c r="G4149" s="3" t="s">
        <v>89</v>
      </c>
      <c r="H4149" s="2" t="s">
        <v>55</v>
      </c>
      <c r="I4149" s="2" t="s">
        <v>10239</v>
      </c>
      <c r="J4149" s="3" t="str">
        <f>HYPERLINK("https://www.boe.es/gazeta/dias/1809/11/15/pdfs/GMD-1809-320.pdf#page=4","Abrir facsímil")</f>
        <v>Abrir facsímil</v>
      </c>
      <c r="K4149" s="3" t="s">
        <v>57</v>
      </c>
    </row>
    <row r="4150" spans="1:11" ht="42" customHeight="1">
      <c r="A4150" s="2" t="s">
        <v>10240</v>
      </c>
      <c r="B4150" s="2" t="s">
        <v>10241</v>
      </c>
      <c r="C4150" s="2" t="s">
        <v>17</v>
      </c>
      <c r="D4150" s="2" t="s">
        <v>18</v>
      </c>
      <c r="E4150" s="3" t="s">
        <v>1468</v>
      </c>
      <c r="F4150" s="3" t="s">
        <v>1469</v>
      </c>
      <c r="G4150" s="3" t="s">
        <v>104</v>
      </c>
      <c r="H4150" s="2" t="s">
        <v>55</v>
      </c>
      <c r="I4150" s="2" t="s">
        <v>10242</v>
      </c>
      <c r="J4150" s="3" t="str">
        <f>HYPERLINK("https://www.boe.es/gazeta/dias/1809/02/12/pdfs/GMD-1809-43.pdf#page=6","Abrir facsímil")</f>
        <v>Abrir facsímil</v>
      </c>
      <c r="K4150" s="3" t="s">
        <v>57</v>
      </c>
    </row>
    <row r="4151" spans="1:11" ht="42" customHeight="1">
      <c r="A4151" s="2" t="s">
        <v>10243</v>
      </c>
      <c r="B4151" s="2" t="s">
        <v>10244</v>
      </c>
      <c r="C4151" s="2" t="s">
        <v>25</v>
      </c>
      <c r="D4151" s="2" t="s">
        <v>40</v>
      </c>
      <c r="E4151" s="3" t="s">
        <v>179</v>
      </c>
      <c r="F4151" s="3" t="s">
        <v>2418</v>
      </c>
      <c r="G4151" s="3" t="s">
        <v>1646</v>
      </c>
      <c r="H4151" s="2" t="s">
        <v>55</v>
      </c>
      <c r="I4151" s="2" t="s">
        <v>10245</v>
      </c>
      <c r="J4151" s="3" t="str">
        <f>HYPERLINK("https://www.boe.es/gazeta/dias/1809/12/08/pdfs/GMD-1809-343.pdf#page=1","Abrir facsímil")</f>
        <v>Abrir facsímil</v>
      </c>
      <c r="K4151" s="3" t="s">
        <v>57</v>
      </c>
    </row>
    <row r="4152" spans="1:11" ht="42" customHeight="1">
      <c r="A4152" s="2" t="s">
        <v>10246</v>
      </c>
      <c r="B4152" s="2" t="s">
        <v>10247</v>
      </c>
      <c r="C4152" s="2" t="s">
        <v>47</v>
      </c>
      <c r="D4152" s="2" t="s">
        <v>18</v>
      </c>
      <c r="E4152" s="3" t="s">
        <v>2709</v>
      </c>
      <c r="F4152" s="3" t="s">
        <v>2710</v>
      </c>
      <c r="G4152" s="3" t="s">
        <v>426</v>
      </c>
      <c r="H4152" s="2" t="s">
        <v>55</v>
      </c>
      <c r="I4152" s="2" t="s">
        <v>10248</v>
      </c>
      <c r="J4152" s="3" t="str">
        <f>HYPERLINK("https://www.boe.es/gazeta/dias/1809/11/17/pdfs/GMD-1809-322.pdf#page=1","Abrir facsímil")</f>
        <v>Abrir facsímil</v>
      </c>
      <c r="K4152" s="3" t="s">
        <v>57</v>
      </c>
    </row>
    <row r="4153" spans="1:11" ht="42" customHeight="1">
      <c r="A4153" s="2" t="s">
        <v>10249</v>
      </c>
      <c r="B4153" s="2" t="s">
        <v>10250</v>
      </c>
      <c r="C4153" s="2" t="s">
        <v>17</v>
      </c>
      <c r="D4153" s="2" t="s">
        <v>72</v>
      </c>
      <c r="E4153" s="3" t="s">
        <v>864</v>
      </c>
      <c r="F4153" s="3" t="s">
        <v>2291</v>
      </c>
      <c r="G4153" s="3" t="s">
        <v>2292</v>
      </c>
      <c r="H4153" s="2" t="s">
        <v>55</v>
      </c>
      <c r="I4153" s="2" t="s">
        <v>10251</v>
      </c>
      <c r="J4153" s="3" t="str">
        <f>HYPERLINK("https://www.boe.es/gazeta/dias/1809/08/31/pdfs/GGB-H-1809-132.pdf#page=3","Abrir facsímil")</f>
        <v>Abrir facsímil</v>
      </c>
      <c r="K4153" s="3" t="s">
        <v>57</v>
      </c>
    </row>
    <row r="4154" spans="1:11" ht="42" customHeight="1">
      <c r="A4154" s="2" t="s">
        <v>10252</v>
      </c>
      <c r="B4154" s="2" t="s">
        <v>10253</v>
      </c>
      <c r="C4154" s="2" t="s">
        <v>17</v>
      </c>
      <c r="D4154" s="2" t="s">
        <v>107</v>
      </c>
      <c r="E4154" s="3" t="s">
        <v>3258</v>
      </c>
      <c r="F4154" s="3" t="s">
        <v>3529</v>
      </c>
      <c r="G4154" s="3" t="s">
        <v>62</v>
      </c>
      <c r="H4154" s="2" t="s">
        <v>55</v>
      </c>
      <c r="I4154" s="2" t="s">
        <v>10254</v>
      </c>
      <c r="J4154" s="3" t="str">
        <f>HYPERLINK("https://www.boe.es/gazeta/dias/1809/04/03/pdfs/GGB-1809-14B.pdf#page=1","Abrir facsímil")</f>
        <v>Abrir facsímil</v>
      </c>
      <c r="K4154" s="3" t="s">
        <v>57</v>
      </c>
    </row>
    <row r="4155" spans="1:11" ht="42" customHeight="1">
      <c r="A4155" s="2" t="s">
        <v>10255</v>
      </c>
      <c r="B4155" s="2" t="s">
        <v>10256</v>
      </c>
      <c r="C4155" s="2" t="s">
        <v>25</v>
      </c>
      <c r="D4155" s="2" t="s">
        <v>40</v>
      </c>
      <c r="E4155" s="3" t="s">
        <v>925</v>
      </c>
      <c r="F4155" s="3" t="s">
        <v>3924</v>
      </c>
      <c r="G4155" s="3" t="s">
        <v>1452</v>
      </c>
      <c r="H4155" s="2" t="s">
        <v>55</v>
      </c>
      <c r="I4155" s="2" t="s">
        <v>10257</v>
      </c>
      <c r="J4155" s="3" t="str">
        <f>HYPERLINK("https://www.boe.es/gazeta/dias/1809/01/11/pdfs/GGB-1809-2E.pdf#page=1","Abrir facsímil")</f>
        <v>Abrir facsímil</v>
      </c>
      <c r="K4155" s="3" t="s">
        <v>57</v>
      </c>
    </row>
    <row r="4156" spans="1:11" ht="42" customHeight="1">
      <c r="A4156" s="2" t="s">
        <v>10258</v>
      </c>
      <c r="B4156" s="2" t="s">
        <v>10258</v>
      </c>
      <c r="C4156" s="2" t="s">
        <v>25</v>
      </c>
      <c r="D4156" s="2" t="s">
        <v>18</v>
      </c>
      <c r="E4156" s="3" t="s">
        <v>66</v>
      </c>
      <c r="F4156" s="3" t="s">
        <v>67</v>
      </c>
      <c r="G4156" s="3" t="s">
        <v>239</v>
      </c>
      <c r="H4156" s="2" t="s">
        <v>55</v>
      </c>
      <c r="I4156" s="2" t="s">
        <v>10259</v>
      </c>
      <c r="J4156" s="3" t="str">
        <f>HYPERLINK("https://www.boe.es/gazeta/dias/1809/12/30/pdfs/GGB-1809-652.pdf#page=1","Abrir facsímil")</f>
        <v>Abrir facsímil</v>
      </c>
      <c r="K4156" s="3" t="s">
        <v>57</v>
      </c>
    </row>
    <row r="4157" spans="1:11" ht="42" customHeight="1">
      <c r="A4157" s="2" t="s">
        <v>10260</v>
      </c>
      <c r="B4157" s="2" t="s">
        <v>10260</v>
      </c>
      <c r="C4157" s="2" t="s">
        <v>25</v>
      </c>
      <c r="D4157" s="2" t="s">
        <v>107</v>
      </c>
      <c r="E4157" s="3" t="s">
        <v>394</v>
      </c>
      <c r="F4157" s="3" t="s">
        <v>2563</v>
      </c>
      <c r="G4157" s="3" t="s">
        <v>5622</v>
      </c>
      <c r="H4157" s="2" t="s">
        <v>55</v>
      </c>
      <c r="I4157" s="2" t="s">
        <v>10261</v>
      </c>
      <c r="J4157" s="3" t="str">
        <f>HYPERLINK("https://www.boe.es/gazeta/dias/1809/12/14/pdfs/GMD-1809-349.pdf#page=1","Abrir facsímil")</f>
        <v>Abrir facsímil</v>
      </c>
      <c r="K4157" s="3" t="s">
        <v>57</v>
      </c>
    </row>
    <row r="4158" spans="1:11" ht="42" customHeight="1">
      <c r="A4158" s="2" t="s">
        <v>10262</v>
      </c>
      <c r="B4158" s="2" t="s">
        <v>10263</v>
      </c>
      <c r="C4158" s="2" t="s">
        <v>25</v>
      </c>
      <c r="D4158" s="2" t="s">
        <v>26</v>
      </c>
      <c r="E4158" s="3" t="s">
        <v>2818</v>
      </c>
      <c r="F4158" s="3" t="s">
        <v>4265</v>
      </c>
      <c r="G4158" s="3" t="s">
        <v>29</v>
      </c>
      <c r="H4158" s="2" t="s">
        <v>55</v>
      </c>
      <c r="I4158" s="2" t="s">
        <v>10264</v>
      </c>
      <c r="J4158" s="3" t="str">
        <f>HYPERLINK("https://www.boe.es/gazeta/dias/1809/02/03/pdfs/GGB-G-1809-6.pdf#page=3","Abrir facsímil")</f>
        <v>Abrir facsímil</v>
      </c>
      <c r="K4158" s="3" t="s">
        <v>57</v>
      </c>
    </row>
    <row r="4159" spans="1:11" ht="42" customHeight="1">
      <c r="A4159" s="2" t="s">
        <v>10265</v>
      </c>
      <c r="B4159" s="2" t="s">
        <v>10265</v>
      </c>
      <c r="C4159" s="2" t="s">
        <v>25</v>
      </c>
      <c r="D4159" s="2" t="s">
        <v>26</v>
      </c>
      <c r="E4159" s="3" t="s">
        <v>515</v>
      </c>
      <c r="F4159" s="3" t="s">
        <v>516</v>
      </c>
      <c r="G4159" s="3" t="s">
        <v>10266</v>
      </c>
      <c r="H4159" s="2" t="s">
        <v>55</v>
      </c>
      <c r="I4159" s="2" t="s">
        <v>10267</v>
      </c>
      <c r="J4159" s="3" t="str">
        <f>HYPERLINK("https://www.boe.es/gazeta/dias/1809/09/02/pdfs/GMD-1809-246.pdf#page=1","Abrir facsímil")</f>
        <v>Abrir facsímil</v>
      </c>
      <c r="K4159" s="3" t="s">
        <v>57</v>
      </c>
    </row>
    <row r="4160" spans="1:11" ht="42" customHeight="1">
      <c r="A4160" s="2" t="s">
        <v>10268</v>
      </c>
      <c r="B4160" s="2" t="s">
        <v>10269</v>
      </c>
      <c r="C4160" s="2" t="s">
        <v>369</v>
      </c>
      <c r="D4160" s="2" t="s">
        <v>18</v>
      </c>
      <c r="E4160" s="3" t="s">
        <v>3764</v>
      </c>
      <c r="F4160" s="3" t="s">
        <v>3765</v>
      </c>
      <c r="G4160" s="3" t="s">
        <v>7824</v>
      </c>
      <c r="H4160" s="2" t="s">
        <v>55</v>
      </c>
      <c r="I4160" s="2" t="s">
        <v>10270</v>
      </c>
      <c r="J4160" s="3" t="str">
        <f>HYPERLINK("https://www.boe.es/gazeta/dias/1809/03/28/pdfs/GMD-1809-87.pdf#page=4","Abrir facsímil")</f>
        <v>Abrir facsímil</v>
      </c>
      <c r="K4160" s="3" t="s">
        <v>57</v>
      </c>
    </row>
    <row r="4161" spans="1:11" ht="42" customHeight="1">
      <c r="A4161" s="2" t="s">
        <v>10271</v>
      </c>
      <c r="B4161" s="2" t="s">
        <v>10272</v>
      </c>
      <c r="C4161" s="2" t="s">
        <v>17</v>
      </c>
      <c r="D4161" s="2" t="s">
        <v>40</v>
      </c>
      <c r="E4161" s="3" t="s">
        <v>102</v>
      </c>
      <c r="F4161" s="3" t="s">
        <v>103</v>
      </c>
      <c r="G4161" s="3" t="s">
        <v>3074</v>
      </c>
      <c r="H4161" s="2" t="s">
        <v>55</v>
      </c>
      <c r="I4161" s="2" t="s">
        <v>10273</v>
      </c>
      <c r="J4161" s="3" t="str">
        <f>HYPERLINK("https://www.boe.es/gazeta/dias/1809/09/28/pdfs/GGB-1809-252.pdf#page=4","Abrir facsímil")</f>
        <v>Abrir facsímil</v>
      </c>
      <c r="K4161" s="3" t="s">
        <v>57</v>
      </c>
    </row>
    <row r="4162" spans="1:11" ht="42" customHeight="1">
      <c r="A4162" s="2" t="s">
        <v>10274</v>
      </c>
      <c r="B4162" s="2" t="s">
        <v>10275</v>
      </c>
      <c r="C4162" s="2" t="s">
        <v>17</v>
      </c>
      <c r="D4162" s="2" t="s">
        <v>18</v>
      </c>
      <c r="E4162" s="3" t="s">
        <v>864</v>
      </c>
      <c r="F4162" s="3" t="s">
        <v>865</v>
      </c>
      <c r="G4162" s="3" t="s">
        <v>225</v>
      </c>
      <c r="H4162" s="2" t="s">
        <v>55</v>
      </c>
      <c r="I4162" s="2" t="s">
        <v>10276</v>
      </c>
      <c r="J4162" s="3" t="str">
        <f>HYPERLINK("https://www.boe.es/gazeta/dias/1809/08/31/pdfs/GMD-1809-244.pdf#page=4","Abrir facsímil")</f>
        <v>Abrir facsímil</v>
      </c>
      <c r="K4162" s="3" t="s">
        <v>57</v>
      </c>
    </row>
    <row r="4163" spans="1:11" ht="42" customHeight="1">
      <c r="A4163" s="2" t="s">
        <v>10277</v>
      </c>
      <c r="B4163" s="2" t="s">
        <v>10277</v>
      </c>
      <c r="C4163" s="2" t="s">
        <v>25</v>
      </c>
      <c r="D4163" s="2" t="s">
        <v>40</v>
      </c>
      <c r="E4163" s="3" t="s">
        <v>1761</v>
      </c>
      <c r="F4163" s="3" t="s">
        <v>1762</v>
      </c>
      <c r="G4163" s="3" t="s">
        <v>1152</v>
      </c>
      <c r="H4163" s="2" t="s">
        <v>55</v>
      </c>
      <c r="I4163" s="2" t="s">
        <v>10278</v>
      </c>
      <c r="J4163" s="3" t="str">
        <f>HYPERLINK("https://www.boe.es/gazeta/dias/1809/10/18/pdfs/GMD-1809-292.pdf#page=4","Abrir facsímil")</f>
        <v>Abrir facsímil</v>
      </c>
      <c r="K4163" s="3" t="s">
        <v>57</v>
      </c>
    </row>
    <row r="4164" spans="1:11" ht="42" customHeight="1">
      <c r="A4164" s="2" t="s">
        <v>10279</v>
      </c>
      <c r="B4164" s="2" t="s">
        <v>10279</v>
      </c>
      <c r="C4164" s="2" t="s">
        <v>25</v>
      </c>
      <c r="D4164" s="2" t="s">
        <v>26</v>
      </c>
      <c r="E4164" s="3" t="s">
        <v>7566</v>
      </c>
      <c r="F4164" s="3" t="s">
        <v>7567</v>
      </c>
      <c r="G4164" s="3" t="s">
        <v>10280</v>
      </c>
      <c r="H4164" s="2" t="s">
        <v>55</v>
      </c>
      <c r="I4164" s="2" t="s">
        <v>10281</v>
      </c>
      <c r="J4164" s="3" t="str">
        <f>HYPERLINK("https://www.boe.es/gazeta/dias/1809/10/02/pdfs/GMD-1809-276.pdf#page=3","Abrir facsímil")</f>
        <v>Abrir facsímil</v>
      </c>
      <c r="K4164" s="3" t="s">
        <v>57</v>
      </c>
    </row>
    <row r="4165" spans="1:11" ht="42" customHeight="1">
      <c r="A4165" s="2" t="s">
        <v>10282</v>
      </c>
      <c r="B4165" s="2" t="s">
        <v>10282</v>
      </c>
      <c r="C4165" s="2" t="s">
        <v>25</v>
      </c>
      <c r="D4165" s="2" t="s">
        <v>18</v>
      </c>
      <c r="E4165" s="3" t="s">
        <v>1921</v>
      </c>
      <c r="F4165" s="3" t="s">
        <v>1922</v>
      </c>
      <c r="G4165" s="3" t="s">
        <v>1302</v>
      </c>
      <c r="H4165" s="2" t="s">
        <v>55</v>
      </c>
      <c r="I4165" s="2" t="s">
        <v>10283</v>
      </c>
      <c r="J4165" s="3" t="str">
        <f>HYPERLINK("https://www.boe.es/gazeta/dias/1809/11/05/pdfs/GMD-1809-310.pdf#page=3","Abrir facsímil")</f>
        <v>Abrir facsímil</v>
      </c>
      <c r="K4165" s="3" t="s">
        <v>57</v>
      </c>
    </row>
    <row r="4166" spans="1:11" ht="42" customHeight="1">
      <c r="A4166" s="2" t="s">
        <v>10284</v>
      </c>
      <c r="B4166" s="2" t="s">
        <v>10285</v>
      </c>
      <c r="C4166" s="2" t="s">
        <v>25</v>
      </c>
      <c r="D4166" s="2" t="s">
        <v>72</v>
      </c>
      <c r="E4166" s="3" t="s">
        <v>394</v>
      </c>
      <c r="F4166" s="3" t="s">
        <v>395</v>
      </c>
      <c r="G4166" s="3" t="s">
        <v>234</v>
      </c>
      <c r="H4166" s="2" t="s">
        <v>55</v>
      </c>
      <c r="I4166" s="2" t="s">
        <v>10286</v>
      </c>
      <c r="J4166" s="3" t="str">
        <f>HYPERLINK("https://www.boe.es/gazeta/dias/1809/12/14/pdfs/GGB-H-1809-582.pdf#page=1","Abrir facsímil")</f>
        <v>Abrir facsímil</v>
      </c>
      <c r="K4166" s="3" t="s">
        <v>57</v>
      </c>
    </row>
    <row r="4167" spans="1:11" ht="42" customHeight="1">
      <c r="A4167" s="2" t="s">
        <v>10287</v>
      </c>
      <c r="B4167" s="2" t="s">
        <v>10288</v>
      </c>
      <c r="C4167" s="2" t="s">
        <v>17</v>
      </c>
      <c r="D4167" s="2" t="s">
        <v>18</v>
      </c>
      <c r="E4167" s="3" t="s">
        <v>147</v>
      </c>
      <c r="F4167" s="3" t="s">
        <v>148</v>
      </c>
      <c r="G4167" s="3" t="s">
        <v>94</v>
      </c>
      <c r="H4167" s="2" t="s">
        <v>55</v>
      </c>
      <c r="I4167" s="2" t="s">
        <v>10289</v>
      </c>
      <c r="J4167" s="3" t="str">
        <f>HYPERLINK("https://www.boe.es/gazeta/dias/1809/10/07/pdfs/GGB-1809-292.pdf#page=5","Abrir facsímil")</f>
        <v>Abrir facsímil</v>
      </c>
      <c r="K4167" s="3" t="s">
        <v>57</v>
      </c>
    </row>
    <row r="4168" spans="1:11" ht="42" customHeight="1">
      <c r="A4168" s="2" t="s">
        <v>10290</v>
      </c>
      <c r="B4168" s="2" t="s">
        <v>10291</v>
      </c>
      <c r="C4168" s="2" t="s">
        <v>25</v>
      </c>
      <c r="D4168" s="2" t="s">
        <v>26</v>
      </c>
      <c r="E4168" s="3" t="s">
        <v>143</v>
      </c>
      <c r="F4168" s="3" t="s">
        <v>705</v>
      </c>
      <c r="G4168" s="3" t="s">
        <v>225</v>
      </c>
      <c r="H4168" s="2" t="s">
        <v>55</v>
      </c>
      <c r="I4168" s="2" t="s">
        <v>10292</v>
      </c>
      <c r="J4168" s="3" t="str">
        <f>HYPERLINK("https://www.boe.es/gazeta/dias/1809/11/16/pdfs/GGB-H-1809-462.pdf#page=4","Abrir facsímil")</f>
        <v>Abrir facsímil</v>
      </c>
      <c r="K4168" s="3" t="s">
        <v>57</v>
      </c>
    </row>
    <row r="4169" spans="1:11" ht="42" customHeight="1">
      <c r="A4169" s="2" t="s">
        <v>10293</v>
      </c>
      <c r="B4169" s="2" t="s">
        <v>10294</v>
      </c>
      <c r="C4169" s="2" t="s">
        <v>25</v>
      </c>
      <c r="D4169" s="2" t="s">
        <v>18</v>
      </c>
      <c r="E4169" s="3" t="s">
        <v>3397</v>
      </c>
      <c r="F4169" s="3" t="s">
        <v>3398</v>
      </c>
      <c r="G4169" s="3" t="s">
        <v>4342</v>
      </c>
      <c r="H4169" s="2" t="s">
        <v>55</v>
      </c>
      <c r="I4169" s="2" t="s">
        <v>10295</v>
      </c>
      <c r="J4169" s="3" t="str">
        <f>HYPERLINK("https://www.boe.es/gazeta/dias/1809/02/08/pdfs/GMD-1809-39.pdf#page=3","Abrir facsímil")</f>
        <v>Abrir facsímil</v>
      </c>
      <c r="K4169" s="3" t="s">
        <v>57</v>
      </c>
    </row>
    <row r="4170" spans="1:11" ht="42" customHeight="1">
      <c r="A4170" s="2" t="s">
        <v>10296</v>
      </c>
      <c r="B4170" s="2" t="s">
        <v>10297</v>
      </c>
      <c r="C4170" s="2" t="s">
        <v>25</v>
      </c>
      <c r="D4170" s="2" t="s">
        <v>40</v>
      </c>
      <c r="E4170" s="3" t="s">
        <v>258</v>
      </c>
      <c r="F4170" s="3" t="s">
        <v>1673</v>
      </c>
      <c r="G4170" s="3" t="s">
        <v>651</v>
      </c>
      <c r="H4170" s="2" t="s">
        <v>55</v>
      </c>
      <c r="I4170" s="2" t="s">
        <v>10298</v>
      </c>
      <c r="J4170" s="3" t="str">
        <f>HYPERLINK("https://www.boe.es/gazeta/dias/1809/03/17/pdfs/GGB-G-1809-12.pdf#page=4","Abrir facsímil")</f>
        <v>Abrir facsímil</v>
      </c>
      <c r="K4170" s="3" t="s">
        <v>57</v>
      </c>
    </row>
    <row r="4171" spans="1:11" ht="42" customHeight="1">
      <c r="A4171" s="2" t="s">
        <v>10299</v>
      </c>
      <c r="B4171" s="2" t="s">
        <v>10300</v>
      </c>
      <c r="C4171" s="2" t="s">
        <v>17</v>
      </c>
      <c r="D4171" s="2" t="s">
        <v>18</v>
      </c>
      <c r="E4171" s="3" t="s">
        <v>229</v>
      </c>
      <c r="F4171" s="3" t="s">
        <v>230</v>
      </c>
      <c r="G4171" s="3" t="s">
        <v>110</v>
      </c>
      <c r="H4171" s="2" t="s">
        <v>55</v>
      </c>
      <c r="I4171" s="2" t="s">
        <v>10301</v>
      </c>
      <c r="J4171" s="3" t="str">
        <f>HYPERLINK("https://www.boe.es/gazeta/dias/1809/02/26/pdfs/GMD-1809-57.pdf#page=2","Abrir facsímil")</f>
        <v>Abrir facsímil</v>
      </c>
      <c r="K4171" s="3" t="s">
        <v>57</v>
      </c>
    </row>
    <row r="4172" spans="1:11" ht="42" customHeight="1">
      <c r="A4172" s="2" t="s">
        <v>10302</v>
      </c>
      <c r="B4172" s="2" t="s">
        <v>10302</v>
      </c>
      <c r="C4172" s="2" t="s">
        <v>25</v>
      </c>
      <c r="D4172" s="2" t="s">
        <v>18</v>
      </c>
      <c r="E4172" s="3" t="s">
        <v>2673</v>
      </c>
      <c r="F4172" s="3" t="s">
        <v>2674</v>
      </c>
      <c r="G4172" s="3" t="s">
        <v>2675</v>
      </c>
      <c r="H4172" s="2" t="s">
        <v>55</v>
      </c>
      <c r="I4172" s="2" t="s">
        <v>10303</v>
      </c>
      <c r="J4172" s="3" t="str">
        <f>HYPERLINK("https://www.boe.es/gazeta/dias/1809/02/05/pdfs/GMD-1809-36.pdf#page=3","Abrir facsímil")</f>
        <v>Abrir facsímil</v>
      </c>
      <c r="K4172" s="3" t="s">
        <v>57</v>
      </c>
    </row>
    <row r="4173" spans="1:11" ht="42" customHeight="1">
      <c r="A4173" s="2" t="s">
        <v>10302</v>
      </c>
      <c r="B4173" s="2" t="s">
        <v>10302</v>
      </c>
      <c r="C4173" s="2" t="s">
        <v>25</v>
      </c>
      <c r="D4173" s="2" t="s">
        <v>107</v>
      </c>
      <c r="E4173" s="3" t="s">
        <v>1011</v>
      </c>
      <c r="F4173" s="3" t="s">
        <v>1511</v>
      </c>
      <c r="G4173" s="3" t="s">
        <v>154</v>
      </c>
      <c r="H4173" s="2" t="s">
        <v>55</v>
      </c>
      <c r="I4173" s="2" t="s">
        <v>10304</v>
      </c>
      <c r="J4173" s="3" t="str">
        <f>HYPERLINK("https://www.boe.es/gazeta/dias/1809/08/01/pdfs/GMD-1809-214.pdf#page=4","Abrir facsímil")</f>
        <v>Abrir facsímil</v>
      </c>
      <c r="K4173" s="3" t="s">
        <v>57</v>
      </c>
    </row>
    <row r="4174" spans="1:11" ht="42" customHeight="1">
      <c r="A4174" s="2" t="s">
        <v>10302</v>
      </c>
      <c r="B4174" s="2" t="s">
        <v>10302</v>
      </c>
      <c r="C4174" s="2" t="s">
        <v>25</v>
      </c>
      <c r="D4174" s="2" t="s">
        <v>107</v>
      </c>
      <c r="E4174" s="3" t="s">
        <v>2691</v>
      </c>
      <c r="F4174" s="3" t="s">
        <v>2692</v>
      </c>
      <c r="G4174" s="3" t="s">
        <v>75</v>
      </c>
      <c r="H4174" s="2" t="s">
        <v>55</v>
      </c>
      <c r="I4174" s="2" t="s">
        <v>10305</v>
      </c>
      <c r="J4174" s="3" t="str">
        <f>HYPERLINK("https://www.boe.es/gazeta/dias/1809/08/27/pdfs/GMD-1809-240.pdf#page=2","Abrir facsímil")</f>
        <v>Abrir facsímil</v>
      </c>
      <c r="K4174" s="3" t="s">
        <v>57</v>
      </c>
    </row>
    <row r="4175" spans="1:11" ht="42" customHeight="1">
      <c r="A4175" s="2" t="s">
        <v>10302</v>
      </c>
      <c r="B4175" s="2" t="s">
        <v>10302</v>
      </c>
      <c r="C4175" s="2" t="s">
        <v>25</v>
      </c>
      <c r="D4175" s="2" t="s">
        <v>40</v>
      </c>
      <c r="E4175" s="3" t="s">
        <v>2691</v>
      </c>
      <c r="F4175" s="3" t="s">
        <v>2692</v>
      </c>
      <c r="G4175" s="3" t="s">
        <v>234</v>
      </c>
      <c r="H4175" s="2" t="s">
        <v>55</v>
      </c>
      <c r="I4175" s="2" t="s">
        <v>10306</v>
      </c>
      <c r="J4175" s="3" t="str">
        <f>HYPERLINK("https://www.boe.es/gazeta/dias/1809/08/27/pdfs/GMD-1809-240.pdf#page=3","Abrir facsímil")</f>
        <v>Abrir facsímil</v>
      </c>
      <c r="K4175" s="3" t="s">
        <v>57</v>
      </c>
    </row>
    <row r="4176" spans="1:11" ht="42" customHeight="1">
      <c r="A4176" s="2" t="s">
        <v>10302</v>
      </c>
      <c r="B4176" s="2" t="s">
        <v>10302</v>
      </c>
      <c r="C4176" s="2" t="s">
        <v>25</v>
      </c>
      <c r="D4176" s="2" t="s">
        <v>18</v>
      </c>
      <c r="E4176" s="3" t="s">
        <v>2643</v>
      </c>
      <c r="F4176" s="3" t="s">
        <v>2644</v>
      </c>
      <c r="G4176" s="3" t="s">
        <v>525</v>
      </c>
      <c r="H4176" s="2" t="s">
        <v>55</v>
      </c>
      <c r="I4176" s="2" t="s">
        <v>10307</v>
      </c>
      <c r="J4176" s="3" t="str">
        <f>HYPERLINK("https://www.boe.es/gazeta/dias/1809/09/29/pdfs/GMD-1809-273.pdf#page=3","Abrir facsímil")</f>
        <v>Abrir facsímil</v>
      </c>
      <c r="K4176" s="3" t="s">
        <v>57</v>
      </c>
    </row>
    <row r="4177" spans="1:11" ht="42" customHeight="1">
      <c r="A4177" s="2" t="s">
        <v>10308</v>
      </c>
      <c r="B4177" s="2" t="s">
        <v>10309</v>
      </c>
      <c r="C4177" s="2" t="s">
        <v>17</v>
      </c>
      <c r="D4177" s="2" t="s">
        <v>18</v>
      </c>
      <c r="E4177" s="3" t="s">
        <v>299</v>
      </c>
      <c r="F4177" s="3" t="s">
        <v>300</v>
      </c>
      <c r="G4177" s="3" t="s">
        <v>301</v>
      </c>
      <c r="H4177" s="2" t="s">
        <v>55</v>
      </c>
      <c r="I4177" s="2" t="s">
        <v>10310</v>
      </c>
      <c r="J4177" s="3" t="str">
        <f>HYPERLINK("https://www.boe.es/gazeta/dias/1809/05/26/pdfs/GGB-1809-31.pdf#page=10","Abrir facsímil")</f>
        <v>Abrir facsímil</v>
      </c>
      <c r="K4177" s="3" t="s">
        <v>57</v>
      </c>
    </row>
    <row r="4178" spans="1:11" ht="42" customHeight="1">
      <c r="A4178" s="2" t="s">
        <v>10311</v>
      </c>
      <c r="B4178" s="2" t="s">
        <v>10312</v>
      </c>
      <c r="C4178" s="2" t="s">
        <v>17</v>
      </c>
      <c r="D4178" s="2" t="s">
        <v>18</v>
      </c>
      <c r="E4178" s="3" t="s">
        <v>102</v>
      </c>
      <c r="F4178" s="3" t="s">
        <v>103</v>
      </c>
      <c r="G4178" s="3" t="s">
        <v>1091</v>
      </c>
      <c r="H4178" s="2" t="s">
        <v>55</v>
      </c>
      <c r="I4178" s="2" t="s">
        <v>10313</v>
      </c>
      <c r="J4178" s="3" t="str">
        <f>HYPERLINK("https://www.boe.es/gazeta/dias/1809/09/28/pdfs/GGB-1809-252.pdf#page=6","Abrir facsímil")</f>
        <v>Abrir facsímil</v>
      </c>
      <c r="K4178" s="3" t="s">
        <v>57</v>
      </c>
    </row>
    <row r="4179" spans="1:11" ht="42" customHeight="1">
      <c r="A4179" s="2" t="s">
        <v>10314</v>
      </c>
      <c r="B4179" s="2" t="s">
        <v>10315</v>
      </c>
      <c r="C4179" s="2" t="s">
        <v>288</v>
      </c>
      <c r="D4179" s="2" t="s">
        <v>18</v>
      </c>
      <c r="E4179" s="3" t="s">
        <v>60</v>
      </c>
      <c r="F4179" s="3" t="s">
        <v>61</v>
      </c>
      <c r="G4179" s="3" t="s">
        <v>62</v>
      </c>
      <c r="H4179" s="2" t="s">
        <v>55</v>
      </c>
      <c r="I4179" s="2" t="s">
        <v>10316</v>
      </c>
      <c r="J4179" s="3" t="str">
        <f>HYPERLINK("https://www.boe.es/gazeta/dias/1809/02/07/pdfs/GMD-1809-38.pdf#page=4","Abrir facsímil")</f>
        <v>Abrir facsímil</v>
      </c>
      <c r="K4179" s="3" t="s">
        <v>57</v>
      </c>
    </row>
    <row r="4180" spans="1:11" ht="42" customHeight="1">
      <c r="A4180" s="2" t="s">
        <v>10317</v>
      </c>
      <c r="B4180" s="2" t="s">
        <v>10317</v>
      </c>
      <c r="C4180" s="2" t="s">
        <v>25</v>
      </c>
      <c r="D4180" s="2" t="s">
        <v>18</v>
      </c>
      <c r="E4180" s="3" t="s">
        <v>211</v>
      </c>
      <c r="F4180" s="3" t="s">
        <v>212</v>
      </c>
      <c r="G4180" s="3" t="s">
        <v>29</v>
      </c>
      <c r="H4180" s="2" t="s">
        <v>55</v>
      </c>
      <c r="I4180" s="2" t="s">
        <v>10318</v>
      </c>
      <c r="J4180" s="3" t="str">
        <f>HYPERLINK("https://www.boe.es/gazeta/dias/1809/10/27/pdfs/GMD-1809-301.pdf#page=3","Abrir facsímil")</f>
        <v>Abrir facsímil</v>
      </c>
      <c r="K4180" s="3" t="s">
        <v>57</v>
      </c>
    </row>
    <row r="4181" spans="1:11" ht="42" customHeight="1">
      <c r="A4181" s="2" t="s">
        <v>10317</v>
      </c>
      <c r="B4181" s="2" t="s">
        <v>10317</v>
      </c>
      <c r="C4181" s="2" t="s">
        <v>25</v>
      </c>
      <c r="D4181" s="2" t="s">
        <v>72</v>
      </c>
      <c r="E4181" s="3" t="s">
        <v>216</v>
      </c>
      <c r="F4181" s="3" t="s">
        <v>217</v>
      </c>
      <c r="G4181" s="3" t="s">
        <v>587</v>
      </c>
      <c r="H4181" s="2" t="s">
        <v>55</v>
      </c>
      <c r="I4181" s="2" t="s">
        <v>10319</v>
      </c>
      <c r="J4181" s="3" t="str">
        <f>HYPERLINK("https://www.boe.es/gazeta/dias/1809/12/05/pdfs/GGB-H-1809-542.pdf#page=4","Abrir facsímil")</f>
        <v>Abrir facsímil</v>
      </c>
      <c r="K4181" s="3" t="s">
        <v>57</v>
      </c>
    </row>
    <row r="4182" spans="1:11" ht="42" customHeight="1">
      <c r="A4182" s="2" t="s">
        <v>10320</v>
      </c>
      <c r="B4182" s="2" t="s">
        <v>10321</v>
      </c>
      <c r="C4182" s="2" t="s">
        <v>25</v>
      </c>
      <c r="D4182" s="2" t="s">
        <v>26</v>
      </c>
      <c r="E4182" s="3" t="s">
        <v>258</v>
      </c>
      <c r="F4182" s="3" t="s">
        <v>910</v>
      </c>
      <c r="G4182" s="3" t="s">
        <v>693</v>
      </c>
      <c r="H4182" s="2" t="s">
        <v>55</v>
      </c>
      <c r="I4182" s="2" t="s">
        <v>10322</v>
      </c>
      <c r="J4182" s="3" t="str">
        <f>HYPERLINK("https://www.boe.es/gazeta/dias/1809/03/17/pdfs/GGB-1809-12.pdf#page=9","Abrir facsímil")</f>
        <v>Abrir facsímil</v>
      </c>
      <c r="K4182" s="3" t="s">
        <v>57</v>
      </c>
    </row>
    <row r="4183" spans="1:11" ht="42" customHeight="1">
      <c r="A4183" s="2" t="s">
        <v>10323</v>
      </c>
      <c r="B4183" s="2" t="s">
        <v>10324</v>
      </c>
      <c r="C4183" s="2" t="s">
        <v>288</v>
      </c>
      <c r="D4183" s="2" t="s">
        <v>18</v>
      </c>
      <c r="E4183" s="3" t="s">
        <v>4361</v>
      </c>
      <c r="F4183" s="3" t="s">
        <v>4362</v>
      </c>
      <c r="G4183" s="3" t="s">
        <v>918</v>
      </c>
      <c r="H4183" s="2" t="s">
        <v>55</v>
      </c>
      <c r="I4183" s="2" t="s">
        <v>10325</v>
      </c>
      <c r="J4183" s="3" t="str">
        <f>HYPERLINK("https://www.boe.es/gazeta/dias/1809/01/28/pdfs/GMD-1809-28.pdf#page=4","Abrir facsímil")</f>
        <v>Abrir facsímil</v>
      </c>
      <c r="K4183" s="3" t="s">
        <v>57</v>
      </c>
    </row>
    <row r="4184" spans="1:11" ht="42" customHeight="1">
      <c r="A4184" s="2" t="s">
        <v>10326</v>
      </c>
      <c r="B4184" s="2" t="s">
        <v>10326</v>
      </c>
      <c r="C4184" s="2" t="s">
        <v>25</v>
      </c>
      <c r="D4184" s="2" t="s">
        <v>107</v>
      </c>
      <c r="E4184" s="3" t="s">
        <v>1011</v>
      </c>
      <c r="F4184" s="3" t="s">
        <v>1511</v>
      </c>
      <c r="G4184" s="3" t="s">
        <v>154</v>
      </c>
      <c r="H4184" s="2" t="s">
        <v>55</v>
      </c>
      <c r="I4184" s="2" t="s">
        <v>10327</v>
      </c>
      <c r="J4184" s="3" t="str">
        <f>HYPERLINK("https://www.boe.es/gazeta/dias/1809/08/01/pdfs/GMD-1809-214.pdf#page=4","Abrir facsímil")</f>
        <v>Abrir facsímil</v>
      </c>
      <c r="K4184" s="3" t="s">
        <v>57</v>
      </c>
    </row>
    <row r="4185" spans="1:11" ht="42" customHeight="1">
      <c r="A4185" s="2" t="s">
        <v>10328</v>
      </c>
      <c r="B4185" s="2" t="s">
        <v>10328</v>
      </c>
      <c r="C4185" s="2" t="s">
        <v>25</v>
      </c>
      <c r="D4185" s="2" t="s">
        <v>18</v>
      </c>
      <c r="E4185" s="3" t="s">
        <v>1807</v>
      </c>
      <c r="F4185" s="3" t="s">
        <v>1808</v>
      </c>
      <c r="G4185" s="3" t="s">
        <v>141</v>
      </c>
      <c r="H4185" s="2" t="s">
        <v>55</v>
      </c>
      <c r="I4185" s="2" t="s">
        <v>10329</v>
      </c>
      <c r="J4185" s="3" t="str">
        <f>HYPERLINK("https://www.boe.es/gazeta/dias/1809/01/22/pdfs/GMD-1809-22.pdf#page=3","Abrir facsímil")</f>
        <v>Abrir facsímil</v>
      </c>
      <c r="K4185" s="3" t="s">
        <v>57</v>
      </c>
    </row>
    <row r="4186" spans="1:11" ht="42" customHeight="1">
      <c r="A4186" s="2" t="s">
        <v>10330</v>
      </c>
      <c r="B4186" s="2" t="s">
        <v>10331</v>
      </c>
      <c r="C4186" s="2" t="s">
        <v>25</v>
      </c>
      <c r="D4186" s="2" t="s">
        <v>18</v>
      </c>
      <c r="E4186" s="3" t="s">
        <v>3258</v>
      </c>
      <c r="F4186" s="3" t="s">
        <v>3529</v>
      </c>
      <c r="G4186" s="3" t="s">
        <v>75</v>
      </c>
      <c r="H4186" s="2" t="s">
        <v>55</v>
      </c>
      <c r="I4186" s="2" t="s">
        <v>10332</v>
      </c>
      <c r="J4186" s="3" t="str">
        <f>HYPERLINK("https://www.boe.es/gazeta/dias/1809/04/03/pdfs/GGB-1809-14B.pdf#page=8","Abrir facsímil")</f>
        <v>Abrir facsímil</v>
      </c>
      <c r="K4186" s="3" t="s">
        <v>57</v>
      </c>
    </row>
    <row r="4187" spans="1:11" ht="42" customHeight="1">
      <c r="A4187" s="2" t="s">
        <v>10333</v>
      </c>
      <c r="B4187" s="2" t="s">
        <v>10334</v>
      </c>
      <c r="C4187" s="2" t="s">
        <v>47</v>
      </c>
      <c r="D4187" s="2" t="s">
        <v>18</v>
      </c>
      <c r="E4187" s="3" t="s">
        <v>3258</v>
      </c>
      <c r="F4187" s="3" t="s">
        <v>3529</v>
      </c>
      <c r="G4187" s="3" t="s">
        <v>3934</v>
      </c>
      <c r="H4187" s="2" t="s">
        <v>55</v>
      </c>
      <c r="I4187" s="2" t="s">
        <v>10335</v>
      </c>
      <c r="J4187" s="3" t="str">
        <f>HYPERLINK("https://www.boe.es/gazeta/dias/1809/04/03/pdfs/GGB-1809-14B.pdf#page=7","Abrir facsímil")</f>
        <v>Abrir facsímil</v>
      </c>
      <c r="K4187" s="3" t="s">
        <v>57</v>
      </c>
    </row>
    <row r="4188" spans="1:11" ht="42" customHeight="1">
      <c r="A4188" s="2" t="s">
        <v>10336</v>
      </c>
      <c r="B4188" s="2" t="s">
        <v>10336</v>
      </c>
      <c r="C4188" s="2" t="s">
        <v>25</v>
      </c>
      <c r="D4188" s="2" t="s">
        <v>18</v>
      </c>
      <c r="E4188" s="3" t="s">
        <v>5017</v>
      </c>
      <c r="F4188" s="3" t="s">
        <v>5018</v>
      </c>
      <c r="G4188" s="3" t="s">
        <v>120</v>
      </c>
      <c r="H4188" s="2" t="s">
        <v>55</v>
      </c>
      <c r="I4188" s="2" t="s">
        <v>10337</v>
      </c>
      <c r="J4188" s="3" t="str">
        <f>HYPERLINK("https://www.boe.es/gazeta/dias/1809/12/03/pdfs/GMD-1809-338.pdf#page=3","Abrir facsímil")</f>
        <v>Abrir facsímil</v>
      </c>
      <c r="K4188" s="3" t="s">
        <v>57</v>
      </c>
    </row>
    <row r="4189" spans="1:11" ht="42" customHeight="1">
      <c r="A4189" s="2" t="s">
        <v>10338</v>
      </c>
      <c r="B4189" s="2" t="s">
        <v>10338</v>
      </c>
      <c r="C4189" s="2" t="s">
        <v>25</v>
      </c>
      <c r="D4189" s="2" t="s">
        <v>107</v>
      </c>
      <c r="E4189" s="3" t="s">
        <v>1761</v>
      </c>
      <c r="F4189" s="3" t="s">
        <v>1762</v>
      </c>
      <c r="G4189" s="3" t="s">
        <v>234</v>
      </c>
      <c r="H4189" s="2" t="s">
        <v>55</v>
      </c>
      <c r="I4189" s="2" t="s">
        <v>10339</v>
      </c>
      <c r="J4189" s="3" t="str">
        <f>HYPERLINK("https://www.boe.es/gazeta/dias/1809/10/18/pdfs/GMD-1809-292.pdf#page=1","Abrir facsímil")</f>
        <v>Abrir facsímil</v>
      </c>
      <c r="K4189" s="3" t="s">
        <v>57</v>
      </c>
    </row>
    <row r="4190" spans="1:11" ht="42" customHeight="1">
      <c r="A4190" s="2" t="s">
        <v>10338</v>
      </c>
      <c r="B4190" s="2" t="s">
        <v>10338</v>
      </c>
      <c r="C4190" s="2" t="s">
        <v>25</v>
      </c>
      <c r="D4190" s="2" t="s">
        <v>26</v>
      </c>
      <c r="E4190" s="3" t="s">
        <v>974</v>
      </c>
      <c r="F4190" s="3" t="s">
        <v>7968</v>
      </c>
      <c r="G4190" s="3" t="s">
        <v>21</v>
      </c>
      <c r="H4190" s="2" t="s">
        <v>55</v>
      </c>
      <c r="I4190" s="2" t="s">
        <v>10340</v>
      </c>
      <c r="J4190" s="3" t="str">
        <f>HYPERLINK("https://www.boe.es/gazeta/dias/1809/11/14/pdfs/GMD-1809-319.pdf#page=2","Abrir facsímil")</f>
        <v>Abrir facsímil</v>
      </c>
      <c r="K4190" s="3" t="s">
        <v>57</v>
      </c>
    </row>
    <row r="4191" spans="1:11" ht="42" customHeight="1">
      <c r="A4191" s="2" t="s">
        <v>10338</v>
      </c>
      <c r="B4191" s="2" t="s">
        <v>10338</v>
      </c>
      <c r="C4191" s="2" t="s">
        <v>25</v>
      </c>
      <c r="D4191" s="2" t="s">
        <v>18</v>
      </c>
      <c r="E4191" s="3" t="s">
        <v>179</v>
      </c>
      <c r="F4191" s="3" t="s">
        <v>2418</v>
      </c>
      <c r="G4191" s="3" t="s">
        <v>1646</v>
      </c>
      <c r="H4191" s="2" t="s">
        <v>55</v>
      </c>
      <c r="I4191" s="2" t="s">
        <v>10341</v>
      </c>
      <c r="J4191" s="3" t="str">
        <f>HYPERLINK("https://www.boe.es/gazeta/dias/1809/12/08/pdfs/GMD-1809-343.pdf#page=1","Abrir facsímil")</f>
        <v>Abrir facsímil</v>
      </c>
      <c r="K4191" s="3" t="s">
        <v>57</v>
      </c>
    </row>
    <row r="4192" spans="1:11" ht="42" customHeight="1">
      <c r="A4192" s="2" t="s">
        <v>10342</v>
      </c>
      <c r="B4192" s="2" t="s">
        <v>10342</v>
      </c>
      <c r="C4192" s="2" t="s">
        <v>25</v>
      </c>
      <c r="D4192" s="2" t="s">
        <v>26</v>
      </c>
      <c r="E4192" s="3" t="s">
        <v>1282</v>
      </c>
      <c r="F4192" s="3" t="s">
        <v>1743</v>
      </c>
      <c r="G4192" s="3" t="s">
        <v>234</v>
      </c>
      <c r="H4192" s="2" t="s">
        <v>55</v>
      </c>
      <c r="I4192" s="2" t="s">
        <v>10343</v>
      </c>
      <c r="J4192" s="3" t="str">
        <f>HYPERLINK("https://www.boe.es/gazeta/dias/1809/06/26/pdfs/GMD-1809-177.pdf#page=2","Abrir facsímil")</f>
        <v>Abrir facsímil</v>
      </c>
      <c r="K4192" s="3" t="s">
        <v>57</v>
      </c>
    </row>
    <row r="4193" spans="1:11" ht="42" customHeight="1">
      <c r="A4193" s="2" t="s">
        <v>10342</v>
      </c>
      <c r="B4193" s="2" t="s">
        <v>10342</v>
      </c>
      <c r="C4193" s="2" t="s">
        <v>25</v>
      </c>
      <c r="D4193" s="2" t="s">
        <v>26</v>
      </c>
      <c r="E4193" s="3" t="s">
        <v>1282</v>
      </c>
      <c r="F4193" s="3" t="s">
        <v>1743</v>
      </c>
      <c r="G4193" s="3" t="s">
        <v>1516</v>
      </c>
      <c r="H4193" s="2" t="s">
        <v>55</v>
      </c>
      <c r="I4193" s="2" t="s">
        <v>10344</v>
      </c>
      <c r="J4193" s="3" t="str">
        <f>HYPERLINK("https://www.boe.es/gazeta/dias/1809/06/26/pdfs/GMD-1809-177.pdf#page=3","Abrir facsímil")</f>
        <v>Abrir facsímil</v>
      </c>
      <c r="K4193" s="3" t="s">
        <v>57</v>
      </c>
    </row>
    <row r="4194" spans="1:11" ht="42" customHeight="1">
      <c r="A4194" s="2" t="s">
        <v>10345</v>
      </c>
      <c r="B4194" s="2" t="s">
        <v>10346</v>
      </c>
      <c r="C4194" s="2" t="s">
        <v>17</v>
      </c>
      <c r="D4194" s="2" t="s">
        <v>40</v>
      </c>
      <c r="E4194" s="3" t="s">
        <v>163</v>
      </c>
      <c r="F4194" s="3" t="s">
        <v>478</v>
      </c>
      <c r="G4194" s="3" t="s">
        <v>225</v>
      </c>
      <c r="H4194" s="2" t="s">
        <v>22</v>
      </c>
      <c r="I4194" s="2" t="s">
        <v>10347</v>
      </c>
      <c r="J4194" s="3" t="str">
        <f>HYPERLINK("https://www.boe.es/gazeta/dias/1809/03/10/pdfs/GGB-1809-11.pdf#page=4","Abrir facsímil")</f>
        <v>Abrir facsímil</v>
      </c>
      <c r="K4194" s="3" t="s">
        <v>24</v>
      </c>
    </row>
    <row r="4195" spans="1:11" ht="42" customHeight="1">
      <c r="A4195" s="2" t="s">
        <v>10348</v>
      </c>
      <c r="B4195" s="2" t="s">
        <v>10349</v>
      </c>
      <c r="C4195" s="2" t="s">
        <v>17</v>
      </c>
      <c r="D4195" s="2" t="s">
        <v>18</v>
      </c>
      <c r="E4195" s="3" t="s">
        <v>974</v>
      </c>
      <c r="F4195" s="3" t="s">
        <v>975</v>
      </c>
      <c r="G4195" s="3" t="s">
        <v>10350</v>
      </c>
      <c r="H4195" s="2" t="s">
        <v>55</v>
      </c>
      <c r="I4195" s="2" t="s">
        <v>10351</v>
      </c>
      <c r="J4195" s="3" t="str">
        <f>HYPERLINK("https://www.boe.es/gazeta/dias/1809/11/14/pdfs/GGB-1809-452.pdf#page=8","Abrir facsímil")</f>
        <v>Abrir facsímil</v>
      </c>
      <c r="K4195" s="3" t="s">
        <v>57</v>
      </c>
    </row>
    <row r="4196" spans="1:11" ht="42" customHeight="1">
      <c r="A4196" s="2" t="s">
        <v>10352</v>
      </c>
      <c r="B4196" s="2" t="s">
        <v>10352</v>
      </c>
      <c r="C4196" s="2" t="s">
        <v>47</v>
      </c>
      <c r="D4196" s="2" t="s">
        <v>107</v>
      </c>
      <c r="E4196" s="3" t="s">
        <v>1011</v>
      </c>
      <c r="F4196" s="3" t="s">
        <v>1012</v>
      </c>
      <c r="G4196" s="3" t="s">
        <v>75</v>
      </c>
      <c r="H4196" s="2" t="s">
        <v>55</v>
      </c>
      <c r="I4196" s="2" t="s">
        <v>10353</v>
      </c>
      <c r="J4196" s="3" t="str">
        <f>HYPERLINK("https://www.boe.es/gazeta/dias/1809/08/01/pdfs/GGB-1809-50.pdf#page=1","Abrir facsímil")</f>
        <v>Abrir facsímil</v>
      </c>
      <c r="K4196" s="3" t="s">
        <v>57</v>
      </c>
    </row>
    <row r="4197" spans="1:11" ht="42" customHeight="1">
      <c r="A4197" s="2" t="s">
        <v>10354</v>
      </c>
      <c r="B4197" s="2" t="s">
        <v>10354</v>
      </c>
      <c r="C4197" s="2" t="s">
        <v>47</v>
      </c>
      <c r="D4197" s="2" t="s">
        <v>107</v>
      </c>
      <c r="E4197" s="3" t="s">
        <v>2595</v>
      </c>
      <c r="F4197" s="3" t="s">
        <v>6932</v>
      </c>
      <c r="G4197" s="3" t="s">
        <v>75</v>
      </c>
      <c r="H4197" s="2" t="s">
        <v>55</v>
      </c>
      <c r="I4197" s="2" t="s">
        <v>10355</v>
      </c>
      <c r="J4197" s="3" t="str">
        <f>HYPERLINK("https://www.boe.es/gazeta/dias/1809/06/16/pdfs/GGB-1809-37.pdf#page=5","Abrir facsímil")</f>
        <v>Abrir facsímil</v>
      </c>
      <c r="K4197" s="3" t="s">
        <v>57</v>
      </c>
    </row>
    <row r="4198" spans="1:11" ht="42" customHeight="1">
      <c r="A4198" s="2" t="s">
        <v>10356</v>
      </c>
      <c r="B4198" s="2" t="s">
        <v>10356</v>
      </c>
      <c r="C4198" s="2" t="s">
        <v>39</v>
      </c>
      <c r="D4198" s="2" t="s">
        <v>18</v>
      </c>
      <c r="E4198" s="3" t="s">
        <v>720</v>
      </c>
      <c r="F4198" s="3" t="s">
        <v>2177</v>
      </c>
      <c r="G4198" s="3" t="s">
        <v>270</v>
      </c>
      <c r="H4198" s="2" t="s">
        <v>55</v>
      </c>
      <c r="I4198" s="2" t="s">
        <v>10357</v>
      </c>
      <c r="J4198" s="3" t="str">
        <f>HYPERLINK("https://www.boe.es/gazeta/dias/1809/01/27/pdfs/GGB-1809-5.pdf#page=7","Abrir facsímil")</f>
        <v>Abrir facsímil</v>
      </c>
      <c r="K4198" s="3" t="s">
        <v>57</v>
      </c>
    </row>
    <row r="4199" spans="1:11" ht="42" customHeight="1">
      <c r="A4199" s="2" t="s">
        <v>10358</v>
      </c>
      <c r="B4199" s="2" t="s">
        <v>10358</v>
      </c>
      <c r="C4199" s="2" t="s">
        <v>25</v>
      </c>
      <c r="D4199" s="2" t="s">
        <v>26</v>
      </c>
      <c r="E4199" s="3" t="s">
        <v>4170</v>
      </c>
      <c r="F4199" s="3" t="s">
        <v>4171</v>
      </c>
      <c r="G4199" s="3" t="s">
        <v>136</v>
      </c>
      <c r="H4199" s="2" t="s">
        <v>55</v>
      </c>
      <c r="I4199" s="2" t="s">
        <v>10359</v>
      </c>
      <c r="J4199" s="3" t="str">
        <f>HYPERLINK("https://www.boe.es/gazeta/dias/1809/01/30/pdfs/GMD-1809-30.pdf#page=1","Abrir facsímil")</f>
        <v>Abrir facsímil</v>
      </c>
      <c r="K4199" s="3" t="s">
        <v>57</v>
      </c>
    </row>
    <row r="4200" spans="1:11" ht="42" customHeight="1">
      <c r="A4200" s="2" t="s">
        <v>10360</v>
      </c>
      <c r="B4200" s="2" t="s">
        <v>10361</v>
      </c>
      <c r="C4200" s="2" t="s">
        <v>79</v>
      </c>
      <c r="D4200" s="2" t="s">
        <v>26</v>
      </c>
      <c r="E4200" s="3" t="s">
        <v>390</v>
      </c>
      <c r="F4200" s="3" t="s">
        <v>391</v>
      </c>
      <c r="G4200" s="3" t="s">
        <v>3729</v>
      </c>
      <c r="H4200" s="2" t="s">
        <v>55</v>
      </c>
      <c r="I4200" s="2" t="s">
        <v>10362</v>
      </c>
      <c r="J4200" s="3" t="str">
        <f>HYPERLINK("https://www.boe.es/gazeta/dias/1809/10/19/pdfs/GGB-1809-342.pdf#page=7","Abrir facsímil")</f>
        <v>Abrir facsímil</v>
      </c>
      <c r="K4200" s="3" t="s">
        <v>57</v>
      </c>
    </row>
    <row r="4201" spans="1:11" ht="42" customHeight="1">
      <c r="A4201" s="2" t="s">
        <v>10363</v>
      </c>
      <c r="B4201" s="2" t="s">
        <v>10364</v>
      </c>
      <c r="C4201" s="2" t="s">
        <v>17</v>
      </c>
      <c r="D4201" s="2" t="s">
        <v>18</v>
      </c>
      <c r="E4201" s="3" t="s">
        <v>33</v>
      </c>
      <c r="F4201" s="3" t="s">
        <v>34</v>
      </c>
      <c r="G4201" s="3" t="s">
        <v>35</v>
      </c>
      <c r="H4201" s="2" t="s">
        <v>55</v>
      </c>
      <c r="I4201" s="2" t="s">
        <v>10365</v>
      </c>
      <c r="J4201" s="3" t="str">
        <f>HYPERLINK("https://www.boe.es/gazeta/dias/1809/12/19/pdfs/GGB-1809-602.pdf#page=5","Abrir facsímil")</f>
        <v>Abrir facsímil</v>
      </c>
      <c r="K4201" s="3" t="s">
        <v>57</v>
      </c>
    </row>
    <row r="4202" spans="1:11" ht="42" customHeight="1">
      <c r="A4202" s="2" t="s">
        <v>10366</v>
      </c>
      <c r="B4202" s="2" t="s">
        <v>10366</v>
      </c>
      <c r="C4202" s="2" t="s">
        <v>25</v>
      </c>
      <c r="D4202" s="2" t="s">
        <v>26</v>
      </c>
      <c r="E4202" s="3" t="s">
        <v>248</v>
      </c>
      <c r="F4202" s="3" t="s">
        <v>2399</v>
      </c>
      <c r="G4202" s="3" t="s">
        <v>4249</v>
      </c>
      <c r="H4202" s="2" t="s">
        <v>55</v>
      </c>
      <c r="I4202" s="2" t="s">
        <v>10367</v>
      </c>
      <c r="J4202" s="3" t="str">
        <f>HYPERLINK("https://www.boe.es/gazeta/dias/1809/07/26/pdfs/GMD-1809-207.pdf#page=1","Abrir facsímil")</f>
        <v>Abrir facsímil</v>
      </c>
      <c r="K4202" s="3" t="s">
        <v>57</v>
      </c>
    </row>
    <row r="4203" spans="1:11" ht="42" customHeight="1">
      <c r="A4203" s="2" t="s">
        <v>10368</v>
      </c>
      <c r="B4203" s="2" t="s">
        <v>10369</v>
      </c>
      <c r="C4203" s="2" t="s">
        <v>17</v>
      </c>
      <c r="D4203" s="2" t="s">
        <v>72</v>
      </c>
      <c r="E4203" s="3" t="s">
        <v>243</v>
      </c>
      <c r="F4203" s="3" t="s">
        <v>244</v>
      </c>
      <c r="G4203" s="3" t="s">
        <v>110</v>
      </c>
      <c r="H4203" s="2" t="s">
        <v>55</v>
      </c>
      <c r="I4203" s="2" t="s">
        <v>10370</v>
      </c>
      <c r="J4203" s="3" t="str">
        <f>HYPERLINK("https://www.boe.es/gazeta/dias/1809/02/17/pdfs/GGB-G-1809-8.pdf#page=5","Abrir facsímil")</f>
        <v>Abrir facsímil</v>
      </c>
      <c r="K4203" s="3" t="s">
        <v>57</v>
      </c>
    </row>
    <row r="4204" spans="1:11" ht="42" customHeight="1">
      <c r="A4204" s="2" t="s">
        <v>10371</v>
      </c>
      <c r="B4204" s="2" t="s">
        <v>10372</v>
      </c>
      <c r="C4204" s="2" t="s">
        <v>25</v>
      </c>
      <c r="D4204" s="2" t="s">
        <v>18</v>
      </c>
      <c r="E4204" s="3" t="s">
        <v>3397</v>
      </c>
      <c r="F4204" s="3" t="s">
        <v>3398</v>
      </c>
      <c r="G4204" s="3" t="s">
        <v>4342</v>
      </c>
      <c r="H4204" s="2" t="s">
        <v>55</v>
      </c>
      <c r="I4204" s="2" t="s">
        <v>10373</v>
      </c>
      <c r="J4204" s="3" t="str">
        <f>HYPERLINK("https://www.boe.es/gazeta/dias/1809/02/08/pdfs/GMD-1809-39.pdf#page=3","Abrir facsímil")</f>
        <v>Abrir facsímil</v>
      </c>
      <c r="K4204" s="3" t="s">
        <v>57</v>
      </c>
    </row>
    <row r="4205" spans="1:11" ht="42" customHeight="1">
      <c r="A4205" s="2" t="s">
        <v>10374</v>
      </c>
      <c r="B4205" s="2" t="s">
        <v>10374</v>
      </c>
      <c r="C4205" s="2" t="s">
        <v>25</v>
      </c>
      <c r="D4205" s="2" t="s">
        <v>26</v>
      </c>
      <c r="E4205" s="3" t="s">
        <v>381</v>
      </c>
      <c r="F4205" s="3" t="s">
        <v>382</v>
      </c>
      <c r="G4205" s="3" t="s">
        <v>5194</v>
      </c>
      <c r="H4205" s="2" t="s">
        <v>55</v>
      </c>
      <c r="I4205" s="2" t="s">
        <v>10375</v>
      </c>
      <c r="J4205" s="3" t="str">
        <f>HYPERLINK("https://www.boe.es/gazeta/dias/1809/06/27/pdfs/GMD-1809-178.pdf#page=3","Abrir facsímil")</f>
        <v>Abrir facsímil</v>
      </c>
      <c r="K4205" s="3" t="s">
        <v>57</v>
      </c>
    </row>
    <row r="4206" spans="1:11" ht="42" customHeight="1">
      <c r="A4206" s="2" t="s">
        <v>10376</v>
      </c>
      <c r="B4206" s="2" t="s">
        <v>10376</v>
      </c>
      <c r="C4206" s="2" t="s">
        <v>17</v>
      </c>
      <c r="D4206" s="2" t="s">
        <v>18</v>
      </c>
      <c r="E4206" s="3" t="s">
        <v>10377</v>
      </c>
      <c r="F4206" s="3" t="s">
        <v>10378</v>
      </c>
      <c r="G4206" s="3" t="s">
        <v>120</v>
      </c>
      <c r="H4206" s="2" t="s">
        <v>55</v>
      </c>
      <c r="I4206" s="2" t="s">
        <v>10379</v>
      </c>
      <c r="J4206" s="3" t="str">
        <f>HYPERLINK("https://www.boe.es/gazeta/dias/1809/07/20/pdfs/GMD-1809-201.pdf#page=2","Abrir facsímil")</f>
        <v>Abrir facsímil</v>
      </c>
      <c r="K4206" s="3" t="s">
        <v>57</v>
      </c>
    </row>
    <row r="4207" spans="1:11" ht="42" customHeight="1">
      <c r="A4207" s="2" t="s">
        <v>10374</v>
      </c>
      <c r="B4207" s="2" t="s">
        <v>10374</v>
      </c>
      <c r="C4207" s="2" t="s">
        <v>25</v>
      </c>
      <c r="D4207" s="2" t="s">
        <v>26</v>
      </c>
      <c r="E4207" s="3" t="s">
        <v>10377</v>
      </c>
      <c r="F4207" s="3" t="s">
        <v>10378</v>
      </c>
      <c r="G4207" s="3" t="s">
        <v>62</v>
      </c>
      <c r="H4207" s="2" t="s">
        <v>55</v>
      </c>
      <c r="I4207" s="2" t="s">
        <v>10380</v>
      </c>
      <c r="J4207" s="3" t="str">
        <f>HYPERLINK("https://www.boe.es/gazeta/dias/1809/07/20/pdfs/GMD-1809-201.pdf#page=3","Abrir facsímil")</f>
        <v>Abrir facsímil</v>
      </c>
      <c r="K4207" s="3" t="s">
        <v>57</v>
      </c>
    </row>
    <row r="4208" spans="1:11" ht="42" customHeight="1">
      <c r="A4208" s="2" t="s">
        <v>10374</v>
      </c>
      <c r="B4208" s="2" t="s">
        <v>10374</v>
      </c>
      <c r="C4208" s="2" t="s">
        <v>25</v>
      </c>
      <c r="D4208" s="2" t="s">
        <v>26</v>
      </c>
      <c r="E4208" s="3" t="s">
        <v>237</v>
      </c>
      <c r="F4208" s="3" t="s">
        <v>238</v>
      </c>
      <c r="G4208" s="3" t="s">
        <v>239</v>
      </c>
      <c r="H4208" s="2" t="s">
        <v>55</v>
      </c>
      <c r="I4208" s="2" t="s">
        <v>10381</v>
      </c>
      <c r="J4208" s="3" t="str">
        <f>HYPERLINK("https://www.boe.es/gazeta/dias/1809/07/30/pdfs/GMD-1809-212.pdf#page=1","Abrir facsímil")</f>
        <v>Abrir facsímil</v>
      </c>
      <c r="K4208" s="3" t="s">
        <v>57</v>
      </c>
    </row>
    <row r="4209" spans="1:11" ht="42" customHeight="1">
      <c r="A4209" s="2" t="s">
        <v>10376</v>
      </c>
      <c r="B4209" s="2" t="s">
        <v>10376</v>
      </c>
      <c r="C4209" s="2" t="s">
        <v>25</v>
      </c>
      <c r="D4209" s="2" t="s">
        <v>26</v>
      </c>
      <c r="E4209" s="3" t="s">
        <v>3096</v>
      </c>
      <c r="F4209" s="3" t="s">
        <v>4183</v>
      </c>
      <c r="G4209" s="3" t="s">
        <v>7526</v>
      </c>
      <c r="H4209" s="2" t="s">
        <v>55</v>
      </c>
      <c r="I4209" s="2" t="s">
        <v>10382</v>
      </c>
      <c r="J4209" s="3" t="str">
        <f>HYPERLINK("https://www.boe.es/gazeta/dias/1809/08/14/pdfs/GMD-1809-227.pdf#page=1","Abrir facsímil")</f>
        <v>Abrir facsímil</v>
      </c>
      <c r="K4209" s="3" t="s">
        <v>57</v>
      </c>
    </row>
    <row r="4210" spans="1:11" ht="42" customHeight="1">
      <c r="A4210" s="2" t="s">
        <v>10374</v>
      </c>
      <c r="B4210" s="2" t="s">
        <v>10374</v>
      </c>
      <c r="C4210" s="2" t="s">
        <v>25</v>
      </c>
      <c r="D4210" s="2" t="s">
        <v>18</v>
      </c>
      <c r="E4210" s="3" t="s">
        <v>1117</v>
      </c>
      <c r="F4210" s="3" t="s">
        <v>6772</v>
      </c>
      <c r="G4210" s="3" t="s">
        <v>10383</v>
      </c>
      <c r="H4210" s="2" t="s">
        <v>55</v>
      </c>
      <c r="I4210" s="2" t="s">
        <v>10384</v>
      </c>
      <c r="J4210" s="3" t="str">
        <f>HYPERLINK("https://www.boe.es/gazeta/dias/1809/11/04/pdfs/GMD-1809-309.pdf#page=1","Abrir facsímil")</f>
        <v>Abrir facsímil</v>
      </c>
      <c r="K4210" s="3" t="s">
        <v>57</v>
      </c>
    </row>
    <row r="4211" spans="1:11" ht="42" customHeight="1">
      <c r="A4211" s="2" t="s">
        <v>10385</v>
      </c>
      <c r="B4211" s="2" t="s">
        <v>10386</v>
      </c>
      <c r="C4211" s="2" t="s">
        <v>131</v>
      </c>
      <c r="D4211" s="2" t="s">
        <v>26</v>
      </c>
      <c r="E4211" s="3" t="s">
        <v>7617</v>
      </c>
      <c r="F4211" s="3" t="s">
        <v>7618</v>
      </c>
      <c r="G4211" s="3" t="s">
        <v>75</v>
      </c>
      <c r="H4211" s="2" t="s">
        <v>55</v>
      </c>
      <c r="I4211" s="2" t="s">
        <v>10387</v>
      </c>
      <c r="J4211" s="3" t="str">
        <f>HYPERLINK("https://www.boe.es/gazeta/dias/1809/12/24/pdfs/GMD-1809-359.pdf#page=2","Abrir facsímil")</f>
        <v>Abrir facsímil</v>
      </c>
      <c r="K4211" s="3" t="s">
        <v>57</v>
      </c>
    </row>
    <row r="4212" spans="1:11" ht="42" customHeight="1">
      <c r="A4212" s="2" t="s">
        <v>10388</v>
      </c>
      <c r="B4212" s="2" t="s">
        <v>10388</v>
      </c>
      <c r="C4212" s="2" t="s">
        <v>25</v>
      </c>
      <c r="D4212" s="2" t="s">
        <v>26</v>
      </c>
      <c r="E4212" s="3" t="s">
        <v>1285</v>
      </c>
      <c r="F4212" s="3" t="s">
        <v>1286</v>
      </c>
      <c r="G4212" s="3" t="s">
        <v>234</v>
      </c>
      <c r="H4212" s="2" t="s">
        <v>55</v>
      </c>
      <c r="I4212" s="2" t="s">
        <v>10389</v>
      </c>
      <c r="J4212" s="3" t="str">
        <f>HYPERLINK("https://www.boe.es/gazeta/dias/1809/07/01/pdfs/GMD-1809-182.pdf#page=2","Abrir facsímil")</f>
        <v>Abrir facsímil</v>
      </c>
      <c r="K4212" s="3" t="s">
        <v>57</v>
      </c>
    </row>
    <row r="4213" spans="1:11" ht="42" customHeight="1">
      <c r="A4213" s="2" t="s">
        <v>10390</v>
      </c>
      <c r="B4213" s="2" t="s">
        <v>10390</v>
      </c>
      <c r="C4213" s="2" t="s">
        <v>25</v>
      </c>
      <c r="D4213" s="2" t="s">
        <v>18</v>
      </c>
      <c r="E4213" s="3" t="s">
        <v>152</v>
      </c>
      <c r="F4213" s="3" t="s">
        <v>153</v>
      </c>
      <c r="G4213" s="3" t="s">
        <v>362</v>
      </c>
      <c r="H4213" s="2" t="s">
        <v>55</v>
      </c>
      <c r="I4213" s="2" t="s">
        <v>10391</v>
      </c>
      <c r="J4213" s="3" t="str">
        <f>HYPERLINK("https://www.boe.es/gazeta/dias/1809/08/26/pdfs/GGB-1809-112.pdf#page=3","Abrir facsímil")</f>
        <v>Abrir facsímil</v>
      </c>
      <c r="K4213" s="3" t="s">
        <v>57</v>
      </c>
    </row>
    <row r="4214" spans="1:11" ht="42" customHeight="1">
      <c r="A4214" s="2" t="s">
        <v>10392</v>
      </c>
      <c r="B4214" s="2" t="s">
        <v>10392</v>
      </c>
      <c r="C4214" s="2" t="s">
        <v>131</v>
      </c>
      <c r="D4214" s="2" t="s">
        <v>26</v>
      </c>
      <c r="E4214" s="3" t="s">
        <v>660</v>
      </c>
      <c r="F4214" s="3" t="s">
        <v>661</v>
      </c>
      <c r="G4214" s="3" t="s">
        <v>3028</v>
      </c>
      <c r="H4214" s="2" t="s">
        <v>55</v>
      </c>
      <c r="I4214" s="2" t="s">
        <v>10393</v>
      </c>
      <c r="J4214" s="3" t="str">
        <f>HYPERLINK("https://www.boe.es/gazeta/dias/1809/08/11/pdfs/GMD-1809-224.pdf#page=1","Abrir facsímil")</f>
        <v>Abrir facsímil</v>
      </c>
      <c r="K4214" s="3" t="s">
        <v>57</v>
      </c>
    </row>
    <row r="4215" spans="1:11" ht="42" customHeight="1">
      <c r="A4215" s="2" t="s">
        <v>10394</v>
      </c>
      <c r="B4215" s="2" t="s">
        <v>10394</v>
      </c>
      <c r="C4215" s="2" t="s">
        <v>25</v>
      </c>
      <c r="D4215" s="2" t="s">
        <v>18</v>
      </c>
      <c r="E4215" s="3" t="s">
        <v>381</v>
      </c>
      <c r="F4215" s="3" t="s">
        <v>382</v>
      </c>
      <c r="G4215" s="3" t="s">
        <v>5194</v>
      </c>
      <c r="H4215" s="2" t="s">
        <v>55</v>
      </c>
      <c r="I4215" s="2" t="s">
        <v>10395</v>
      </c>
      <c r="J4215" s="3" t="str">
        <f>HYPERLINK("https://www.boe.es/gazeta/dias/1809/06/27/pdfs/GMD-1809-178.pdf#page=3","Abrir facsímil")</f>
        <v>Abrir facsímil</v>
      </c>
      <c r="K4215" s="3" t="s">
        <v>57</v>
      </c>
    </row>
    <row r="4216" spans="1:11" ht="42" customHeight="1">
      <c r="A4216" s="2" t="s">
        <v>10394</v>
      </c>
      <c r="B4216" s="2" t="s">
        <v>10394</v>
      </c>
      <c r="C4216" s="2" t="s">
        <v>25</v>
      </c>
      <c r="D4216" s="2" t="s">
        <v>18</v>
      </c>
      <c r="E4216" s="3" t="s">
        <v>5009</v>
      </c>
      <c r="F4216" s="3" t="s">
        <v>5010</v>
      </c>
      <c r="G4216" s="3" t="s">
        <v>239</v>
      </c>
      <c r="H4216" s="2" t="s">
        <v>55</v>
      </c>
      <c r="I4216" s="2" t="s">
        <v>10396</v>
      </c>
      <c r="J4216" s="3" t="str">
        <f>HYPERLINK("https://www.boe.es/gazeta/dias/1809/07/02/pdfs/GMD-1809-183.pdf#page=1","Abrir facsímil")</f>
        <v>Abrir facsímil</v>
      </c>
      <c r="K4216" s="3" t="s">
        <v>57</v>
      </c>
    </row>
    <row r="4217" spans="1:11" ht="42" customHeight="1">
      <c r="A4217" s="2" t="s">
        <v>10397</v>
      </c>
      <c r="B4217" s="2" t="s">
        <v>10397</v>
      </c>
      <c r="C4217" s="2" t="s">
        <v>25</v>
      </c>
      <c r="D4217" s="2" t="s">
        <v>26</v>
      </c>
      <c r="E4217" s="3" t="s">
        <v>1132</v>
      </c>
      <c r="F4217" s="3" t="s">
        <v>1133</v>
      </c>
      <c r="G4217" s="3" t="s">
        <v>1134</v>
      </c>
      <c r="H4217" s="2" t="s">
        <v>55</v>
      </c>
      <c r="I4217" s="2" t="s">
        <v>10398</v>
      </c>
      <c r="J4217" s="3" t="str">
        <f>HYPERLINK("https://www.boe.es/gazeta/dias/1809/11/11/pdfs/GGB-1809-442.pdf#page=5","Abrir facsímil")</f>
        <v>Abrir facsímil</v>
      </c>
      <c r="K4217" s="3" t="s">
        <v>57</v>
      </c>
    </row>
    <row r="4218" spans="1:11" ht="42" customHeight="1">
      <c r="A4218" s="2" t="s">
        <v>10399</v>
      </c>
      <c r="B4218" s="2" t="s">
        <v>10400</v>
      </c>
      <c r="C4218" s="2" t="s">
        <v>25</v>
      </c>
      <c r="D4218" s="2" t="s">
        <v>18</v>
      </c>
      <c r="E4218" s="3" t="s">
        <v>5732</v>
      </c>
      <c r="F4218" s="3" t="s">
        <v>5733</v>
      </c>
      <c r="G4218" s="3" t="s">
        <v>6614</v>
      </c>
      <c r="H4218" s="2" t="s">
        <v>55</v>
      </c>
      <c r="I4218" s="2" t="s">
        <v>10401</v>
      </c>
      <c r="J4218" s="3" t="str">
        <f>HYPERLINK("https://www.boe.es/gazeta/dias/1809/07/09/pdfs/GMD-1809-190.pdf#page=1","Abrir facsímil")</f>
        <v>Abrir facsímil</v>
      </c>
      <c r="K4218" s="3" t="s">
        <v>57</v>
      </c>
    </row>
    <row r="4219" spans="1:11" ht="42" customHeight="1">
      <c r="A4219" s="2" t="s">
        <v>10402</v>
      </c>
      <c r="B4219" s="2" t="s">
        <v>10402</v>
      </c>
      <c r="C4219" s="2" t="s">
        <v>25</v>
      </c>
      <c r="D4219" s="2" t="s">
        <v>26</v>
      </c>
      <c r="E4219" s="3" t="s">
        <v>6946</v>
      </c>
      <c r="F4219" s="3" t="s">
        <v>6947</v>
      </c>
      <c r="G4219" s="3" t="s">
        <v>110</v>
      </c>
      <c r="H4219" s="2" t="s">
        <v>55</v>
      </c>
      <c r="I4219" s="2" t="s">
        <v>10403</v>
      </c>
      <c r="J4219" s="3" t="str">
        <f>HYPERLINK("https://www.boe.es/gazeta/dias/1809/01/17/pdfs/GMD-1809-17.pdf#page=2","Abrir facsímil")</f>
        <v>Abrir facsímil</v>
      </c>
      <c r="K4219" s="3" t="s">
        <v>57</v>
      </c>
    </row>
    <row r="4220" spans="1:11" ht="42" customHeight="1">
      <c r="A4220" s="2" t="s">
        <v>10402</v>
      </c>
      <c r="B4220" s="2" t="s">
        <v>10402</v>
      </c>
      <c r="C4220" s="2" t="s">
        <v>25</v>
      </c>
      <c r="D4220" s="2" t="s">
        <v>26</v>
      </c>
      <c r="E4220" s="3" t="s">
        <v>1053</v>
      </c>
      <c r="F4220" s="3" t="s">
        <v>1054</v>
      </c>
      <c r="G4220" s="3" t="s">
        <v>234</v>
      </c>
      <c r="H4220" s="2" t="s">
        <v>55</v>
      </c>
      <c r="I4220" s="2" t="s">
        <v>10404</v>
      </c>
      <c r="J4220" s="3" t="str">
        <f>HYPERLINK("https://www.boe.es/gazeta/dias/1809/05/13/pdfs/GMD-1809-133.pdf#page=2","Abrir facsímil")</f>
        <v>Abrir facsímil</v>
      </c>
      <c r="K4220" s="3" t="s">
        <v>57</v>
      </c>
    </row>
    <row r="4221" spans="1:11" ht="42" customHeight="1">
      <c r="A4221" s="2" t="s">
        <v>10402</v>
      </c>
      <c r="B4221" s="2" t="s">
        <v>10402</v>
      </c>
      <c r="C4221" s="2" t="s">
        <v>25</v>
      </c>
      <c r="D4221" s="2" t="s">
        <v>18</v>
      </c>
      <c r="E4221" s="3" t="s">
        <v>1648</v>
      </c>
      <c r="F4221" s="3" t="s">
        <v>1649</v>
      </c>
      <c r="G4221" s="3" t="s">
        <v>1935</v>
      </c>
      <c r="H4221" s="2" t="s">
        <v>55</v>
      </c>
      <c r="I4221" s="2" t="s">
        <v>10405</v>
      </c>
      <c r="J4221" s="3" t="str">
        <f>HYPERLINK("https://www.boe.es/gazeta/dias/1809/05/16/pdfs/GMD-1809-136.pdf#page=1","Abrir facsímil")</f>
        <v>Abrir facsímil</v>
      </c>
      <c r="K4221" s="3" t="s">
        <v>57</v>
      </c>
    </row>
    <row r="4222" spans="1:11" ht="42" customHeight="1">
      <c r="A4222" s="2" t="s">
        <v>10402</v>
      </c>
      <c r="B4222" s="2" t="s">
        <v>10402</v>
      </c>
      <c r="C4222" s="2" t="s">
        <v>25</v>
      </c>
      <c r="D4222" s="2" t="s">
        <v>26</v>
      </c>
      <c r="E4222" s="3" t="s">
        <v>5145</v>
      </c>
      <c r="F4222" s="3" t="s">
        <v>5146</v>
      </c>
      <c r="G4222" s="3" t="s">
        <v>1138</v>
      </c>
      <c r="H4222" s="2" t="s">
        <v>55</v>
      </c>
      <c r="I4222" s="2" t="s">
        <v>10406</v>
      </c>
      <c r="J4222" s="3" t="str">
        <f>HYPERLINK("https://www.boe.es/gazeta/dias/1809/06/22/pdfs/GMD-1809-173.pdf#page=1","Abrir facsímil")</f>
        <v>Abrir facsímil</v>
      </c>
      <c r="K4222" s="3" t="s">
        <v>57</v>
      </c>
    </row>
    <row r="4223" spans="1:11" ht="42" customHeight="1">
      <c r="A4223" s="2" t="s">
        <v>10402</v>
      </c>
      <c r="B4223" s="2" t="s">
        <v>10402</v>
      </c>
      <c r="C4223" s="2" t="s">
        <v>17</v>
      </c>
      <c r="D4223" s="2" t="s">
        <v>18</v>
      </c>
      <c r="E4223" s="3" t="s">
        <v>2742</v>
      </c>
      <c r="F4223" s="3" t="s">
        <v>2743</v>
      </c>
      <c r="G4223" s="3" t="s">
        <v>4184</v>
      </c>
      <c r="H4223" s="2" t="s">
        <v>55</v>
      </c>
      <c r="I4223" s="2" t="s">
        <v>10407</v>
      </c>
      <c r="J4223" s="3" t="str">
        <f>HYPERLINK("https://www.boe.es/gazeta/dias/1809/06/24/pdfs/GMD-1809-175.pdf#page=3","Abrir facsímil")</f>
        <v>Abrir facsímil</v>
      </c>
      <c r="K4223" s="3" t="s">
        <v>57</v>
      </c>
    </row>
    <row r="4224" spans="1:11" ht="42" customHeight="1">
      <c r="A4224" s="2" t="s">
        <v>10402</v>
      </c>
      <c r="B4224" s="2" t="s">
        <v>10402</v>
      </c>
      <c r="C4224" s="2" t="s">
        <v>25</v>
      </c>
      <c r="D4224" s="2" t="s">
        <v>18</v>
      </c>
      <c r="E4224" s="3" t="s">
        <v>1282</v>
      </c>
      <c r="F4224" s="3" t="s">
        <v>1743</v>
      </c>
      <c r="G4224" s="3" t="s">
        <v>2363</v>
      </c>
      <c r="H4224" s="2" t="s">
        <v>55</v>
      </c>
      <c r="I4224" s="2" t="s">
        <v>10408</v>
      </c>
      <c r="J4224" s="3" t="str">
        <f>HYPERLINK("https://www.boe.es/gazeta/dias/1809/06/26/pdfs/GMD-1809-177.pdf#page=1","Abrir facsímil")</f>
        <v>Abrir facsímil</v>
      </c>
      <c r="K4224" s="3" t="s">
        <v>57</v>
      </c>
    </row>
    <row r="4225" spans="1:11" ht="42" customHeight="1">
      <c r="A4225" s="2" t="s">
        <v>10402</v>
      </c>
      <c r="B4225" s="2" t="s">
        <v>10402</v>
      </c>
      <c r="C4225" s="2" t="s">
        <v>25</v>
      </c>
      <c r="D4225" s="2" t="s">
        <v>26</v>
      </c>
      <c r="E4225" s="3" t="s">
        <v>1285</v>
      </c>
      <c r="F4225" s="3" t="s">
        <v>1286</v>
      </c>
      <c r="G4225" s="3" t="s">
        <v>2745</v>
      </c>
      <c r="H4225" s="2" t="s">
        <v>55</v>
      </c>
      <c r="I4225" s="2" t="s">
        <v>10409</v>
      </c>
      <c r="J4225" s="3" t="str">
        <f>HYPERLINK("https://www.boe.es/gazeta/dias/1809/07/01/pdfs/GMD-1809-182.pdf#page=1","Abrir facsímil")</f>
        <v>Abrir facsímil</v>
      </c>
      <c r="K4225" s="3" t="s">
        <v>57</v>
      </c>
    </row>
    <row r="4226" spans="1:11" ht="42" customHeight="1">
      <c r="A4226" s="2" t="s">
        <v>10402</v>
      </c>
      <c r="B4226" s="2" t="s">
        <v>10402</v>
      </c>
      <c r="C4226" s="2" t="s">
        <v>47</v>
      </c>
      <c r="D4226" s="2" t="s">
        <v>18</v>
      </c>
      <c r="E4226" s="3" t="s">
        <v>1856</v>
      </c>
      <c r="F4226" s="3" t="s">
        <v>1857</v>
      </c>
      <c r="G4226" s="3" t="s">
        <v>9491</v>
      </c>
      <c r="H4226" s="2" t="s">
        <v>55</v>
      </c>
      <c r="I4226" s="2" t="s">
        <v>10410</v>
      </c>
      <c r="J4226" s="3" t="str">
        <f>HYPERLINK("https://www.boe.es/gazeta/dias/1809/07/12/pdfs/GMD-1809-193.pdf#page=2","Abrir facsímil")</f>
        <v>Abrir facsímil</v>
      </c>
      <c r="K4226" s="3" t="s">
        <v>57</v>
      </c>
    </row>
    <row r="4227" spans="1:11" ht="42" customHeight="1">
      <c r="A4227" s="2" t="s">
        <v>10402</v>
      </c>
      <c r="B4227" s="2" t="s">
        <v>10402</v>
      </c>
      <c r="C4227" s="2" t="s">
        <v>17</v>
      </c>
      <c r="D4227" s="2" t="s">
        <v>18</v>
      </c>
      <c r="E4227" s="3" t="s">
        <v>2051</v>
      </c>
      <c r="F4227" s="3" t="s">
        <v>2052</v>
      </c>
      <c r="G4227" s="3" t="s">
        <v>6247</v>
      </c>
      <c r="H4227" s="2" t="s">
        <v>55</v>
      </c>
      <c r="I4227" s="2" t="s">
        <v>10411</v>
      </c>
      <c r="J4227" s="3" t="str">
        <f>HYPERLINK("https://www.boe.es/gazeta/dias/1809/07/19/pdfs/GMD-1809-200.pdf#page=1","Abrir facsímil")</f>
        <v>Abrir facsímil</v>
      </c>
      <c r="K4227" s="3" t="s">
        <v>57</v>
      </c>
    </row>
    <row r="4228" spans="1:11" ht="42" customHeight="1">
      <c r="A4228" s="2" t="s">
        <v>10402</v>
      </c>
      <c r="B4228" s="2" t="s">
        <v>10402</v>
      </c>
      <c r="C4228" s="2" t="s">
        <v>17</v>
      </c>
      <c r="D4228" s="2" t="s">
        <v>18</v>
      </c>
      <c r="E4228" s="3" t="s">
        <v>2051</v>
      </c>
      <c r="F4228" s="3" t="s">
        <v>2052</v>
      </c>
      <c r="G4228" s="3" t="s">
        <v>75</v>
      </c>
      <c r="H4228" s="2" t="s">
        <v>55</v>
      </c>
      <c r="I4228" s="2" t="s">
        <v>10412</v>
      </c>
      <c r="J4228" s="3" t="str">
        <f>HYPERLINK("https://www.boe.es/gazeta/dias/1809/07/19/pdfs/GMD-1809-200.pdf#page=3","Abrir facsímil")</f>
        <v>Abrir facsímil</v>
      </c>
      <c r="K4228" s="3" t="s">
        <v>57</v>
      </c>
    </row>
    <row r="4229" spans="1:11" ht="42" customHeight="1">
      <c r="A4229" s="2" t="s">
        <v>10402</v>
      </c>
      <c r="B4229" s="2" t="s">
        <v>10402</v>
      </c>
      <c r="C4229" s="2" t="s">
        <v>17</v>
      </c>
      <c r="D4229" s="2" t="s">
        <v>18</v>
      </c>
      <c r="E4229" s="3" t="s">
        <v>10377</v>
      </c>
      <c r="F4229" s="3" t="s">
        <v>10378</v>
      </c>
      <c r="G4229" s="3" t="s">
        <v>62</v>
      </c>
      <c r="H4229" s="2" t="s">
        <v>55</v>
      </c>
      <c r="I4229" s="2" t="s">
        <v>10413</v>
      </c>
      <c r="J4229" s="3" t="str">
        <f>HYPERLINK("https://www.boe.es/gazeta/dias/1809/07/20/pdfs/GMD-1809-201.pdf#page=3","Abrir facsímil")</f>
        <v>Abrir facsímil</v>
      </c>
      <c r="K4229" s="3" t="s">
        <v>57</v>
      </c>
    </row>
    <row r="4230" spans="1:11" ht="42" customHeight="1">
      <c r="A4230" s="2" t="s">
        <v>10402</v>
      </c>
      <c r="B4230" s="2" t="s">
        <v>10402</v>
      </c>
      <c r="C4230" s="2" t="s">
        <v>25</v>
      </c>
      <c r="D4230" s="2" t="s">
        <v>26</v>
      </c>
      <c r="E4230" s="3" t="s">
        <v>3425</v>
      </c>
      <c r="F4230" s="3" t="s">
        <v>3426</v>
      </c>
      <c r="G4230" s="3" t="s">
        <v>6241</v>
      </c>
      <c r="H4230" s="2" t="s">
        <v>55</v>
      </c>
      <c r="I4230" s="2" t="s">
        <v>10414</v>
      </c>
      <c r="J4230" s="3" t="str">
        <f>HYPERLINK("https://www.boe.es/gazeta/dias/1809/07/23/pdfs/GMD-1809-204.pdf#page=1","Abrir facsímil")</f>
        <v>Abrir facsímil</v>
      </c>
      <c r="K4230" s="3" t="s">
        <v>57</v>
      </c>
    </row>
    <row r="4231" spans="1:11" ht="42" customHeight="1">
      <c r="A4231" s="2" t="s">
        <v>10402</v>
      </c>
      <c r="B4231" s="2" t="s">
        <v>10402</v>
      </c>
      <c r="C4231" s="2" t="s">
        <v>47</v>
      </c>
      <c r="D4231" s="2" t="s">
        <v>107</v>
      </c>
      <c r="E4231" s="3" t="s">
        <v>1481</v>
      </c>
      <c r="F4231" s="3" t="s">
        <v>1482</v>
      </c>
      <c r="G4231" s="3" t="s">
        <v>75</v>
      </c>
      <c r="H4231" s="2" t="s">
        <v>55</v>
      </c>
      <c r="I4231" s="2" t="s">
        <v>10415</v>
      </c>
      <c r="J4231" s="3" t="str">
        <f>HYPERLINK("https://www.boe.es/gazeta/dias/1809/08/02/pdfs/GMD-1809-215.pdf#page=2","Abrir facsímil")</f>
        <v>Abrir facsímil</v>
      </c>
      <c r="K4231" s="3" t="s">
        <v>57</v>
      </c>
    </row>
    <row r="4232" spans="1:11" ht="42" customHeight="1">
      <c r="A4232" s="2" t="s">
        <v>10402</v>
      </c>
      <c r="B4232" s="2" t="s">
        <v>10402</v>
      </c>
      <c r="C4232" s="2" t="s">
        <v>17</v>
      </c>
      <c r="D4232" s="2" t="s">
        <v>18</v>
      </c>
      <c r="E4232" s="3" t="s">
        <v>660</v>
      </c>
      <c r="F4232" s="3" t="s">
        <v>661</v>
      </c>
      <c r="G4232" s="3" t="s">
        <v>3028</v>
      </c>
      <c r="H4232" s="2" t="s">
        <v>55</v>
      </c>
      <c r="I4232" s="2" t="s">
        <v>10416</v>
      </c>
      <c r="J4232" s="3" t="str">
        <f>HYPERLINK("https://www.boe.es/gazeta/dias/1809/08/11/pdfs/GMD-1809-224.pdf#page=1","Abrir facsímil")</f>
        <v>Abrir facsímil</v>
      </c>
      <c r="K4232" s="3" t="s">
        <v>57</v>
      </c>
    </row>
    <row r="4233" spans="1:11" ht="42" customHeight="1">
      <c r="A4233" s="2" t="s">
        <v>10402</v>
      </c>
      <c r="B4233" s="2" t="s">
        <v>10402</v>
      </c>
      <c r="C4233" s="2" t="s">
        <v>25</v>
      </c>
      <c r="D4233" s="2" t="s">
        <v>26</v>
      </c>
      <c r="E4233" s="3" t="s">
        <v>445</v>
      </c>
      <c r="F4233" s="3" t="s">
        <v>446</v>
      </c>
      <c r="G4233" s="3" t="s">
        <v>62</v>
      </c>
      <c r="H4233" s="2" t="s">
        <v>55</v>
      </c>
      <c r="I4233" s="2" t="s">
        <v>10417</v>
      </c>
      <c r="J4233" s="3" t="str">
        <f>HYPERLINK("https://www.boe.es/gazeta/dias/1809/10/01/pdfs/GMD-1809-275.pdf#page=2","Abrir facsímil")</f>
        <v>Abrir facsímil</v>
      </c>
      <c r="K4233" s="3" t="s">
        <v>57</v>
      </c>
    </row>
    <row r="4234" spans="1:11" ht="42" customHeight="1">
      <c r="A4234" s="2" t="s">
        <v>10402</v>
      </c>
      <c r="B4234" s="2" t="s">
        <v>10402</v>
      </c>
      <c r="C4234" s="2" t="s">
        <v>17</v>
      </c>
      <c r="D4234" s="2" t="s">
        <v>18</v>
      </c>
      <c r="E4234" s="3" t="s">
        <v>6141</v>
      </c>
      <c r="F4234" s="3" t="s">
        <v>6142</v>
      </c>
      <c r="G4234" s="3" t="s">
        <v>154</v>
      </c>
      <c r="H4234" s="2" t="s">
        <v>55</v>
      </c>
      <c r="I4234" s="2" t="s">
        <v>10418</v>
      </c>
      <c r="J4234" s="3" t="str">
        <f>HYPERLINK("https://www.boe.es/gazeta/dias/1809/12/12/pdfs/GMD-1809-347.pdf#page=1","Abrir facsímil")</f>
        <v>Abrir facsímil</v>
      </c>
      <c r="K4234" s="3" t="s">
        <v>57</v>
      </c>
    </row>
    <row r="4235" spans="1:11" ht="42" customHeight="1">
      <c r="A4235" s="2" t="s">
        <v>10419</v>
      </c>
      <c r="B4235" s="2" t="s">
        <v>10419</v>
      </c>
      <c r="C4235" s="2" t="s">
        <v>25</v>
      </c>
      <c r="D4235" s="2" t="s">
        <v>26</v>
      </c>
      <c r="E4235" s="3" t="s">
        <v>1555</v>
      </c>
      <c r="F4235" s="3" t="s">
        <v>1556</v>
      </c>
      <c r="G4235" s="3" t="s">
        <v>3305</v>
      </c>
      <c r="H4235" s="2" t="s">
        <v>55</v>
      </c>
      <c r="I4235" s="2" t="s">
        <v>10420</v>
      </c>
      <c r="J4235" s="3" t="str">
        <f>HYPERLINK("https://www.boe.es/gazeta/dias/1809/06/29/pdfs/GMD-1809-180.pdf#page=1","Abrir facsímil")</f>
        <v>Abrir facsímil</v>
      </c>
      <c r="K4235" s="3" t="s">
        <v>57</v>
      </c>
    </row>
    <row r="4236" spans="1:11" ht="42" customHeight="1">
      <c r="A4236" s="2" t="s">
        <v>10421</v>
      </c>
      <c r="B4236" s="2" t="s">
        <v>10422</v>
      </c>
      <c r="C4236" s="2" t="s">
        <v>369</v>
      </c>
      <c r="D4236" s="2" t="s">
        <v>18</v>
      </c>
      <c r="E4236" s="3" t="s">
        <v>152</v>
      </c>
      <c r="F4236" s="3" t="s">
        <v>153</v>
      </c>
      <c r="G4236" s="3" t="s">
        <v>154</v>
      </c>
      <c r="H4236" s="2" t="s">
        <v>55</v>
      </c>
      <c r="I4236" s="2" t="s">
        <v>10423</v>
      </c>
      <c r="J4236" s="3" t="str">
        <f>HYPERLINK("https://www.boe.es/gazeta/dias/1809/08/26/pdfs/GGB-1809-112.pdf#page=6","Abrir facsímil")</f>
        <v>Abrir facsímil</v>
      </c>
      <c r="K4236" s="3" t="s">
        <v>57</v>
      </c>
    </row>
    <row r="4237" spans="1:11" ht="42" customHeight="1">
      <c r="A4237" s="2" t="s">
        <v>10424</v>
      </c>
      <c r="B4237" s="2" t="s">
        <v>10425</v>
      </c>
      <c r="C4237" s="2" t="s">
        <v>17</v>
      </c>
      <c r="D4237" s="2" t="s">
        <v>18</v>
      </c>
      <c r="E4237" s="3" t="s">
        <v>33</v>
      </c>
      <c r="F4237" s="3" t="s">
        <v>34</v>
      </c>
      <c r="G4237" s="3" t="s">
        <v>493</v>
      </c>
      <c r="H4237" s="2" t="s">
        <v>55</v>
      </c>
      <c r="I4237" s="2" t="s">
        <v>10426</v>
      </c>
      <c r="J4237" s="3" t="str">
        <f>HYPERLINK("https://www.boe.es/gazeta/dias/1809/12/19/pdfs/GGB-1809-602.pdf#page=6","Abrir facsímil")</f>
        <v>Abrir facsímil</v>
      </c>
      <c r="K4237" s="3" t="s">
        <v>57</v>
      </c>
    </row>
    <row r="4238" spans="1:11" ht="42" customHeight="1">
      <c r="A4238" s="2" t="s">
        <v>10427</v>
      </c>
      <c r="B4238" s="2" t="s">
        <v>10428</v>
      </c>
      <c r="C4238" s="2" t="s">
        <v>17</v>
      </c>
      <c r="D4238" s="2" t="s">
        <v>18</v>
      </c>
      <c r="E4238" s="3" t="s">
        <v>33</v>
      </c>
      <c r="F4238" s="3" t="s">
        <v>34</v>
      </c>
      <c r="G4238" s="3" t="s">
        <v>493</v>
      </c>
      <c r="H4238" s="2" t="s">
        <v>55</v>
      </c>
      <c r="I4238" s="2" t="s">
        <v>10429</v>
      </c>
      <c r="J4238" s="3" t="str">
        <f>HYPERLINK("https://www.boe.es/gazeta/dias/1809/12/19/pdfs/GGB-1809-602.pdf#page=6","Abrir facsímil")</f>
        <v>Abrir facsímil</v>
      </c>
      <c r="K4238" s="3" t="s">
        <v>57</v>
      </c>
    </row>
    <row r="4239" spans="1:11" ht="42" customHeight="1">
      <c r="A4239" s="2" t="s">
        <v>10430</v>
      </c>
      <c r="B4239" s="2" t="s">
        <v>10431</v>
      </c>
      <c r="C4239" s="2" t="s">
        <v>369</v>
      </c>
      <c r="D4239" s="2" t="s">
        <v>40</v>
      </c>
      <c r="E4239" s="3" t="s">
        <v>599</v>
      </c>
      <c r="F4239" s="3" t="s">
        <v>600</v>
      </c>
      <c r="G4239" s="3" t="s">
        <v>601</v>
      </c>
      <c r="H4239" s="2" t="s">
        <v>55</v>
      </c>
      <c r="I4239" s="2" t="s">
        <v>10432</v>
      </c>
      <c r="J4239" s="3" t="str">
        <f>HYPERLINK("https://www.boe.es/gazeta/dias/1809/01/19/pdfs/GMD-1809-19.pdf#page=4","Abrir facsímil")</f>
        <v>Abrir facsímil</v>
      </c>
      <c r="K4239" s="3" t="s">
        <v>57</v>
      </c>
    </row>
    <row r="4240" spans="1:11" ht="42" customHeight="1">
      <c r="A4240" s="2" t="s">
        <v>10433</v>
      </c>
      <c r="B4240" s="2" t="s">
        <v>10433</v>
      </c>
      <c r="C4240" s="2" t="s">
        <v>17</v>
      </c>
      <c r="D4240" s="2" t="s">
        <v>107</v>
      </c>
      <c r="E4240" s="3" t="s">
        <v>248</v>
      </c>
      <c r="F4240" s="3" t="s">
        <v>2399</v>
      </c>
      <c r="G4240" s="3" t="s">
        <v>4249</v>
      </c>
      <c r="H4240" s="2" t="s">
        <v>55</v>
      </c>
      <c r="I4240" s="2" t="s">
        <v>10434</v>
      </c>
      <c r="J4240" s="3" t="str">
        <f>HYPERLINK("https://www.boe.es/gazeta/dias/1809/07/26/pdfs/GMD-1809-207.pdf#page=1","Abrir facsímil")</f>
        <v>Abrir facsímil</v>
      </c>
      <c r="K4240" s="3" t="s">
        <v>57</v>
      </c>
    </row>
    <row r="4241" spans="1:11" ht="42" customHeight="1">
      <c r="A4241" s="2" t="s">
        <v>10435</v>
      </c>
      <c r="B4241" s="2" t="s">
        <v>10436</v>
      </c>
      <c r="C4241" s="2" t="s">
        <v>39</v>
      </c>
      <c r="D4241" s="2" t="s">
        <v>18</v>
      </c>
      <c r="E4241" s="3" t="s">
        <v>390</v>
      </c>
      <c r="F4241" s="3" t="s">
        <v>2858</v>
      </c>
      <c r="G4241" s="3" t="s">
        <v>110</v>
      </c>
      <c r="H4241" s="2" t="s">
        <v>55</v>
      </c>
      <c r="I4241" s="2" t="s">
        <v>10437</v>
      </c>
      <c r="J4241" s="3" t="str">
        <f>HYPERLINK("https://www.boe.es/gazeta/dias/1809/10/19/pdfs/GMD-1809-293.pdf#page=4","Abrir facsímil")</f>
        <v>Abrir facsímil</v>
      </c>
      <c r="K4241" s="3" t="s">
        <v>57</v>
      </c>
    </row>
    <row r="4242" spans="1:11" ht="42" customHeight="1">
      <c r="A4242" s="2" t="s">
        <v>10438</v>
      </c>
      <c r="B4242" s="2" t="s">
        <v>10439</v>
      </c>
      <c r="C4242" s="2" t="s">
        <v>17</v>
      </c>
      <c r="D4242" s="2" t="s">
        <v>18</v>
      </c>
      <c r="E4242" s="3" t="s">
        <v>609</v>
      </c>
      <c r="F4242" s="3" t="s">
        <v>610</v>
      </c>
      <c r="G4242" s="3" t="s">
        <v>239</v>
      </c>
      <c r="H4242" s="2" t="s">
        <v>55</v>
      </c>
      <c r="I4242" s="2" t="s">
        <v>10440</v>
      </c>
      <c r="J4242" s="3" t="str">
        <f>HYPERLINK("https://www.boe.es/gazeta/dias/1809/11/25/pdfs/GGB-1809-502.pdf#page=2","Abrir facsímil")</f>
        <v>Abrir facsímil</v>
      </c>
      <c r="K4242" s="3" t="s">
        <v>57</v>
      </c>
    </row>
    <row r="4243" spans="1:11" ht="42" customHeight="1">
      <c r="A4243" s="2" t="s">
        <v>10441</v>
      </c>
      <c r="B4243" s="2" t="s">
        <v>10442</v>
      </c>
      <c r="C4243" s="2" t="s">
        <v>131</v>
      </c>
      <c r="D4243" s="2" t="s">
        <v>18</v>
      </c>
      <c r="E4243" s="3" t="s">
        <v>712</v>
      </c>
      <c r="F4243" s="3" t="s">
        <v>713</v>
      </c>
      <c r="G4243" s="3" t="s">
        <v>120</v>
      </c>
      <c r="H4243" s="2" t="s">
        <v>55</v>
      </c>
      <c r="I4243" s="2" t="s">
        <v>10443</v>
      </c>
      <c r="J4243" s="3" t="str">
        <f>HYPERLINK("https://www.boe.es/gazeta/dias/1809/09/10/pdfs/GMD-1809-254.pdf#page=2","Abrir facsímil")</f>
        <v>Abrir facsímil</v>
      </c>
      <c r="K4243" s="3" t="s">
        <v>57</v>
      </c>
    </row>
    <row r="4244" spans="1:11" ht="42" customHeight="1">
      <c r="A4244" s="2" t="s">
        <v>10441</v>
      </c>
      <c r="B4244" s="2" t="s">
        <v>10442</v>
      </c>
      <c r="C4244" s="2" t="s">
        <v>79</v>
      </c>
      <c r="D4244" s="2" t="s">
        <v>18</v>
      </c>
      <c r="E4244" s="3" t="s">
        <v>327</v>
      </c>
      <c r="F4244" s="3" t="s">
        <v>328</v>
      </c>
      <c r="G4244" s="3" t="s">
        <v>329</v>
      </c>
      <c r="H4244" s="2" t="s">
        <v>55</v>
      </c>
      <c r="I4244" s="2" t="s">
        <v>10444</v>
      </c>
      <c r="J4244" s="3" t="str">
        <f>HYPERLINK("https://www.boe.es/gazeta/dias/1809/09/14/pdfs/GGB-1809-192.pdf#page=8","Abrir facsímil")</f>
        <v>Abrir facsímil</v>
      </c>
      <c r="K4244" s="3" t="s">
        <v>57</v>
      </c>
    </row>
    <row r="4245" spans="1:11" ht="42" customHeight="1">
      <c r="A4245" s="2" t="s">
        <v>10445</v>
      </c>
      <c r="B4245" s="2" t="s">
        <v>10446</v>
      </c>
      <c r="C4245" s="2" t="s">
        <v>17</v>
      </c>
      <c r="D4245" s="2" t="s">
        <v>18</v>
      </c>
      <c r="E4245" s="3" t="s">
        <v>621</v>
      </c>
      <c r="F4245" s="3" t="s">
        <v>622</v>
      </c>
      <c r="G4245" s="3" t="s">
        <v>595</v>
      </c>
      <c r="H4245" s="2" t="s">
        <v>55</v>
      </c>
      <c r="I4245" s="2" t="s">
        <v>10447</v>
      </c>
      <c r="J4245" s="3" t="str">
        <f>HYPERLINK("https://www.boe.es/gazeta/dias/1809/07/04/pdfs/GGB-1809-42.pdf#page=7","Abrir facsímil")</f>
        <v>Abrir facsímil</v>
      </c>
      <c r="K4245" s="3" t="s">
        <v>57</v>
      </c>
    </row>
    <row r="4246" spans="1:11" ht="42" customHeight="1">
      <c r="A4246" s="2" t="s">
        <v>10448</v>
      </c>
      <c r="B4246" s="2" t="s">
        <v>10449</v>
      </c>
      <c r="C4246" s="2" t="s">
        <v>17</v>
      </c>
      <c r="D4246" s="2" t="s">
        <v>18</v>
      </c>
      <c r="E4246" s="3" t="s">
        <v>33</v>
      </c>
      <c r="F4246" s="3" t="s">
        <v>34</v>
      </c>
      <c r="G4246" s="3" t="s">
        <v>493</v>
      </c>
      <c r="H4246" s="2" t="s">
        <v>55</v>
      </c>
      <c r="I4246" s="2" t="s">
        <v>10450</v>
      </c>
      <c r="J4246" s="3" t="str">
        <f>HYPERLINK("https://www.boe.es/gazeta/dias/1809/12/19/pdfs/GGB-1809-602.pdf#page=6","Abrir facsímil")</f>
        <v>Abrir facsímil</v>
      </c>
      <c r="K4246" s="3" t="s">
        <v>57</v>
      </c>
    </row>
    <row r="4247" spans="1:11" ht="42" customHeight="1">
      <c r="A4247" s="2" t="s">
        <v>10451</v>
      </c>
      <c r="B4247" s="2" t="s">
        <v>10452</v>
      </c>
      <c r="C4247" s="2" t="s">
        <v>25</v>
      </c>
      <c r="D4247" s="2" t="s">
        <v>18</v>
      </c>
      <c r="E4247" s="3" t="s">
        <v>5009</v>
      </c>
      <c r="F4247" s="3" t="s">
        <v>5010</v>
      </c>
      <c r="G4247" s="3" t="s">
        <v>239</v>
      </c>
      <c r="H4247" s="2" t="s">
        <v>55</v>
      </c>
      <c r="I4247" s="2" t="s">
        <v>10453</v>
      </c>
      <c r="J4247" s="3" t="str">
        <f>HYPERLINK("https://www.boe.es/gazeta/dias/1809/07/02/pdfs/GMD-1809-183.pdf#page=1","Abrir facsímil")</f>
        <v>Abrir facsímil</v>
      </c>
      <c r="K4247" s="3" t="s">
        <v>57</v>
      </c>
    </row>
    <row r="4248" spans="1:11" ht="42" customHeight="1">
      <c r="A4248" s="2" t="s">
        <v>10454</v>
      </c>
      <c r="B4248" s="2" t="s">
        <v>10454</v>
      </c>
      <c r="C4248" s="2" t="s">
        <v>131</v>
      </c>
      <c r="D4248" s="2" t="s">
        <v>107</v>
      </c>
      <c r="E4248" s="3" t="s">
        <v>458</v>
      </c>
      <c r="F4248" s="3" t="s">
        <v>459</v>
      </c>
      <c r="G4248" s="3" t="s">
        <v>129</v>
      </c>
      <c r="H4248" s="2" t="s">
        <v>55</v>
      </c>
      <c r="I4248" s="2" t="s">
        <v>10455</v>
      </c>
      <c r="J4248" s="3" t="str">
        <f>HYPERLINK("https://www.boe.es/gazeta/dias/1809/03/14/pdfs/GMD-1809-73.pdf#page=2","Abrir facsímil")</f>
        <v>Abrir facsímil</v>
      </c>
      <c r="K4248" s="3" t="s">
        <v>57</v>
      </c>
    </row>
    <row r="4249" spans="1:11" ht="42" customHeight="1">
      <c r="A4249" s="2" t="s">
        <v>10456</v>
      </c>
      <c r="B4249" s="2" t="s">
        <v>10457</v>
      </c>
      <c r="C4249" s="2" t="s">
        <v>47</v>
      </c>
      <c r="D4249" s="2" t="s">
        <v>18</v>
      </c>
      <c r="E4249" s="3" t="s">
        <v>248</v>
      </c>
      <c r="F4249" s="3" t="s">
        <v>2399</v>
      </c>
      <c r="G4249" s="3" t="s">
        <v>4249</v>
      </c>
      <c r="H4249" s="2" t="s">
        <v>55</v>
      </c>
      <c r="I4249" s="2" t="s">
        <v>10458</v>
      </c>
      <c r="J4249" s="3" t="str">
        <f>HYPERLINK("https://www.boe.es/gazeta/dias/1809/07/26/pdfs/GMD-1809-207.pdf#page=1","Abrir facsímil")</f>
        <v>Abrir facsímil</v>
      </c>
      <c r="K4249" s="3" t="s">
        <v>57</v>
      </c>
    </row>
    <row r="4250" spans="1:11" ht="42" customHeight="1">
      <c r="A4250" s="2" t="s">
        <v>10456</v>
      </c>
      <c r="B4250" s="2" t="s">
        <v>10457</v>
      </c>
      <c r="C4250" s="2" t="s">
        <v>25</v>
      </c>
      <c r="D4250" s="2" t="s">
        <v>18</v>
      </c>
      <c r="E4250" s="3" t="s">
        <v>445</v>
      </c>
      <c r="F4250" s="3" t="s">
        <v>446</v>
      </c>
      <c r="G4250" s="3" t="s">
        <v>62</v>
      </c>
      <c r="H4250" s="2" t="s">
        <v>55</v>
      </c>
      <c r="I4250" s="2" t="s">
        <v>10459</v>
      </c>
      <c r="J4250" s="3" t="str">
        <f>HYPERLINK("https://www.boe.es/gazeta/dias/1809/10/01/pdfs/GMD-1809-275.pdf#page=2","Abrir facsímil")</f>
        <v>Abrir facsímil</v>
      </c>
      <c r="K4250" s="3" t="s">
        <v>57</v>
      </c>
    </row>
    <row r="4251" spans="1:11" ht="42" customHeight="1">
      <c r="A4251" s="2" t="s">
        <v>10460</v>
      </c>
      <c r="B4251" s="2" t="s">
        <v>10461</v>
      </c>
      <c r="C4251" s="2" t="s">
        <v>25</v>
      </c>
      <c r="D4251" s="2" t="s">
        <v>40</v>
      </c>
      <c r="E4251" s="3" t="s">
        <v>248</v>
      </c>
      <c r="F4251" s="3" t="s">
        <v>2399</v>
      </c>
      <c r="G4251" s="3" t="s">
        <v>4249</v>
      </c>
      <c r="H4251" s="2" t="s">
        <v>55</v>
      </c>
      <c r="I4251" s="2" t="s">
        <v>10462</v>
      </c>
      <c r="J4251" s="3" t="str">
        <f>HYPERLINK("https://www.boe.es/gazeta/dias/1809/07/26/pdfs/GMD-1809-207.pdf#page=1","Abrir facsímil")</f>
        <v>Abrir facsímil</v>
      </c>
      <c r="K4251" s="3" t="s">
        <v>57</v>
      </c>
    </row>
    <row r="4252" spans="1:11" ht="42" customHeight="1">
      <c r="A4252" s="2" t="s">
        <v>10463</v>
      </c>
      <c r="B4252" s="2" t="s">
        <v>10463</v>
      </c>
      <c r="C4252" s="2" t="s">
        <v>25</v>
      </c>
      <c r="D4252" s="2" t="s">
        <v>26</v>
      </c>
      <c r="E4252" s="3" t="s">
        <v>1269</v>
      </c>
      <c r="F4252" s="3" t="s">
        <v>3272</v>
      </c>
      <c r="G4252" s="3" t="s">
        <v>89</v>
      </c>
      <c r="H4252" s="2" t="s">
        <v>55</v>
      </c>
      <c r="I4252" s="2" t="s">
        <v>10464</v>
      </c>
      <c r="J4252" s="3" t="str">
        <f>HYPERLINK("https://www.boe.es/gazeta/dias/1809/08/12/pdfs/GMD-1809-225.pdf#page=2","Abrir facsímil")</f>
        <v>Abrir facsímil</v>
      </c>
      <c r="K4252" s="3" t="s">
        <v>57</v>
      </c>
    </row>
    <row r="4253" spans="1:11" ht="42" customHeight="1">
      <c r="A4253" s="2" t="s">
        <v>10465</v>
      </c>
      <c r="B4253" s="2" t="s">
        <v>10465</v>
      </c>
      <c r="C4253" s="2" t="s">
        <v>25</v>
      </c>
      <c r="D4253" s="2" t="s">
        <v>18</v>
      </c>
      <c r="E4253" s="3" t="s">
        <v>904</v>
      </c>
      <c r="F4253" s="3" t="s">
        <v>2393</v>
      </c>
      <c r="G4253" s="3" t="s">
        <v>396</v>
      </c>
      <c r="H4253" s="2" t="s">
        <v>55</v>
      </c>
      <c r="I4253" s="2" t="s">
        <v>10466</v>
      </c>
      <c r="J4253" s="3" t="str">
        <f>HYPERLINK("https://www.boe.es/gazeta/dias/1809/07/07/pdfs/GMD-1809-188.pdf#page=2","Abrir facsímil")</f>
        <v>Abrir facsímil</v>
      </c>
      <c r="K4253" s="3" t="s">
        <v>57</v>
      </c>
    </row>
    <row r="4254" spans="1:11" ht="42" customHeight="1">
      <c r="A4254" s="2" t="s">
        <v>10467</v>
      </c>
      <c r="B4254" s="2" t="s">
        <v>10467</v>
      </c>
      <c r="C4254" s="2" t="s">
        <v>17</v>
      </c>
      <c r="D4254" s="2" t="s">
        <v>18</v>
      </c>
      <c r="E4254" s="3" t="s">
        <v>2595</v>
      </c>
      <c r="F4254" s="3" t="s">
        <v>2596</v>
      </c>
      <c r="G4254" s="3" t="s">
        <v>7301</v>
      </c>
      <c r="H4254" s="2" t="s">
        <v>55</v>
      </c>
      <c r="I4254" s="2" t="s">
        <v>10468</v>
      </c>
      <c r="J4254" s="3" t="str">
        <f>HYPERLINK("https://www.boe.es/gazeta/dias/1809/06/16/pdfs/GMD-1809-167.pdf#page=1","Abrir facsímil")</f>
        <v>Abrir facsímil</v>
      </c>
      <c r="K4254" s="3" t="s">
        <v>57</v>
      </c>
    </row>
    <row r="4255" spans="1:11" ht="42" customHeight="1">
      <c r="A4255" s="2" t="s">
        <v>10469</v>
      </c>
      <c r="B4255" s="2" t="s">
        <v>10469</v>
      </c>
      <c r="C4255" s="2" t="s">
        <v>17</v>
      </c>
      <c r="D4255" s="2" t="s">
        <v>18</v>
      </c>
      <c r="E4255" s="3" t="s">
        <v>5145</v>
      </c>
      <c r="F4255" s="3" t="s">
        <v>5146</v>
      </c>
      <c r="G4255" s="3" t="s">
        <v>1138</v>
      </c>
      <c r="H4255" s="2" t="s">
        <v>55</v>
      </c>
      <c r="I4255" s="2" t="s">
        <v>10470</v>
      </c>
      <c r="J4255" s="3" t="str">
        <f>HYPERLINK("https://www.boe.es/gazeta/dias/1809/06/22/pdfs/GMD-1809-173.pdf#page=1","Abrir facsímil")</f>
        <v>Abrir facsímil</v>
      </c>
      <c r="K4255" s="3" t="s">
        <v>57</v>
      </c>
    </row>
    <row r="4256" spans="1:11" ht="42" customHeight="1">
      <c r="A4256" s="2" t="s">
        <v>10469</v>
      </c>
      <c r="B4256" s="2" t="s">
        <v>10469</v>
      </c>
      <c r="C4256" s="2" t="s">
        <v>25</v>
      </c>
      <c r="D4256" s="2" t="s">
        <v>26</v>
      </c>
      <c r="E4256" s="3" t="s">
        <v>6243</v>
      </c>
      <c r="F4256" s="3" t="s">
        <v>6244</v>
      </c>
      <c r="G4256" s="3" t="s">
        <v>5805</v>
      </c>
      <c r="H4256" s="2" t="s">
        <v>55</v>
      </c>
      <c r="I4256" s="2" t="s">
        <v>10471</v>
      </c>
      <c r="J4256" s="3" t="str">
        <f>HYPERLINK("https://www.boe.es/gazeta/dias/1809/08/30/pdfs/GMD-1809-243.pdf#page=1","Abrir facsímil")</f>
        <v>Abrir facsímil</v>
      </c>
      <c r="K4256" s="3" t="s">
        <v>57</v>
      </c>
    </row>
    <row r="4257" spans="1:11" ht="42" customHeight="1">
      <c r="A4257" s="2" t="s">
        <v>10472</v>
      </c>
      <c r="B4257" s="2" t="s">
        <v>10472</v>
      </c>
      <c r="C4257" s="2" t="s">
        <v>25</v>
      </c>
      <c r="D4257" s="2" t="s">
        <v>26</v>
      </c>
      <c r="E4257" s="3" t="s">
        <v>621</v>
      </c>
      <c r="F4257" s="3" t="s">
        <v>622</v>
      </c>
      <c r="G4257" s="3" t="s">
        <v>62</v>
      </c>
      <c r="H4257" s="2" t="s">
        <v>55</v>
      </c>
      <c r="I4257" s="2" t="s">
        <v>10473</v>
      </c>
      <c r="J4257" s="3" t="str">
        <f>HYPERLINK("https://www.boe.es/gazeta/dias/1809/07/04/pdfs/GGB-1809-42.pdf#page=1","Abrir facsímil")</f>
        <v>Abrir facsímil</v>
      </c>
      <c r="K4257" s="3" t="s">
        <v>57</v>
      </c>
    </row>
    <row r="4258" spans="1:11" ht="42" customHeight="1">
      <c r="A4258" s="2" t="s">
        <v>10474</v>
      </c>
      <c r="B4258" s="2" t="s">
        <v>10475</v>
      </c>
      <c r="C4258" s="2" t="s">
        <v>39</v>
      </c>
      <c r="D4258" s="2" t="s">
        <v>18</v>
      </c>
      <c r="E4258" s="3" t="s">
        <v>3949</v>
      </c>
      <c r="F4258" s="3" t="s">
        <v>3950</v>
      </c>
      <c r="G4258" s="3" t="s">
        <v>3951</v>
      </c>
      <c r="H4258" s="2" t="s">
        <v>55</v>
      </c>
      <c r="I4258" s="2" t="s">
        <v>10476</v>
      </c>
      <c r="J4258" s="3" t="str">
        <f>HYPERLINK("https://www.boe.es/gazeta/dias/1809/09/09/pdfs/GGB-1809-172.pdf#page=8","Abrir facsímil")</f>
        <v>Abrir facsímil</v>
      </c>
      <c r="K4258" s="3" t="s">
        <v>57</v>
      </c>
    </row>
    <row r="4259" spans="1:11" ht="42" customHeight="1">
      <c r="A4259" s="2" t="s">
        <v>10477</v>
      </c>
      <c r="B4259" s="2" t="s">
        <v>10477</v>
      </c>
      <c r="C4259" s="2" t="s">
        <v>25</v>
      </c>
      <c r="D4259" s="2" t="s">
        <v>26</v>
      </c>
      <c r="E4259" s="3" t="s">
        <v>1481</v>
      </c>
      <c r="F4259" s="3" t="s">
        <v>1482</v>
      </c>
      <c r="G4259" s="3" t="s">
        <v>120</v>
      </c>
      <c r="H4259" s="2" t="s">
        <v>55</v>
      </c>
      <c r="I4259" s="2" t="s">
        <v>10478</v>
      </c>
      <c r="J4259" s="3" t="str">
        <f>HYPERLINK("https://www.boe.es/gazeta/dias/1809/08/02/pdfs/GMD-1809-215.pdf#page=1","Abrir facsímil")</f>
        <v>Abrir facsímil</v>
      </c>
      <c r="K4259" s="3" t="s">
        <v>57</v>
      </c>
    </row>
    <row r="4260" spans="1:11" ht="42" customHeight="1">
      <c r="A4260" s="2" t="s">
        <v>10479</v>
      </c>
      <c r="B4260" s="2" t="s">
        <v>10480</v>
      </c>
      <c r="C4260" s="2" t="s">
        <v>25</v>
      </c>
      <c r="D4260" s="2" t="s">
        <v>72</v>
      </c>
      <c r="E4260" s="3" t="s">
        <v>473</v>
      </c>
      <c r="F4260" s="3" t="s">
        <v>1199</v>
      </c>
      <c r="G4260" s="3" t="s">
        <v>75</v>
      </c>
      <c r="H4260" s="2" t="s">
        <v>55</v>
      </c>
      <c r="I4260" s="2" t="s">
        <v>10481</v>
      </c>
      <c r="J4260" s="3" t="str">
        <f>HYPERLINK("https://www.boe.es/gazeta/dias/1809/12/28/pdfs/GGB-H-1809-642.pdf#page=7","Abrir facsímil")</f>
        <v>Abrir facsímil</v>
      </c>
      <c r="K4260" s="3" t="s">
        <v>57</v>
      </c>
    </row>
    <row r="4261" spans="1:11" ht="42" customHeight="1">
      <c r="A4261" s="2" t="s">
        <v>10482</v>
      </c>
      <c r="B4261" s="2" t="s">
        <v>10483</v>
      </c>
      <c r="C4261" s="2" t="s">
        <v>25</v>
      </c>
      <c r="D4261" s="2" t="s">
        <v>26</v>
      </c>
      <c r="E4261" s="3" t="s">
        <v>143</v>
      </c>
      <c r="F4261" s="3" t="s">
        <v>705</v>
      </c>
      <c r="G4261" s="3" t="s">
        <v>110</v>
      </c>
      <c r="H4261" s="2" t="s">
        <v>55</v>
      </c>
      <c r="I4261" s="2" t="s">
        <v>10484</v>
      </c>
      <c r="J4261" s="3" t="str">
        <f>HYPERLINK("https://www.boe.es/gazeta/dias/1809/11/16/pdfs/GGB-H-1809-462.pdf#page=3","Abrir facsímil")</f>
        <v>Abrir facsímil</v>
      </c>
      <c r="K4261" s="3" t="s">
        <v>57</v>
      </c>
    </row>
    <row r="4262" spans="1:11" ht="42" customHeight="1">
      <c r="A4262" s="2" t="s">
        <v>10485</v>
      </c>
      <c r="B4262" s="2" t="s">
        <v>10485</v>
      </c>
      <c r="C4262" s="2" t="s">
        <v>25</v>
      </c>
      <c r="D4262" s="2" t="s">
        <v>26</v>
      </c>
      <c r="E4262" s="3" t="s">
        <v>1493</v>
      </c>
      <c r="F4262" s="3" t="s">
        <v>1494</v>
      </c>
      <c r="G4262" s="3" t="s">
        <v>1319</v>
      </c>
      <c r="H4262" s="2" t="s">
        <v>55</v>
      </c>
      <c r="I4262" s="2" t="s">
        <v>10486</v>
      </c>
      <c r="J4262" s="3" t="str">
        <f>HYPERLINK("https://www.boe.es/gazeta/dias/1809/08/25/pdfs/GMD-1809-238.pdf#page=1","Abrir facsímil")</f>
        <v>Abrir facsímil</v>
      </c>
      <c r="K4262" s="3" t="s">
        <v>57</v>
      </c>
    </row>
    <row r="4263" spans="1:11" ht="42" customHeight="1">
      <c r="A4263" s="2" t="s">
        <v>10487</v>
      </c>
      <c r="B4263" s="2" t="s">
        <v>10487</v>
      </c>
      <c r="C4263" s="2" t="s">
        <v>39</v>
      </c>
      <c r="D4263" s="2" t="s">
        <v>40</v>
      </c>
      <c r="E4263" s="3" t="s">
        <v>925</v>
      </c>
      <c r="F4263" s="3" t="s">
        <v>926</v>
      </c>
      <c r="G4263" s="3" t="s">
        <v>270</v>
      </c>
      <c r="H4263" s="2" t="s">
        <v>55</v>
      </c>
      <c r="I4263" s="2" t="s">
        <v>10488</v>
      </c>
      <c r="J4263" s="3" t="str">
        <f>HYPERLINK("https://www.boe.es/gazeta/dias/1809/01/11/pdfs/GGB-1809-2.pdf#page=5","Abrir facsímil")</f>
        <v>Abrir facsímil</v>
      </c>
      <c r="K4263" s="3" t="s">
        <v>57</v>
      </c>
    </row>
    <row r="4264" spans="1:11" ht="42" customHeight="1">
      <c r="A4264" s="2" t="s">
        <v>10489</v>
      </c>
      <c r="B4264" s="2" t="s">
        <v>10489</v>
      </c>
      <c r="C4264" s="2" t="s">
        <v>25</v>
      </c>
      <c r="D4264" s="2" t="s">
        <v>18</v>
      </c>
      <c r="E4264" s="3" t="s">
        <v>7139</v>
      </c>
      <c r="F4264" s="3" t="s">
        <v>7140</v>
      </c>
      <c r="G4264" s="3" t="s">
        <v>110</v>
      </c>
      <c r="H4264" s="2" t="s">
        <v>55</v>
      </c>
      <c r="I4264" s="2" t="s">
        <v>10490</v>
      </c>
      <c r="J4264" s="3" t="str">
        <f>HYPERLINK("https://www.boe.es/gazeta/dias/1809/01/24/pdfs/GMD-1809-24.pdf#page=2","Abrir facsímil")</f>
        <v>Abrir facsímil</v>
      </c>
      <c r="K4264" s="3" t="s">
        <v>57</v>
      </c>
    </row>
    <row r="4265" spans="1:11" ht="42" customHeight="1">
      <c r="A4265" s="2" t="s">
        <v>10489</v>
      </c>
      <c r="B4265" s="2" t="s">
        <v>10489</v>
      </c>
      <c r="C4265" s="2" t="s">
        <v>25</v>
      </c>
      <c r="D4265" s="2" t="s">
        <v>26</v>
      </c>
      <c r="E4265" s="3" t="s">
        <v>1514</v>
      </c>
      <c r="F4265" s="3" t="s">
        <v>1515</v>
      </c>
      <c r="G4265" s="3" t="s">
        <v>1516</v>
      </c>
      <c r="H4265" s="2" t="s">
        <v>55</v>
      </c>
      <c r="I4265" s="2" t="s">
        <v>10491</v>
      </c>
      <c r="J4265" s="3" t="str">
        <f>HYPERLINK("https://www.boe.es/gazeta/dias/1809/04/17/pdfs/GGB-G-1809-19.pdf#page=4","Abrir facsímil")</f>
        <v>Abrir facsímil</v>
      </c>
      <c r="K4265" s="3" t="s">
        <v>57</v>
      </c>
    </row>
    <row r="4266" spans="1:11" ht="42" customHeight="1">
      <c r="A4266" s="2" t="s">
        <v>10492</v>
      </c>
      <c r="B4266" s="2" t="s">
        <v>10493</v>
      </c>
      <c r="C4266" s="2" t="s">
        <v>25</v>
      </c>
      <c r="D4266" s="2" t="s">
        <v>72</v>
      </c>
      <c r="E4266" s="3" t="s">
        <v>1514</v>
      </c>
      <c r="F4266" s="3" t="s">
        <v>1515</v>
      </c>
      <c r="G4266" s="3" t="s">
        <v>239</v>
      </c>
      <c r="H4266" s="2" t="s">
        <v>22</v>
      </c>
      <c r="I4266" s="2" t="s">
        <v>10494</v>
      </c>
      <c r="J4266" s="3" t="str">
        <f>HYPERLINK("https://www.boe.es/gazeta/dias/1809/04/17/pdfs/GGB-G-1809-19.pdf#page=5","Abrir facsímil")</f>
        <v>Abrir facsímil</v>
      </c>
      <c r="K4266" s="3" t="s">
        <v>24</v>
      </c>
    </row>
    <row r="4267" spans="1:11" ht="42" customHeight="1">
      <c r="A4267" s="2" t="s">
        <v>10495</v>
      </c>
      <c r="B4267" s="2" t="s">
        <v>10496</v>
      </c>
      <c r="C4267" s="2" t="s">
        <v>25</v>
      </c>
      <c r="D4267" s="2" t="s">
        <v>26</v>
      </c>
      <c r="E4267" s="3" t="s">
        <v>108</v>
      </c>
      <c r="F4267" s="3" t="s">
        <v>109</v>
      </c>
      <c r="G4267" s="3" t="s">
        <v>110</v>
      </c>
      <c r="H4267" s="2" t="s">
        <v>55</v>
      </c>
      <c r="I4267" s="2" t="s">
        <v>10497</v>
      </c>
      <c r="J4267" s="3" t="str">
        <f>HYPERLINK("https://www.boe.es/gazeta/dias/1809/09/08/pdfs/GMD-1809-252.pdf#page=2","Abrir facsímil")</f>
        <v>Abrir facsímil</v>
      </c>
      <c r="K4267" s="3" t="s">
        <v>57</v>
      </c>
    </row>
    <row r="4268" spans="1:11" ht="42" customHeight="1">
      <c r="A4268" s="2" t="s">
        <v>10498</v>
      </c>
      <c r="B4268" s="2" t="s">
        <v>10498</v>
      </c>
      <c r="C4268" s="2" t="s">
        <v>25</v>
      </c>
      <c r="D4268" s="2" t="s">
        <v>26</v>
      </c>
      <c r="E4268" s="3" t="s">
        <v>4624</v>
      </c>
      <c r="F4268" s="3" t="s">
        <v>4625</v>
      </c>
      <c r="G4268" s="3" t="s">
        <v>270</v>
      </c>
      <c r="H4268" s="2" t="s">
        <v>55</v>
      </c>
      <c r="I4268" s="2" t="s">
        <v>10499</v>
      </c>
      <c r="J4268" s="3" t="str">
        <f>HYPERLINK("https://www.boe.es/gazeta/dias/1809/01/31/pdfs/GMD-1809-31.pdf#page=1","Abrir facsímil")</f>
        <v>Abrir facsímil</v>
      </c>
      <c r="K4268" s="3" t="s">
        <v>57</v>
      </c>
    </row>
    <row r="4269" spans="1:11" ht="42" customHeight="1">
      <c r="A4269" s="2" t="s">
        <v>10498</v>
      </c>
      <c r="B4269" s="2" t="s">
        <v>10498</v>
      </c>
      <c r="C4269" s="2" t="s">
        <v>17</v>
      </c>
      <c r="D4269" s="2" t="s">
        <v>72</v>
      </c>
      <c r="E4269" s="3" t="s">
        <v>2244</v>
      </c>
      <c r="F4269" s="3" t="s">
        <v>2871</v>
      </c>
      <c r="G4269" s="3" t="s">
        <v>2251</v>
      </c>
      <c r="H4269" s="2" t="s">
        <v>55</v>
      </c>
      <c r="I4269" s="2" t="s">
        <v>10500</v>
      </c>
      <c r="J4269" s="3" t="str">
        <f>HYPERLINK("https://www.boe.es/gazeta/dias/1809/03/27/pdfs/GGB-G-1809-13B.pdf#page=2","Abrir facsímil")</f>
        <v>Abrir facsímil</v>
      </c>
      <c r="K4269" s="3" t="s">
        <v>57</v>
      </c>
    </row>
    <row r="4270" spans="1:11" ht="42" customHeight="1">
      <c r="A4270" s="2" t="s">
        <v>10498</v>
      </c>
      <c r="B4270" s="2" t="s">
        <v>10498</v>
      </c>
      <c r="C4270" s="2" t="s">
        <v>17</v>
      </c>
      <c r="D4270" s="2" t="s">
        <v>18</v>
      </c>
      <c r="E4270" s="3" t="s">
        <v>3167</v>
      </c>
      <c r="F4270" s="3" t="s">
        <v>3168</v>
      </c>
      <c r="G4270" s="3" t="s">
        <v>239</v>
      </c>
      <c r="H4270" s="2" t="s">
        <v>55</v>
      </c>
      <c r="I4270" s="2" t="s">
        <v>10501</v>
      </c>
      <c r="J4270" s="3" t="str">
        <f>HYPERLINK("https://www.boe.es/gazeta/dias/1809/04/07/pdfs/GGB-1809-15.pdf#page=3","Abrir facsímil")</f>
        <v>Abrir facsímil</v>
      </c>
      <c r="K4270" s="3" t="s">
        <v>57</v>
      </c>
    </row>
    <row r="4271" spans="1:11" ht="42" customHeight="1">
      <c r="A4271" s="2" t="s">
        <v>10498</v>
      </c>
      <c r="B4271" s="2" t="s">
        <v>10498</v>
      </c>
      <c r="C4271" s="2" t="s">
        <v>25</v>
      </c>
      <c r="D4271" s="2" t="s">
        <v>26</v>
      </c>
      <c r="E4271" s="3" t="s">
        <v>2395</v>
      </c>
      <c r="F4271" s="3" t="s">
        <v>10502</v>
      </c>
      <c r="G4271" s="3" t="s">
        <v>525</v>
      </c>
      <c r="H4271" s="2" t="s">
        <v>55</v>
      </c>
      <c r="I4271" s="2" t="s">
        <v>10503</v>
      </c>
      <c r="J4271" s="3" t="str">
        <f>HYPERLINK("https://www.boe.es/gazeta/dias/1809/07/14/pdfs/GGB-1809-45E.pdf#page=1","Abrir facsímil")</f>
        <v>Abrir facsímil</v>
      </c>
      <c r="K4271" s="3" t="s">
        <v>57</v>
      </c>
    </row>
    <row r="4272" spans="1:11" ht="42" customHeight="1">
      <c r="A4272" s="2" t="s">
        <v>10498</v>
      </c>
      <c r="B4272" s="2" t="s">
        <v>10498</v>
      </c>
      <c r="C4272" s="2" t="s">
        <v>47</v>
      </c>
      <c r="D4272" s="2" t="s">
        <v>18</v>
      </c>
      <c r="E4272" s="3" t="s">
        <v>322</v>
      </c>
      <c r="F4272" s="3" t="s">
        <v>435</v>
      </c>
      <c r="G4272" s="3" t="s">
        <v>374</v>
      </c>
      <c r="H4272" s="2" t="s">
        <v>55</v>
      </c>
      <c r="I4272" s="2" t="s">
        <v>10504</v>
      </c>
      <c r="J4272" s="3" t="str">
        <f>HYPERLINK("https://www.boe.es/gazeta/dias/1809/07/21/pdfs/GGB-1809-47.pdf#page=4","Abrir facsímil")</f>
        <v>Abrir facsímil</v>
      </c>
      <c r="K4272" s="3" t="s">
        <v>57</v>
      </c>
    </row>
    <row r="4273" spans="1:11" ht="42" customHeight="1">
      <c r="A4273" s="2" t="s">
        <v>10505</v>
      </c>
      <c r="B4273" s="2" t="s">
        <v>10506</v>
      </c>
      <c r="C4273" s="2" t="s">
        <v>25</v>
      </c>
      <c r="D4273" s="2" t="s">
        <v>72</v>
      </c>
      <c r="E4273" s="3" t="s">
        <v>147</v>
      </c>
      <c r="F4273" s="3" t="s">
        <v>562</v>
      </c>
      <c r="G4273" s="3" t="s">
        <v>563</v>
      </c>
      <c r="H4273" s="2" t="s">
        <v>55</v>
      </c>
      <c r="I4273" s="2" t="s">
        <v>10507</v>
      </c>
      <c r="J4273" s="3" t="str">
        <f>HYPERLINK("https://www.boe.es/gazeta/dias/1809/10/07/pdfs/GGB-H-1809-292.pdf#page=8","Abrir facsímil")</f>
        <v>Abrir facsímil</v>
      </c>
      <c r="K4273" s="3" t="s">
        <v>57</v>
      </c>
    </row>
    <row r="4274" spans="1:11" ht="42" customHeight="1">
      <c r="A4274" s="2" t="s">
        <v>10508</v>
      </c>
      <c r="B4274" s="2" t="s">
        <v>10508</v>
      </c>
      <c r="C4274" s="2" t="s">
        <v>17</v>
      </c>
      <c r="D4274" s="2" t="s">
        <v>18</v>
      </c>
      <c r="E4274" s="3" t="s">
        <v>1141</v>
      </c>
      <c r="F4274" s="3" t="s">
        <v>1142</v>
      </c>
      <c r="G4274" s="3" t="s">
        <v>129</v>
      </c>
      <c r="H4274" s="2" t="s">
        <v>55</v>
      </c>
      <c r="I4274" s="2" t="s">
        <v>10509</v>
      </c>
      <c r="J4274" s="3" t="str">
        <f>HYPERLINK("https://www.boe.es/gazeta/dias/1809/03/02/pdfs/GMD-1809-61.pdf#page=2","Abrir facsímil")</f>
        <v>Abrir facsímil</v>
      </c>
      <c r="K4274" s="3" t="s">
        <v>57</v>
      </c>
    </row>
    <row r="4275" spans="1:11" ht="42" customHeight="1">
      <c r="A4275" s="2" t="s">
        <v>10510</v>
      </c>
      <c r="B4275" s="2" t="s">
        <v>10510</v>
      </c>
      <c r="C4275" s="2" t="s">
        <v>47</v>
      </c>
      <c r="D4275" s="2" t="s">
        <v>107</v>
      </c>
      <c r="E4275" s="3" t="s">
        <v>421</v>
      </c>
      <c r="F4275" s="3" t="s">
        <v>422</v>
      </c>
      <c r="G4275" s="3" t="s">
        <v>129</v>
      </c>
      <c r="H4275" s="2" t="s">
        <v>55</v>
      </c>
      <c r="I4275" s="2" t="s">
        <v>10511</v>
      </c>
      <c r="J4275" s="3" t="str">
        <f>HYPERLINK("https://www.boe.es/gazeta/dias/1809/04/28/pdfs/GMD-1809-118.pdf#page=2","Abrir facsímil")</f>
        <v>Abrir facsímil</v>
      </c>
      <c r="K4275" s="3" t="s">
        <v>57</v>
      </c>
    </row>
    <row r="4276" spans="1:11" ht="42" customHeight="1">
      <c r="A4276" s="2" t="s">
        <v>10512</v>
      </c>
      <c r="B4276" s="2" t="s">
        <v>10513</v>
      </c>
      <c r="C4276" s="2" t="s">
        <v>25</v>
      </c>
      <c r="D4276" s="2" t="s">
        <v>26</v>
      </c>
      <c r="E4276" s="3" t="s">
        <v>482</v>
      </c>
      <c r="F4276" s="3" t="s">
        <v>483</v>
      </c>
      <c r="G4276" s="3" t="s">
        <v>484</v>
      </c>
      <c r="H4276" s="2" t="s">
        <v>55</v>
      </c>
      <c r="I4276" s="2" t="s">
        <v>10514</v>
      </c>
      <c r="J4276" s="3" t="str">
        <f>HYPERLINK("https://www.boe.es/gazeta/dias/1809/06/15/pdfs/GMD-1809-166.pdf#page=3","Abrir facsímil")</f>
        <v>Abrir facsímil</v>
      </c>
      <c r="K4276" s="3" t="s">
        <v>57</v>
      </c>
    </row>
    <row r="4277" spans="1:11" ht="42" customHeight="1">
      <c r="A4277" s="2" t="s">
        <v>10515</v>
      </c>
      <c r="B4277" s="2" t="s">
        <v>10515</v>
      </c>
      <c r="C4277" s="2" t="s">
        <v>25</v>
      </c>
      <c r="D4277" s="2" t="s">
        <v>26</v>
      </c>
      <c r="E4277" s="3" t="s">
        <v>347</v>
      </c>
      <c r="F4277" s="3" t="s">
        <v>348</v>
      </c>
      <c r="G4277" s="3" t="s">
        <v>129</v>
      </c>
      <c r="H4277" s="2" t="s">
        <v>55</v>
      </c>
      <c r="I4277" s="2" t="s">
        <v>10516</v>
      </c>
      <c r="J4277" s="3" t="str">
        <f>HYPERLINK("https://www.boe.es/gazeta/dias/1809/03/07/pdfs/GMD-1809-66.pdf#page=2","Abrir facsímil")</f>
        <v>Abrir facsímil</v>
      </c>
      <c r="K4277" s="3" t="s">
        <v>57</v>
      </c>
    </row>
    <row r="4278" spans="1:11" ht="42" customHeight="1">
      <c r="A4278" s="2" t="s">
        <v>10517</v>
      </c>
      <c r="B4278" s="2" t="s">
        <v>10517</v>
      </c>
      <c r="C4278" s="2" t="s">
        <v>17</v>
      </c>
      <c r="D4278" s="2" t="s">
        <v>18</v>
      </c>
      <c r="E4278" s="3" t="s">
        <v>616</v>
      </c>
      <c r="F4278" s="3" t="s">
        <v>617</v>
      </c>
      <c r="G4278" s="3" t="s">
        <v>75</v>
      </c>
      <c r="H4278" s="2" t="s">
        <v>55</v>
      </c>
      <c r="I4278" s="2" t="s">
        <v>10518</v>
      </c>
      <c r="J4278" s="3" t="str">
        <f>HYPERLINK("https://www.boe.es/gazeta/dias/1809/10/15/pdfs/GMD-1809-289.pdf#page=2","Abrir facsímil")</f>
        <v>Abrir facsímil</v>
      </c>
      <c r="K4278" s="3" t="s">
        <v>57</v>
      </c>
    </row>
    <row r="4279" spans="1:11" ht="42" customHeight="1">
      <c r="A4279" s="2" t="s">
        <v>10519</v>
      </c>
      <c r="B4279" s="2" t="s">
        <v>10519</v>
      </c>
      <c r="C4279" s="2" t="s">
        <v>131</v>
      </c>
      <c r="D4279" s="2" t="s">
        <v>26</v>
      </c>
      <c r="E4279" s="3" t="s">
        <v>1687</v>
      </c>
      <c r="F4279" s="3" t="s">
        <v>1688</v>
      </c>
      <c r="G4279" s="3" t="s">
        <v>10520</v>
      </c>
      <c r="H4279" s="2" t="s">
        <v>55</v>
      </c>
      <c r="I4279" s="2" t="s">
        <v>10521</v>
      </c>
      <c r="J4279" s="3" t="str">
        <f>HYPERLINK("https://www.boe.es/gazeta/dias/1809/02/25/pdfs/GMD-1809-56.pdf#page=2","Abrir facsímil")</f>
        <v>Abrir facsímil</v>
      </c>
      <c r="K4279" s="3" t="s">
        <v>57</v>
      </c>
    </row>
    <row r="4280" spans="1:11" ht="42" customHeight="1">
      <c r="A4280" s="2" t="s">
        <v>10519</v>
      </c>
      <c r="B4280" s="2" t="s">
        <v>10519</v>
      </c>
      <c r="C4280" s="2" t="s">
        <v>25</v>
      </c>
      <c r="D4280" s="2" t="s">
        <v>18</v>
      </c>
      <c r="E4280" s="3" t="s">
        <v>2111</v>
      </c>
      <c r="F4280" s="3" t="s">
        <v>2112</v>
      </c>
      <c r="G4280" s="3" t="s">
        <v>154</v>
      </c>
      <c r="H4280" s="2" t="s">
        <v>55</v>
      </c>
      <c r="I4280" s="2" t="s">
        <v>10522</v>
      </c>
      <c r="J4280" s="3" t="str">
        <f>HYPERLINK("https://www.boe.es/gazeta/dias/1809/03/05/pdfs/GMD-1809-64.pdf#page=2","Abrir facsímil")</f>
        <v>Abrir facsímil</v>
      </c>
      <c r="K4280" s="3" t="s">
        <v>57</v>
      </c>
    </row>
    <row r="4281" spans="1:11" ht="42" customHeight="1">
      <c r="A4281" s="2" t="s">
        <v>10519</v>
      </c>
      <c r="B4281" s="2" t="s">
        <v>10519</v>
      </c>
      <c r="C4281" s="2" t="s">
        <v>25</v>
      </c>
      <c r="D4281" s="2" t="s">
        <v>18</v>
      </c>
      <c r="E4281" s="3" t="s">
        <v>2142</v>
      </c>
      <c r="F4281" s="3" t="s">
        <v>2143</v>
      </c>
      <c r="G4281" s="3" t="s">
        <v>270</v>
      </c>
      <c r="H4281" s="2" t="s">
        <v>55</v>
      </c>
      <c r="I4281" s="2" t="s">
        <v>10523</v>
      </c>
      <c r="J4281" s="3" t="str">
        <f>HYPERLINK("https://www.boe.es/gazeta/dias/1809/03/16/pdfs/GMD-1809-75.pdf#page=1","Abrir facsímil")</f>
        <v>Abrir facsímil</v>
      </c>
      <c r="K4281" s="3" t="s">
        <v>57</v>
      </c>
    </row>
    <row r="4282" spans="1:11" ht="42" customHeight="1">
      <c r="A4282" s="2" t="s">
        <v>10519</v>
      </c>
      <c r="B4282" s="2" t="s">
        <v>10519</v>
      </c>
      <c r="C4282" s="2" t="s">
        <v>17</v>
      </c>
      <c r="D4282" s="2" t="s">
        <v>18</v>
      </c>
      <c r="E4282" s="3" t="s">
        <v>3258</v>
      </c>
      <c r="F4282" s="3" t="s">
        <v>3259</v>
      </c>
      <c r="G4282" s="3" t="s">
        <v>10524</v>
      </c>
      <c r="H4282" s="2" t="s">
        <v>55</v>
      </c>
      <c r="I4282" s="2" t="s">
        <v>10525</v>
      </c>
      <c r="J4282" s="3" t="str">
        <f>HYPERLINK("https://www.boe.es/gazeta/dias/1809/04/03/pdfs/GMD-1809-93.pdf#page=1","Abrir facsímil")</f>
        <v>Abrir facsímil</v>
      </c>
      <c r="K4282" s="3" t="s">
        <v>57</v>
      </c>
    </row>
    <row r="4283" spans="1:11" ht="42" customHeight="1">
      <c r="A4283" s="2" t="s">
        <v>10519</v>
      </c>
      <c r="B4283" s="2" t="s">
        <v>10519</v>
      </c>
      <c r="C4283" s="2" t="s">
        <v>25</v>
      </c>
      <c r="D4283" s="2" t="s">
        <v>26</v>
      </c>
      <c r="E4283" s="3" t="s">
        <v>508</v>
      </c>
      <c r="F4283" s="3" t="s">
        <v>509</v>
      </c>
      <c r="G4283" s="3" t="s">
        <v>1138</v>
      </c>
      <c r="H4283" s="2" t="s">
        <v>55</v>
      </c>
      <c r="I4283" s="2" t="s">
        <v>10526</v>
      </c>
      <c r="J4283" s="3" t="str">
        <f>HYPERLINK("https://www.boe.es/gazeta/dias/1809/06/21/pdfs/GMD-1809-172.pdf#page=2","Abrir facsímil")</f>
        <v>Abrir facsímil</v>
      </c>
      <c r="K4283" s="3" t="s">
        <v>57</v>
      </c>
    </row>
    <row r="4284" spans="1:11" ht="42" customHeight="1">
      <c r="A4284" s="2" t="s">
        <v>10519</v>
      </c>
      <c r="B4284" s="2" t="s">
        <v>10519</v>
      </c>
      <c r="C4284" s="2" t="s">
        <v>25</v>
      </c>
      <c r="D4284" s="2" t="s">
        <v>18</v>
      </c>
      <c r="E4284" s="3" t="s">
        <v>3425</v>
      </c>
      <c r="F4284" s="3" t="s">
        <v>3426</v>
      </c>
      <c r="G4284" s="3" t="s">
        <v>6241</v>
      </c>
      <c r="H4284" s="2" t="s">
        <v>55</v>
      </c>
      <c r="I4284" s="2" t="s">
        <v>10527</v>
      </c>
      <c r="J4284" s="3" t="str">
        <f>HYPERLINK("https://www.boe.es/gazeta/dias/1809/07/23/pdfs/GMD-1809-204.pdf#page=1","Abrir facsímil")</f>
        <v>Abrir facsímil</v>
      </c>
      <c r="K4284" s="3" t="s">
        <v>57</v>
      </c>
    </row>
    <row r="4285" spans="1:11" ht="42" customHeight="1">
      <c r="A4285" s="2" t="s">
        <v>10519</v>
      </c>
      <c r="B4285" s="2" t="s">
        <v>10519</v>
      </c>
      <c r="C4285" s="2" t="s">
        <v>25</v>
      </c>
      <c r="D4285" s="2" t="s">
        <v>18</v>
      </c>
      <c r="E4285" s="3" t="s">
        <v>616</v>
      </c>
      <c r="F4285" s="3" t="s">
        <v>617</v>
      </c>
      <c r="G4285" s="3" t="s">
        <v>75</v>
      </c>
      <c r="H4285" s="2" t="s">
        <v>55</v>
      </c>
      <c r="I4285" s="2" t="s">
        <v>10528</v>
      </c>
      <c r="J4285" s="3" t="str">
        <f>HYPERLINK("https://www.boe.es/gazeta/dias/1809/10/15/pdfs/GMD-1809-289.pdf#page=2","Abrir facsímil")</f>
        <v>Abrir facsímil</v>
      </c>
      <c r="K4285" s="3" t="s">
        <v>57</v>
      </c>
    </row>
    <row r="4286" spans="1:11" ht="42" customHeight="1">
      <c r="A4286" s="2" t="s">
        <v>10519</v>
      </c>
      <c r="B4286" s="2" t="s">
        <v>10519</v>
      </c>
      <c r="C4286" s="2" t="s">
        <v>25</v>
      </c>
      <c r="D4286" s="2" t="s">
        <v>26</v>
      </c>
      <c r="E4286" s="3" t="s">
        <v>3308</v>
      </c>
      <c r="F4286" s="3" t="s">
        <v>3309</v>
      </c>
      <c r="G4286" s="3" t="s">
        <v>120</v>
      </c>
      <c r="H4286" s="2" t="s">
        <v>55</v>
      </c>
      <c r="I4286" s="2" t="s">
        <v>10529</v>
      </c>
      <c r="J4286" s="3" t="str">
        <f>HYPERLINK("https://www.boe.es/gazeta/dias/1809/10/16/pdfs/GMD-1809-290.pdf#page=1","Abrir facsímil")</f>
        <v>Abrir facsímil</v>
      </c>
      <c r="K4286" s="3" t="s">
        <v>57</v>
      </c>
    </row>
    <row r="4287" spans="1:11" ht="42" customHeight="1">
      <c r="A4287" s="2" t="s">
        <v>10519</v>
      </c>
      <c r="B4287" s="2" t="s">
        <v>10519</v>
      </c>
      <c r="C4287" s="2" t="s">
        <v>79</v>
      </c>
      <c r="D4287" s="2" t="s">
        <v>26</v>
      </c>
      <c r="E4287" s="3" t="s">
        <v>1761</v>
      </c>
      <c r="F4287" s="3" t="s">
        <v>1762</v>
      </c>
      <c r="G4287" s="3" t="s">
        <v>234</v>
      </c>
      <c r="H4287" s="2" t="s">
        <v>55</v>
      </c>
      <c r="I4287" s="2" t="s">
        <v>10530</v>
      </c>
      <c r="J4287" s="3" t="str">
        <f>HYPERLINK("https://www.boe.es/gazeta/dias/1809/10/18/pdfs/GMD-1809-292.pdf#page=1","Abrir facsímil")</f>
        <v>Abrir facsímil</v>
      </c>
      <c r="K4287" s="3" t="s">
        <v>57</v>
      </c>
    </row>
    <row r="4288" spans="1:11" ht="42" customHeight="1">
      <c r="A4288" s="2" t="s">
        <v>10519</v>
      </c>
      <c r="B4288" s="2" t="s">
        <v>10519</v>
      </c>
      <c r="C4288" s="2" t="s">
        <v>25</v>
      </c>
      <c r="D4288" s="2" t="s">
        <v>26</v>
      </c>
      <c r="E4288" s="3" t="s">
        <v>974</v>
      </c>
      <c r="F4288" s="3" t="s">
        <v>7968</v>
      </c>
      <c r="G4288" s="3" t="s">
        <v>1874</v>
      </c>
      <c r="H4288" s="2" t="s">
        <v>55</v>
      </c>
      <c r="I4288" s="2" t="s">
        <v>10531</v>
      </c>
      <c r="J4288" s="3" t="str">
        <f>HYPERLINK("https://www.boe.es/gazeta/dias/1809/11/14/pdfs/GMD-1809-319.pdf#page=1","Abrir facsímil")</f>
        <v>Abrir facsímil</v>
      </c>
      <c r="K4288" s="3" t="s">
        <v>57</v>
      </c>
    </row>
    <row r="4289" spans="1:11" ht="42" customHeight="1">
      <c r="A4289" s="2" t="s">
        <v>10532</v>
      </c>
      <c r="B4289" s="2" t="s">
        <v>10532</v>
      </c>
      <c r="C4289" s="2" t="s">
        <v>25</v>
      </c>
      <c r="D4289" s="2" t="s">
        <v>26</v>
      </c>
      <c r="E4289" s="3" t="s">
        <v>53</v>
      </c>
      <c r="F4289" s="3" t="s">
        <v>1456</v>
      </c>
      <c r="G4289" s="3" t="s">
        <v>1152</v>
      </c>
      <c r="H4289" s="2" t="s">
        <v>55</v>
      </c>
      <c r="I4289" s="2" t="s">
        <v>10533</v>
      </c>
      <c r="J4289" s="3" t="str">
        <f>HYPERLINK("https://www.boe.es/gazeta/dias/1809/03/03/pdfs/GGB-G-1809-10.pdf#page=3","Abrir facsímil")</f>
        <v>Abrir facsímil</v>
      </c>
      <c r="K4289" s="3" t="s">
        <v>57</v>
      </c>
    </row>
    <row r="4290" spans="1:11" ht="42" customHeight="1">
      <c r="A4290" s="2" t="s">
        <v>10534</v>
      </c>
      <c r="B4290" s="2" t="s">
        <v>10534</v>
      </c>
      <c r="C4290" s="2" t="s">
        <v>25</v>
      </c>
      <c r="D4290" s="2" t="s">
        <v>26</v>
      </c>
      <c r="E4290" s="3" t="s">
        <v>904</v>
      </c>
      <c r="F4290" s="3" t="s">
        <v>2393</v>
      </c>
      <c r="G4290" s="3" t="s">
        <v>154</v>
      </c>
      <c r="H4290" s="2" t="s">
        <v>55</v>
      </c>
      <c r="I4290" s="2" t="s">
        <v>10535</v>
      </c>
      <c r="J4290" s="3" t="str">
        <f>HYPERLINK("https://www.boe.es/gazeta/dias/1809/07/07/pdfs/GMD-1809-188.pdf#page=1","Abrir facsímil")</f>
        <v>Abrir facsímil</v>
      </c>
      <c r="K4290" s="3" t="s">
        <v>57</v>
      </c>
    </row>
    <row r="4291" spans="1:11" ht="42" customHeight="1">
      <c r="A4291" s="2" t="s">
        <v>10536</v>
      </c>
      <c r="B4291" s="2" t="s">
        <v>10536</v>
      </c>
      <c r="C4291" s="2" t="s">
        <v>17</v>
      </c>
      <c r="D4291" s="2" t="s">
        <v>18</v>
      </c>
      <c r="E4291" s="3" t="s">
        <v>925</v>
      </c>
      <c r="F4291" s="3" t="s">
        <v>1451</v>
      </c>
      <c r="G4291" s="3" t="s">
        <v>239</v>
      </c>
      <c r="H4291" s="2" t="s">
        <v>55</v>
      </c>
      <c r="I4291" s="2" t="s">
        <v>10537</v>
      </c>
      <c r="J4291" s="3" t="str">
        <f>HYPERLINK("https://www.boe.es/gazeta/dias/1809/01/11/pdfs/GMD-1809-11.pdf#page=4","Abrir facsímil")</f>
        <v>Abrir facsímil</v>
      </c>
      <c r="K4291" s="3" t="s">
        <v>57</v>
      </c>
    </row>
    <row r="4292" spans="1:11" ht="42" customHeight="1">
      <c r="A4292" s="2" t="s">
        <v>10538</v>
      </c>
      <c r="B4292" s="2" t="s">
        <v>10539</v>
      </c>
      <c r="C4292" s="2" t="s">
        <v>17</v>
      </c>
      <c r="D4292" s="2" t="s">
        <v>72</v>
      </c>
      <c r="E4292" s="3" t="s">
        <v>163</v>
      </c>
      <c r="F4292" s="3" t="s">
        <v>164</v>
      </c>
      <c r="G4292" s="3" t="s">
        <v>21</v>
      </c>
      <c r="H4292" s="2" t="s">
        <v>55</v>
      </c>
      <c r="I4292" s="2" t="s">
        <v>10540</v>
      </c>
      <c r="J4292" s="3" t="str">
        <f>HYPERLINK("https://www.boe.es/gazeta/dias/1809/03/10/pdfs/GGB-H-1809-11.pdf#page=8","Abrir facsímil")</f>
        <v>Abrir facsímil</v>
      </c>
      <c r="K4292" s="3" t="s">
        <v>57</v>
      </c>
    </row>
    <row r="4293" spans="1:11" ht="42" customHeight="1">
      <c r="A4293" s="2" t="s">
        <v>10541</v>
      </c>
      <c r="B4293" s="2" t="s">
        <v>10542</v>
      </c>
      <c r="C4293" s="2" t="s">
        <v>25</v>
      </c>
      <c r="D4293" s="2" t="s">
        <v>26</v>
      </c>
      <c r="E4293" s="3" t="s">
        <v>108</v>
      </c>
      <c r="F4293" s="3" t="s">
        <v>109</v>
      </c>
      <c r="G4293" s="3" t="s">
        <v>110</v>
      </c>
      <c r="H4293" s="2" t="s">
        <v>55</v>
      </c>
      <c r="I4293" s="2" t="s">
        <v>10543</v>
      </c>
      <c r="J4293" s="3" t="str">
        <f>HYPERLINK("https://www.boe.es/gazeta/dias/1809/09/08/pdfs/GMD-1809-252.pdf#page=2","Abrir facsímil")</f>
        <v>Abrir facsímil</v>
      </c>
      <c r="K4293" s="3" t="s">
        <v>57</v>
      </c>
    </row>
    <row r="4294" spans="1:11" ht="42" customHeight="1">
      <c r="A4294" s="2" t="s">
        <v>10544</v>
      </c>
      <c r="B4294" s="2" t="s">
        <v>10545</v>
      </c>
      <c r="C4294" s="2" t="s">
        <v>17</v>
      </c>
      <c r="D4294" s="2" t="s">
        <v>18</v>
      </c>
      <c r="E4294" s="3" t="s">
        <v>33</v>
      </c>
      <c r="F4294" s="3" t="s">
        <v>34</v>
      </c>
      <c r="G4294" s="3" t="s">
        <v>493</v>
      </c>
      <c r="H4294" s="2" t="s">
        <v>55</v>
      </c>
      <c r="I4294" s="2" t="s">
        <v>10546</v>
      </c>
      <c r="J4294" s="3" t="str">
        <f>HYPERLINK("https://www.boe.es/gazeta/dias/1809/12/19/pdfs/GGB-1809-602.pdf#page=6","Abrir facsímil")</f>
        <v>Abrir facsímil</v>
      </c>
      <c r="K4294" s="3" t="s">
        <v>57</v>
      </c>
    </row>
    <row r="4295" spans="1:11" ht="42" customHeight="1">
      <c r="A4295" s="2" t="s">
        <v>10547</v>
      </c>
      <c r="B4295" s="2" t="s">
        <v>10548</v>
      </c>
      <c r="C4295" s="2" t="s">
        <v>25</v>
      </c>
      <c r="D4295" s="2" t="s">
        <v>72</v>
      </c>
      <c r="E4295" s="3" t="s">
        <v>473</v>
      </c>
      <c r="F4295" s="3" t="s">
        <v>1199</v>
      </c>
      <c r="G4295" s="3" t="s">
        <v>75</v>
      </c>
      <c r="H4295" s="2" t="s">
        <v>55</v>
      </c>
      <c r="I4295" s="2" t="s">
        <v>10549</v>
      </c>
      <c r="J4295" s="3" t="str">
        <f>HYPERLINK("https://www.boe.es/gazeta/dias/1809/12/28/pdfs/GGB-H-1809-642.pdf#page=7","Abrir facsímil")</f>
        <v>Abrir facsímil</v>
      </c>
      <c r="K4295" s="3" t="s">
        <v>57</v>
      </c>
    </row>
    <row r="4296" spans="1:11" ht="42" customHeight="1">
      <c r="A4296" s="2" t="s">
        <v>10550</v>
      </c>
      <c r="B4296" s="2" t="s">
        <v>10551</v>
      </c>
      <c r="C4296" s="2" t="s">
        <v>369</v>
      </c>
      <c r="D4296" s="2" t="s">
        <v>72</v>
      </c>
      <c r="E4296" s="3" t="s">
        <v>1640</v>
      </c>
      <c r="F4296" s="3" t="s">
        <v>1641</v>
      </c>
      <c r="G4296" s="3" t="s">
        <v>225</v>
      </c>
      <c r="H4296" s="2" t="s">
        <v>55</v>
      </c>
      <c r="I4296" s="2" t="s">
        <v>10552</v>
      </c>
      <c r="J4296" s="3" t="str">
        <f>HYPERLINK("https://www.boe.es/gazeta/dias/1809/01/06/pdfs/GGB-G-1809-1.pdf#page=4","Abrir facsímil")</f>
        <v>Abrir facsímil</v>
      </c>
      <c r="K4296" s="3" t="s">
        <v>57</v>
      </c>
    </row>
    <row r="4297" spans="1:11" ht="42" customHeight="1">
      <c r="A4297" s="2" t="s">
        <v>10550</v>
      </c>
      <c r="B4297" s="2" t="s">
        <v>10551</v>
      </c>
      <c r="C4297" s="2" t="s">
        <v>369</v>
      </c>
      <c r="D4297" s="2" t="s">
        <v>72</v>
      </c>
      <c r="E4297" s="3" t="s">
        <v>1123</v>
      </c>
      <c r="F4297" s="3" t="s">
        <v>1641</v>
      </c>
      <c r="G4297" s="3" t="s">
        <v>225</v>
      </c>
      <c r="H4297" s="2" t="s">
        <v>55</v>
      </c>
      <c r="I4297" s="2" t="s">
        <v>10552</v>
      </c>
      <c r="J4297" s="3" t="str">
        <f>HYPERLINK("https://www.boe.es/gazeta/dias/1809/01/08/pdfs/GGB-G-1809-1.pdf#page=4","Abrir facsímil")</f>
        <v>Abrir facsímil</v>
      </c>
      <c r="K4297" s="3" t="s">
        <v>57</v>
      </c>
    </row>
    <row r="4298" spans="1:11" ht="42" customHeight="1">
      <c r="A4298" s="2" t="s">
        <v>10553</v>
      </c>
      <c r="B4298" s="2" t="s">
        <v>10553</v>
      </c>
      <c r="C4298" s="2" t="s">
        <v>17</v>
      </c>
      <c r="D4298" s="2" t="s">
        <v>72</v>
      </c>
      <c r="E4298" s="3" t="s">
        <v>394</v>
      </c>
      <c r="F4298" s="3" t="s">
        <v>395</v>
      </c>
      <c r="G4298" s="3" t="s">
        <v>75</v>
      </c>
      <c r="H4298" s="2" t="s">
        <v>55</v>
      </c>
      <c r="I4298" s="2" t="s">
        <v>10554</v>
      </c>
      <c r="J4298" s="3" t="str">
        <f>HYPERLINK("https://www.boe.es/gazeta/dias/1809/12/14/pdfs/GGB-H-1809-582.pdf#page=3","Abrir facsímil")</f>
        <v>Abrir facsímil</v>
      </c>
      <c r="K4298" s="3" t="s">
        <v>57</v>
      </c>
    </row>
    <row r="4299" spans="1:11" ht="42" customHeight="1">
      <c r="A4299" s="2" t="s">
        <v>10555</v>
      </c>
      <c r="B4299" s="2" t="s">
        <v>10556</v>
      </c>
      <c r="C4299" s="2" t="s">
        <v>25</v>
      </c>
      <c r="D4299" s="2" t="s">
        <v>72</v>
      </c>
      <c r="E4299" s="3" t="s">
        <v>394</v>
      </c>
      <c r="F4299" s="3" t="s">
        <v>395</v>
      </c>
      <c r="G4299" s="3" t="s">
        <v>94</v>
      </c>
      <c r="H4299" s="2" t="s">
        <v>55</v>
      </c>
      <c r="I4299" s="2" t="s">
        <v>10557</v>
      </c>
      <c r="J4299" s="3" t="str">
        <f>HYPERLINK("https://www.boe.es/gazeta/dias/1809/12/14/pdfs/GGB-H-1809-582.pdf#page=5","Abrir facsímil")</f>
        <v>Abrir facsímil</v>
      </c>
      <c r="K4299" s="3" t="s">
        <v>57</v>
      </c>
    </row>
    <row r="4300" spans="1:11" ht="42" customHeight="1">
      <c r="A4300" s="2" t="s">
        <v>10558</v>
      </c>
      <c r="B4300" s="2" t="s">
        <v>10558</v>
      </c>
      <c r="C4300" s="2" t="s">
        <v>17</v>
      </c>
      <c r="D4300" s="2" t="s">
        <v>72</v>
      </c>
      <c r="E4300" s="3" t="s">
        <v>3714</v>
      </c>
      <c r="F4300" s="3" t="s">
        <v>10559</v>
      </c>
      <c r="G4300" s="3" t="s">
        <v>120</v>
      </c>
      <c r="H4300" s="2" t="s">
        <v>55</v>
      </c>
      <c r="I4300" s="2" t="s">
        <v>10560</v>
      </c>
      <c r="J4300" s="3" t="str">
        <f>HYPERLINK("https://www.boe.es/gazeta/dias/1809/12/07/pdfs/GMD-E-1809-342.pdf#page=2","Abrir facsímil")</f>
        <v>Abrir facsímil</v>
      </c>
      <c r="K4300" s="3" t="s">
        <v>57</v>
      </c>
    </row>
    <row r="4301" spans="1:11" ht="42" customHeight="1">
      <c r="A4301" s="2" t="s">
        <v>10561</v>
      </c>
      <c r="B4301" s="2" t="s">
        <v>10562</v>
      </c>
      <c r="C4301" s="2" t="s">
        <v>131</v>
      </c>
      <c r="D4301" s="2" t="s">
        <v>18</v>
      </c>
      <c r="E4301" s="3" t="s">
        <v>258</v>
      </c>
      <c r="F4301" s="3" t="s">
        <v>910</v>
      </c>
      <c r="G4301" s="3" t="s">
        <v>21</v>
      </c>
      <c r="H4301" s="2" t="s">
        <v>55</v>
      </c>
      <c r="I4301" s="2" t="s">
        <v>10563</v>
      </c>
      <c r="J4301" s="3" t="str">
        <f>HYPERLINK("https://www.boe.es/gazeta/dias/1809/03/17/pdfs/GGB-1809-12.pdf#page=8","Abrir facsímil")</f>
        <v>Abrir facsímil</v>
      </c>
      <c r="K4301" s="3" t="s">
        <v>57</v>
      </c>
    </row>
    <row r="4302" spans="1:11" ht="42" customHeight="1">
      <c r="A4302" s="2" t="s">
        <v>10564</v>
      </c>
      <c r="B4302" s="2" t="s">
        <v>10565</v>
      </c>
      <c r="C4302" s="2" t="s">
        <v>25</v>
      </c>
      <c r="D4302" s="2" t="s">
        <v>80</v>
      </c>
      <c r="E4302" s="3" t="s">
        <v>81</v>
      </c>
      <c r="F4302" s="3" t="s">
        <v>82</v>
      </c>
      <c r="G4302" s="3" t="s">
        <v>120</v>
      </c>
      <c r="H4302" s="2" t="s">
        <v>55</v>
      </c>
      <c r="I4302" s="2" t="s">
        <v>10566</v>
      </c>
      <c r="J4302" s="3" t="str">
        <f>HYPERLINK("https://www.boe.es/gazeta/dias/1809/04/11/pdfs/GGB-1809-16E.pdf#page=5","Abrir facsímil")</f>
        <v>Abrir facsímil</v>
      </c>
      <c r="K4302" s="3" t="s">
        <v>57</v>
      </c>
    </row>
    <row r="4303" spans="1:11" ht="42" customHeight="1">
      <c r="A4303" s="2" t="s">
        <v>10567</v>
      </c>
      <c r="B4303" s="2" t="s">
        <v>10568</v>
      </c>
      <c r="C4303" s="2" t="s">
        <v>17</v>
      </c>
      <c r="D4303" s="2" t="s">
        <v>18</v>
      </c>
      <c r="E4303" s="3" t="s">
        <v>33</v>
      </c>
      <c r="F4303" s="3" t="s">
        <v>34</v>
      </c>
      <c r="G4303" s="3" t="s">
        <v>493</v>
      </c>
      <c r="H4303" s="2" t="s">
        <v>55</v>
      </c>
      <c r="I4303" s="2" t="s">
        <v>10569</v>
      </c>
      <c r="J4303" s="3" t="str">
        <f>HYPERLINK("https://www.boe.es/gazeta/dias/1809/12/19/pdfs/GGB-1809-602.pdf#page=6","Abrir facsímil")</f>
        <v>Abrir facsímil</v>
      </c>
      <c r="K4303" s="3" t="s">
        <v>57</v>
      </c>
    </row>
    <row r="4304" spans="1:11" ht="42" customHeight="1">
      <c r="A4304" s="2" t="s">
        <v>10570</v>
      </c>
      <c r="B4304" s="2" t="s">
        <v>10570</v>
      </c>
      <c r="C4304" s="2" t="s">
        <v>25</v>
      </c>
      <c r="D4304" s="2" t="s">
        <v>18</v>
      </c>
      <c r="E4304" s="3" t="s">
        <v>243</v>
      </c>
      <c r="F4304" s="3" t="s">
        <v>352</v>
      </c>
      <c r="G4304" s="3" t="s">
        <v>353</v>
      </c>
      <c r="H4304" s="2" t="s">
        <v>55</v>
      </c>
      <c r="I4304" s="2" t="s">
        <v>10571</v>
      </c>
      <c r="J4304" s="3" t="str">
        <f>HYPERLINK("https://www.boe.es/gazeta/dias/1809/02/17/pdfs/GMD-1809-48.pdf#page=3","Abrir facsímil")</f>
        <v>Abrir facsímil</v>
      </c>
      <c r="K4304" s="3" t="s">
        <v>57</v>
      </c>
    </row>
    <row r="4305" spans="1:11" ht="42" customHeight="1">
      <c r="A4305" s="2" t="s">
        <v>10572</v>
      </c>
      <c r="B4305" s="2" t="s">
        <v>10572</v>
      </c>
      <c r="C4305" s="2" t="s">
        <v>17</v>
      </c>
      <c r="D4305" s="2" t="s">
        <v>72</v>
      </c>
      <c r="E4305" s="3" t="s">
        <v>2818</v>
      </c>
      <c r="F4305" s="3" t="s">
        <v>4265</v>
      </c>
      <c r="G4305" s="3" t="s">
        <v>668</v>
      </c>
      <c r="H4305" s="2" t="s">
        <v>55</v>
      </c>
      <c r="I4305" s="2" t="s">
        <v>10573</v>
      </c>
      <c r="J4305" s="3" t="str">
        <f>HYPERLINK("https://www.boe.es/gazeta/dias/1809/02/03/pdfs/GGB-G-1809-6.pdf#page=10","Abrir facsímil")</f>
        <v>Abrir facsímil</v>
      </c>
      <c r="K4305" s="3" t="s">
        <v>57</v>
      </c>
    </row>
    <row r="4306" spans="1:11" ht="42" customHeight="1">
      <c r="A4306" s="2" t="s">
        <v>10574</v>
      </c>
      <c r="B4306" s="2" t="s">
        <v>10575</v>
      </c>
      <c r="C4306" s="2" t="s">
        <v>17</v>
      </c>
      <c r="D4306" s="2" t="s">
        <v>72</v>
      </c>
      <c r="E4306" s="3" t="s">
        <v>243</v>
      </c>
      <c r="F4306" s="3" t="s">
        <v>244</v>
      </c>
      <c r="G4306" s="3" t="s">
        <v>582</v>
      </c>
      <c r="H4306" s="2" t="s">
        <v>55</v>
      </c>
      <c r="I4306" s="2" t="s">
        <v>10576</v>
      </c>
      <c r="J4306" s="3" t="str">
        <f>HYPERLINK("https://www.boe.es/gazeta/dias/1809/02/17/pdfs/GGB-G-1809-8.pdf#page=7","Abrir facsímil")</f>
        <v>Abrir facsímil</v>
      </c>
      <c r="K4306" s="3" t="s">
        <v>57</v>
      </c>
    </row>
    <row r="4307" spans="1:11" ht="42" customHeight="1">
      <c r="A4307" s="2" t="s">
        <v>10577</v>
      </c>
      <c r="B4307" s="2" t="s">
        <v>10578</v>
      </c>
      <c r="C4307" s="2" t="s">
        <v>17</v>
      </c>
      <c r="D4307" s="2" t="s">
        <v>18</v>
      </c>
      <c r="E4307" s="3" t="s">
        <v>33</v>
      </c>
      <c r="F4307" s="3" t="s">
        <v>34</v>
      </c>
      <c r="G4307" s="3" t="s">
        <v>595</v>
      </c>
      <c r="H4307" s="2" t="s">
        <v>55</v>
      </c>
      <c r="I4307" s="2" t="s">
        <v>10579</v>
      </c>
      <c r="J4307" s="3" t="str">
        <f>HYPERLINK("https://www.boe.es/gazeta/dias/1809/12/19/pdfs/GGB-1809-602.pdf#page=7","Abrir facsímil")</f>
        <v>Abrir facsímil</v>
      </c>
      <c r="K4307" s="3" t="s">
        <v>57</v>
      </c>
    </row>
    <row r="4308" spans="1:11" ht="42" customHeight="1">
      <c r="A4308" s="2" t="s">
        <v>10580</v>
      </c>
      <c r="B4308" s="2" t="s">
        <v>10581</v>
      </c>
      <c r="C4308" s="2" t="s">
        <v>17</v>
      </c>
      <c r="D4308" s="2" t="s">
        <v>18</v>
      </c>
      <c r="E4308" s="3" t="s">
        <v>567</v>
      </c>
      <c r="F4308" s="3" t="s">
        <v>568</v>
      </c>
      <c r="G4308" s="3" t="s">
        <v>569</v>
      </c>
      <c r="H4308" s="2" t="s">
        <v>55</v>
      </c>
      <c r="I4308" s="2" t="s">
        <v>10582</v>
      </c>
      <c r="J4308" s="3" t="str">
        <f>HYPERLINK("https://www.boe.es/gazeta/dias/1809/06/03/pdfs/GMD-1809-154.pdf#page=3","Abrir facsímil")</f>
        <v>Abrir facsímil</v>
      </c>
      <c r="K4308" s="3" t="s">
        <v>57</v>
      </c>
    </row>
    <row r="4309" spans="1:11" ht="42" customHeight="1">
      <c r="A4309" s="2" t="s">
        <v>10583</v>
      </c>
      <c r="B4309" s="2" t="s">
        <v>10584</v>
      </c>
      <c r="C4309" s="2" t="s">
        <v>17</v>
      </c>
      <c r="D4309" s="2" t="s">
        <v>72</v>
      </c>
      <c r="E4309" s="3" t="s">
        <v>243</v>
      </c>
      <c r="F4309" s="3" t="s">
        <v>244</v>
      </c>
      <c r="G4309" s="3" t="s">
        <v>110</v>
      </c>
      <c r="H4309" s="2" t="s">
        <v>55</v>
      </c>
      <c r="I4309" s="2" t="s">
        <v>10585</v>
      </c>
      <c r="J4309" s="3" t="str">
        <f>HYPERLINK("https://www.boe.es/gazeta/dias/1809/02/17/pdfs/GGB-G-1809-8.pdf#page=5","Abrir facsímil")</f>
        <v>Abrir facsímil</v>
      </c>
      <c r="K4309" s="3" t="s">
        <v>57</v>
      </c>
    </row>
    <row r="4310" spans="1:11" ht="42" customHeight="1">
      <c r="A4310" s="2" t="s">
        <v>10586</v>
      </c>
      <c r="B4310" s="2" t="s">
        <v>10587</v>
      </c>
      <c r="C4310" s="2" t="s">
        <v>17</v>
      </c>
      <c r="D4310" s="2" t="s">
        <v>72</v>
      </c>
      <c r="E4310" s="3" t="s">
        <v>243</v>
      </c>
      <c r="F4310" s="3" t="s">
        <v>244</v>
      </c>
      <c r="G4310" s="3" t="s">
        <v>582</v>
      </c>
      <c r="H4310" s="2" t="s">
        <v>55</v>
      </c>
      <c r="I4310" s="2" t="s">
        <v>10588</v>
      </c>
      <c r="J4310" s="3" t="str">
        <f>HYPERLINK("https://www.boe.es/gazeta/dias/1809/02/17/pdfs/GGB-G-1809-8.pdf#page=7","Abrir facsímil")</f>
        <v>Abrir facsímil</v>
      </c>
      <c r="K4310" s="3" t="s">
        <v>57</v>
      </c>
    </row>
    <row r="4311" spans="1:11" ht="42" customHeight="1">
      <c r="A4311" s="2" t="s">
        <v>10589</v>
      </c>
      <c r="B4311" s="2" t="s">
        <v>10590</v>
      </c>
      <c r="C4311" s="2" t="s">
        <v>17</v>
      </c>
      <c r="D4311" s="2" t="s">
        <v>18</v>
      </c>
      <c r="E4311" s="3" t="s">
        <v>33</v>
      </c>
      <c r="F4311" s="3" t="s">
        <v>34</v>
      </c>
      <c r="G4311" s="3" t="s">
        <v>493</v>
      </c>
      <c r="H4311" s="2" t="s">
        <v>55</v>
      </c>
      <c r="I4311" s="2" t="s">
        <v>10591</v>
      </c>
      <c r="J4311" s="3" t="str">
        <f>HYPERLINK("https://www.boe.es/gazeta/dias/1809/12/19/pdfs/GGB-1809-602.pdf#page=6","Abrir facsímil")</f>
        <v>Abrir facsímil</v>
      </c>
      <c r="K4311" s="3" t="s">
        <v>57</v>
      </c>
    </row>
    <row r="4312" spans="1:11" ht="42" customHeight="1">
      <c r="A4312" s="2" t="s">
        <v>10592</v>
      </c>
      <c r="B4312" s="2" t="s">
        <v>10593</v>
      </c>
      <c r="C4312" s="2" t="s">
        <v>17</v>
      </c>
      <c r="D4312" s="2" t="s">
        <v>18</v>
      </c>
      <c r="E4312" s="3" t="s">
        <v>33</v>
      </c>
      <c r="F4312" s="3" t="s">
        <v>34</v>
      </c>
      <c r="G4312" s="3" t="s">
        <v>493</v>
      </c>
      <c r="H4312" s="2" t="s">
        <v>55</v>
      </c>
      <c r="I4312" s="2" t="s">
        <v>10594</v>
      </c>
      <c r="J4312" s="3" t="str">
        <f>HYPERLINK("https://www.boe.es/gazeta/dias/1809/12/19/pdfs/GGB-1809-602.pdf#page=6","Abrir facsímil")</f>
        <v>Abrir facsímil</v>
      </c>
      <c r="K4312" s="3" t="s">
        <v>57</v>
      </c>
    </row>
    <row r="4313" spans="1:11" ht="42" customHeight="1">
      <c r="A4313" s="2" t="s">
        <v>10595</v>
      </c>
      <c r="B4313" s="2" t="s">
        <v>10596</v>
      </c>
      <c r="C4313" s="2" t="s">
        <v>17</v>
      </c>
      <c r="D4313" s="2" t="s">
        <v>72</v>
      </c>
      <c r="E4313" s="3" t="s">
        <v>243</v>
      </c>
      <c r="F4313" s="3" t="s">
        <v>244</v>
      </c>
      <c r="G4313" s="3" t="s">
        <v>29</v>
      </c>
      <c r="H4313" s="2" t="s">
        <v>55</v>
      </c>
      <c r="I4313" s="2" t="s">
        <v>10597</v>
      </c>
      <c r="J4313" s="3" t="str">
        <f>HYPERLINK("https://www.boe.es/gazeta/dias/1809/02/17/pdfs/GGB-G-1809-8.pdf#page=3","Abrir facsímil")</f>
        <v>Abrir facsímil</v>
      </c>
      <c r="K4313" s="3" t="s">
        <v>57</v>
      </c>
    </row>
    <row r="4314" spans="1:11" ht="42" customHeight="1">
      <c r="A4314" s="2" t="s">
        <v>10598</v>
      </c>
      <c r="B4314" s="2" t="s">
        <v>10599</v>
      </c>
      <c r="C4314" s="2" t="s">
        <v>369</v>
      </c>
      <c r="D4314" s="2" t="s">
        <v>72</v>
      </c>
      <c r="E4314" s="3" t="s">
        <v>92</v>
      </c>
      <c r="F4314" s="3" t="s">
        <v>93</v>
      </c>
      <c r="G4314" s="3" t="s">
        <v>75</v>
      </c>
      <c r="H4314" s="2" t="s">
        <v>55</v>
      </c>
      <c r="I4314" s="2" t="s">
        <v>10600</v>
      </c>
      <c r="J4314" s="3" t="str">
        <f>HYPERLINK("https://www.boe.es/gazeta/dias/1809/05/22/pdfs/GGB-G-1809-30.pdf#page=8","Abrir facsímil")</f>
        <v>Abrir facsímil</v>
      </c>
      <c r="K4314" s="3" t="s">
        <v>57</v>
      </c>
    </row>
    <row r="4315" spans="1:11" ht="42" customHeight="1">
      <c r="A4315" s="2" t="s">
        <v>10601</v>
      </c>
      <c r="B4315" s="2" t="s">
        <v>10602</v>
      </c>
      <c r="C4315" s="2" t="s">
        <v>17</v>
      </c>
      <c r="D4315" s="2" t="s">
        <v>18</v>
      </c>
      <c r="E4315" s="3" t="s">
        <v>1396</v>
      </c>
      <c r="F4315" s="3" t="s">
        <v>1397</v>
      </c>
      <c r="G4315" s="3" t="s">
        <v>1398</v>
      </c>
      <c r="H4315" s="2" t="s">
        <v>55</v>
      </c>
      <c r="I4315" s="2" t="s">
        <v>10603</v>
      </c>
      <c r="J4315" s="3" t="str">
        <f>HYPERLINK("https://www.boe.es/gazeta/dias/1809/11/28/pdfs/GGB-1809-512.pdf#page=7","Abrir facsímil")</f>
        <v>Abrir facsímil</v>
      </c>
      <c r="K4315" s="3" t="s">
        <v>57</v>
      </c>
    </row>
    <row r="4316" spans="1:11" ht="42" customHeight="1">
      <c r="A4316" s="2" t="s">
        <v>10604</v>
      </c>
      <c r="B4316" s="2" t="s">
        <v>10605</v>
      </c>
      <c r="C4316" s="2" t="s">
        <v>17</v>
      </c>
      <c r="D4316" s="2" t="s">
        <v>18</v>
      </c>
      <c r="E4316" s="3" t="s">
        <v>1603</v>
      </c>
      <c r="F4316" s="3" t="s">
        <v>1604</v>
      </c>
      <c r="G4316" s="3" t="s">
        <v>270</v>
      </c>
      <c r="H4316" s="2" t="s">
        <v>55</v>
      </c>
      <c r="I4316" s="2" t="s">
        <v>10606</v>
      </c>
      <c r="J4316" s="3" t="str">
        <f>HYPERLINK("https://www.boe.es/gazeta/dias/1809/03/31/pdfs/GGB-1809-14.pdf#page=3","Abrir facsímil")</f>
        <v>Abrir facsímil</v>
      </c>
      <c r="K4316" s="3" t="s">
        <v>57</v>
      </c>
    </row>
    <row r="4317" spans="1:11" ht="42" customHeight="1">
      <c r="A4317" s="2" t="s">
        <v>10607</v>
      </c>
      <c r="B4317" s="2" t="s">
        <v>10608</v>
      </c>
      <c r="C4317" s="2" t="s">
        <v>369</v>
      </c>
      <c r="D4317" s="2" t="s">
        <v>18</v>
      </c>
      <c r="E4317" s="3" t="s">
        <v>893</v>
      </c>
      <c r="F4317" s="3" t="s">
        <v>894</v>
      </c>
      <c r="G4317" s="3" t="s">
        <v>225</v>
      </c>
      <c r="H4317" s="2" t="s">
        <v>55</v>
      </c>
      <c r="I4317" s="2" t="s">
        <v>10609</v>
      </c>
      <c r="J4317" s="3" t="str">
        <f>HYPERLINK("https://www.boe.es/gazeta/dias/1809/11/02/pdfs/GMD-1809-307.pdf#page=4","Abrir facsímil")</f>
        <v>Abrir facsímil</v>
      </c>
      <c r="K4317" s="3" t="s">
        <v>57</v>
      </c>
    </row>
    <row r="4318" spans="1:11" ht="42" customHeight="1">
      <c r="A4318" s="2" t="s">
        <v>10610</v>
      </c>
      <c r="B4318" s="2" t="s">
        <v>10611</v>
      </c>
      <c r="C4318" s="2" t="s">
        <v>17</v>
      </c>
      <c r="D4318" s="2" t="s">
        <v>40</v>
      </c>
      <c r="E4318" s="3" t="s">
        <v>163</v>
      </c>
      <c r="F4318" s="3" t="s">
        <v>164</v>
      </c>
      <c r="G4318" s="3" t="s">
        <v>239</v>
      </c>
      <c r="H4318" s="2" t="s">
        <v>55</v>
      </c>
      <c r="I4318" s="2" t="s">
        <v>10612</v>
      </c>
      <c r="J4318" s="3" t="str">
        <f>HYPERLINK("https://www.boe.es/gazeta/dias/1809/03/10/pdfs/GGB-H-1809-11.pdf#page=7","Abrir facsímil")</f>
        <v>Abrir facsímil</v>
      </c>
      <c r="K4318" s="3" t="s">
        <v>57</v>
      </c>
    </row>
    <row r="4319" spans="1:11" ht="42" customHeight="1">
      <c r="A4319" s="2" t="s">
        <v>10613</v>
      </c>
      <c r="B4319" s="2" t="s">
        <v>10614</v>
      </c>
      <c r="C4319" s="2" t="s">
        <v>25</v>
      </c>
      <c r="D4319" s="2" t="s">
        <v>72</v>
      </c>
      <c r="E4319" s="3" t="s">
        <v>147</v>
      </c>
      <c r="F4319" s="3" t="s">
        <v>562</v>
      </c>
      <c r="G4319" s="3" t="s">
        <v>10615</v>
      </c>
      <c r="H4319" s="2" t="s">
        <v>55</v>
      </c>
      <c r="I4319" s="2" t="s">
        <v>10616</v>
      </c>
      <c r="J4319" s="3" t="str">
        <f>HYPERLINK("https://www.boe.es/gazeta/dias/1809/10/07/pdfs/GGB-H-1809-292.pdf#page=3","Abrir facsímil")</f>
        <v>Abrir facsímil</v>
      </c>
      <c r="K4319" s="3" t="s">
        <v>57</v>
      </c>
    </row>
    <row r="4320" spans="1:11" ht="42" customHeight="1">
      <c r="A4320" s="2" t="s">
        <v>10617</v>
      </c>
      <c r="B4320" s="2" t="s">
        <v>10618</v>
      </c>
      <c r="C4320" s="2" t="s">
        <v>25</v>
      </c>
      <c r="D4320" s="2" t="s">
        <v>80</v>
      </c>
      <c r="E4320" s="3" t="s">
        <v>179</v>
      </c>
      <c r="F4320" s="3" t="s">
        <v>180</v>
      </c>
      <c r="G4320" s="3" t="s">
        <v>966</v>
      </c>
      <c r="H4320" s="2" t="s">
        <v>55</v>
      </c>
      <c r="I4320" s="2" t="s">
        <v>10619</v>
      </c>
      <c r="J4320" s="3" t="str">
        <f>HYPERLINK("https://www.boe.es/gazeta/dias/1809/12/08/pdfs/GGB-1809-552E.pdf#page=3","Abrir facsímil")</f>
        <v>Abrir facsímil</v>
      </c>
      <c r="K4320" s="3" t="s">
        <v>57</v>
      </c>
    </row>
    <row r="4321" spans="1:11" ht="42" customHeight="1">
      <c r="A4321" s="2" t="s">
        <v>10620</v>
      </c>
      <c r="B4321" s="2" t="s">
        <v>10621</v>
      </c>
      <c r="C4321" s="2" t="s">
        <v>25</v>
      </c>
      <c r="D4321" s="2" t="s">
        <v>26</v>
      </c>
      <c r="E4321" s="3" t="s">
        <v>92</v>
      </c>
      <c r="F4321" s="3" t="s">
        <v>93</v>
      </c>
      <c r="G4321" s="3" t="s">
        <v>623</v>
      </c>
      <c r="H4321" s="2" t="s">
        <v>55</v>
      </c>
      <c r="I4321" s="2" t="s">
        <v>10622</v>
      </c>
      <c r="J4321" s="3" t="str">
        <f>HYPERLINK("https://www.boe.es/gazeta/dias/1809/05/22/pdfs/GGB-G-1809-30.pdf#page=6","Abrir facsímil")</f>
        <v>Abrir facsímil</v>
      </c>
      <c r="K4321" s="3" t="s">
        <v>57</v>
      </c>
    </row>
    <row r="4322" spans="1:11" ht="42" customHeight="1">
      <c r="A4322" s="2" t="s">
        <v>10623</v>
      </c>
      <c r="B4322" s="2" t="s">
        <v>10623</v>
      </c>
      <c r="C4322" s="2" t="s">
        <v>17</v>
      </c>
      <c r="D4322" s="2" t="s">
        <v>107</v>
      </c>
      <c r="E4322" s="3" t="s">
        <v>424</v>
      </c>
      <c r="F4322" s="3" t="s">
        <v>425</v>
      </c>
      <c r="G4322" s="3" t="s">
        <v>75</v>
      </c>
      <c r="H4322" s="2" t="s">
        <v>55</v>
      </c>
      <c r="I4322" s="2" t="s">
        <v>10624</v>
      </c>
      <c r="J4322" s="3" t="str">
        <f>HYPERLINK("https://www.boe.es/gazeta/dias/1809/05/10/pdfs/GMD-1809-130.pdf#page=2","Abrir facsímil")</f>
        <v>Abrir facsímil</v>
      </c>
      <c r="K4322" s="3" t="s">
        <v>57</v>
      </c>
    </row>
    <row r="4323" spans="1:11" ht="42" customHeight="1">
      <c r="A4323" s="2" t="s">
        <v>10625</v>
      </c>
      <c r="B4323" s="2" t="s">
        <v>10626</v>
      </c>
      <c r="C4323" s="2" t="s">
        <v>17</v>
      </c>
      <c r="D4323" s="2" t="s">
        <v>72</v>
      </c>
      <c r="E4323" s="3" t="s">
        <v>243</v>
      </c>
      <c r="F4323" s="3" t="s">
        <v>244</v>
      </c>
      <c r="G4323" s="3" t="s">
        <v>110</v>
      </c>
      <c r="H4323" s="2" t="s">
        <v>22</v>
      </c>
      <c r="I4323" s="2" t="s">
        <v>10627</v>
      </c>
      <c r="J4323" s="3" t="str">
        <f>HYPERLINK("https://www.boe.es/gazeta/dias/1809/02/17/pdfs/GGB-G-1809-8.pdf#page=6","Abrir facsímil")</f>
        <v>Abrir facsímil</v>
      </c>
      <c r="K4323" s="3" t="s">
        <v>24</v>
      </c>
    </row>
    <row r="4324" spans="1:11" ht="42" customHeight="1">
      <c r="A4324" s="2" t="s">
        <v>10628</v>
      </c>
      <c r="B4324" s="2" t="s">
        <v>10629</v>
      </c>
      <c r="C4324" s="2" t="s">
        <v>17</v>
      </c>
      <c r="D4324" s="2" t="s">
        <v>40</v>
      </c>
      <c r="E4324" s="3" t="s">
        <v>48</v>
      </c>
      <c r="F4324" s="3" t="s">
        <v>1718</v>
      </c>
      <c r="G4324" s="3" t="s">
        <v>4005</v>
      </c>
      <c r="H4324" s="2" t="s">
        <v>55</v>
      </c>
      <c r="I4324" s="2" t="s">
        <v>10630</v>
      </c>
      <c r="J4324" s="3" t="str">
        <f>HYPERLINK("https://www.boe.es/gazeta/dias/1809/10/03/pdfs/GGB-1809-272.pdf#page=7","Abrir facsímil")</f>
        <v>Abrir facsímil</v>
      </c>
      <c r="K4324" s="3" t="s">
        <v>57</v>
      </c>
    </row>
    <row r="4325" spans="1:11" ht="42" customHeight="1">
      <c r="A4325" s="2" t="s">
        <v>10631</v>
      </c>
      <c r="B4325" s="2" t="s">
        <v>10632</v>
      </c>
      <c r="C4325" s="2" t="s">
        <v>17</v>
      </c>
      <c r="D4325" s="2" t="s">
        <v>18</v>
      </c>
      <c r="E4325" s="3" t="s">
        <v>551</v>
      </c>
      <c r="F4325" s="3" t="s">
        <v>552</v>
      </c>
      <c r="G4325" s="3" t="s">
        <v>553</v>
      </c>
      <c r="H4325" s="2" t="s">
        <v>55</v>
      </c>
      <c r="I4325" s="2" t="s">
        <v>10633</v>
      </c>
      <c r="J4325" s="3" t="str">
        <f>HYPERLINK("https://www.boe.es/gazeta/dias/1809/05/04/pdfs/GMD-1809-124.pdf#page=1","Abrir facsímil")</f>
        <v>Abrir facsímil</v>
      </c>
      <c r="K4325" s="3" t="s">
        <v>57</v>
      </c>
    </row>
    <row r="4326" spans="1:11" ht="42" customHeight="1">
      <c r="A4326" s="2" t="s">
        <v>10634</v>
      </c>
      <c r="B4326" s="2" t="s">
        <v>10635</v>
      </c>
      <c r="C4326" s="2" t="s">
        <v>25</v>
      </c>
      <c r="D4326" s="2" t="s">
        <v>80</v>
      </c>
      <c r="E4326" s="3" t="s">
        <v>179</v>
      </c>
      <c r="F4326" s="3" t="s">
        <v>180</v>
      </c>
      <c r="G4326" s="3" t="s">
        <v>966</v>
      </c>
      <c r="H4326" s="2" t="s">
        <v>55</v>
      </c>
      <c r="I4326" s="2" t="s">
        <v>10636</v>
      </c>
      <c r="J4326" s="3" t="str">
        <f>HYPERLINK("https://www.boe.es/gazeta/dias/1809/12/08/pdfs/GGB-1809-552E.pdf#page=3","Abrir facsímil")</f>
        <v>Abrir facsímil</v>
      </c>
      <c r="K4326" s="3" t="s">
        <v>57</v>
      </c>
    </row>
    <row r="4327" spans="1:11" ht="42" customHeight="1">
      <c r="A4327" s="2" t="s">
        <v>10637</v>
      </c>
      <c r="B4327" s="2" t="s">
        <v>10638</v>
      </c>
      <c r="C4327" s="2" t="s">
        <v>25</v>
      </c>
      <c r="D4327" s="2" t="s">
        <v>26</v>
      </c>
      <c r="E4327" s="3" t="s">
        <v>1282</v>
      </c>
      <c r="F4327" s="3" t="s">
        <v>1283</v>
      </c>
      <c r="G4327" s="3" t="s">
        <v>186</v>
      </c>
      <c r="H4327" s="2" t="s">
        <v>55</v>
      </c>
      <c r="I4327" s="2" t="s">
        <v>10639</v>
      </c>
      <c r="J4327" s="3" t="str">
        <f>HYPERLINK("https://www.boe.es/gazeta/dias/1809/06/26/pdfs/GGB-1809-40.pdf#page=7","Abrir facsímil")</f>
        <v>Abrir facsímil</v>
      </c>
      <c r="K4327" s="3" t="s">
        <v>57</v>
      </c>
    </row>
    <row r="4328" spans="1:11" ht="42" customHeight="1">
      <c r="A4328" s="2" t="s">
        <v>10640</v>
      </c>
      <c r="B4328" s="2" t="s">
        <v>10640</v>
      </c>
      <c r="C4328" s="2" t="s">
        <v>25</v>
      </c>
      <c r="D4328" s="2" t="s">
        <v>18</v>
      </c>
      <c r="E4328" s="3" t="s">
        <v>1786</v>
      </c>
      <c r="F4328" s="3" t="s">
        <v>1787</v>
      </c>
      <c r="G4328" s="3" t="s">
        <v>110</v>
      </c>
      <c r="H4328" s="2" t="s">
        <v>55</v>
      </c>
      <c r="I4328" s="2" t="s">
        <v>10641</v>
      </c>
      <c r="J4328" s="3" t="str">
        <f>HYPERLINK("https://www.boe.es/gazeta/dias/1809/08/24/pdfs/GMD-1809-237.pdf#page=2","Abrir facsímil")</f>
        <v>Abrir facsímil</v>
      </c>
      <c r="K4328" s="3" t="s">
        <v>57</v>
      </c>
    </row>
    <row r="4329" spans="1:11" ht="42" customHeight="1">
      <c r="A4329" s="2" t="s">
        <v>10642</v>
      </c>
      <c r="B4329" s="2" t="s">
        <v>10642</v>
      </c>
      <c r="C4329" s="2" t="s">
        <v>131</v>
      </c>
      <c r="D4329" s="2" t="s">
        <v>26</v>
      </c>
      <c r="E4329" s="3" t="s">
        <v>1206</v>
      </c>
      <c r="F4329" s="3" t="s">
        <v>1612</v>
      </c>
      <c r="G4329" s="3" t="s">
        <v>1613</v>
      </c>
      <c r="H4329" s="2" t="s">
        <v>55</v>
      </c>
      <c r="I4329" s="2" t="s">
        <v>10643</v>
      </c>
      <c r="J4329" s="3" t="str">
        <f>HYPERLINK("https://www.boe.es/gazeta/dias/1809/09/23/pdfs/GMD-1809-267.pdf#page=2","Abrir facsímil")</f>
        <v>Abrir facsímil</v>
      </c>
      <c r="K4329" s="3" t="s">
        <v>57</v>
      </c>
    </row>
    <row r="4330" spans="1:11" ht="42" customHeight="1">
      <c r="A4330" s="2" t="s">
        <v>10644</v>
      </c>
      <c r="B4330" s="2" t="s">
        <v>10644</v>
      </c>
      <c r="C4330" s="2" t="s">
        <v>25</v>
      </c>
      <c r="D4330" s="2" t="s">
        <v>18</v>
      </c>
      <c r="E4330" s="3" t="s">
        <v>190</v>
      </c>
      <c r="F4330" s="3" t="s">
        <v>191</v>
      </c>
      <c r="G4330" s="3" t="s">
        <v>6060</v>
      </c>
      <c r="H4330" s="2" t="s">
        <v>55</v>
      </c>
      <c r="I4330" s="2" t="s">
        <v>10645</v>
      </c>
      <c r="J4330" s="3" t="str">
        <f>HYPERLINK("https://www.boe.es/gazeta/dias/1809/10/14/pdfs/GGB-1809-322.pdf#page=3","Abrir facsímil")</f>
        <v>Abrir facsímil</v>
      </c>
      <c r="K4330" s="3" t="s">
        <v>57</v>
      </c>
    </row>
    <row r="4331" spans="1:11" ht="42" customHeight="1">
      <c r="A4331" s="2" t="s">
        <v>10646</v>
      </c>
      <c r="B4331" s="2" t="s">
        <v>10646</v>
      </c>
      <c r="C4331" s="2" t="s">
        <v>25</v>
      </c>
      <c r="D4331" s="2" t="s">
        <v>18</v>
      </c>
      <c r="E4331" s="3" t="s">
        <v>190</v>
      </c>
      <c r="F4331" s="3" t="s">
        <v>191</v>
      </c>
      <c r="G4331" s="3" t="s">
        <v>5929</v>
      </c>
      <c r="H4331" s="2" t="s">
        <v>55</v>
      </c>
      <c r="I4331" s="2" t="s">
        <v>10647</v>
      </c>
      <c r="J4331" s="3" t="str">
        <f>HYPERLINK("https://www.boe.es/gazeta/dias/1809/10/14/pdfs/GGB-1809-322.pdf#page=4","Abrir facsímil")</f>
        <v>Abrir facsímil</v>
      </c>
      <c r="K4331" s="3" t="s">
        <v>57</v>
      </c>
    </row>
    <row r="4332" spans="1:11" ht="42" customHeight="1">
      <c r="A4332" s="2" t="s">
        <v>10648</v>
      </c>
      <c r="B4332" s="2" t="s">
        <v>10649</v>
      </c>
      <c r="C4332" s="2" t="s">
        <v>25</v>
      </c>
      <c r="D4332" s="2" t="s">
        <v>26</v>
      </c>
      <c r="E4332" s="3" t="s">
        <v>445</v>
      </c>
      <c r="F4332" s="3" t="s">
        <v>446</v>
      </c>
      <c r="G4332" s="3" t="s">
        <v>270</v>
      </c>
      <c r="H4332" s="2" t="s">
        <v>55</v>
      </c>
      <c r="I4332" s="2" t="s">
        <v>10650</v>
      </c>
      <c r="J4332" s="3" t="str">
        <f>HYPERLINK("https://www.boe.es/gazeta/dias/1809/10/01/pdfs/GMD-1809-275.pdf#page=1","Abrir facsímil")</f>
        <v>Abrir facsímil</v>
      </c>
      <c r="K4332" s="3" t="s">
        <v>57</v>
      </c>
    </row>
    <row r="4333" spans="1:11" ht="42" customHeight="1">
      <c r="A4333" s="2" t="s">
        <v>10651</v>
      </c>
      <c r="B4333" s="2" t="s">
        <v>10651</v>
      </c>
      <c r="C4333" s="2" t="s">
        <v>79</v>
      </c>
      <c r="D4333" s="2" t="s">
        <v>107</v>
      </c>
      <c r="E4333" s="3" t="s">
        <v>1126</v>
      </c>
      <c r="F4333" s="3" t="s">
        <v>1127</v>
      </c>
      <c r="G4333" s="3" t="s">
        <v>270</v>
      </c>
      <c r="H4333" s="2" t="s">
        <v>55</v>
      </c>
      <c r="I4333" s="2" t="s">
        <v>10652</v>
      </c>
      <c r="J4333" s="3" t="str">
        <f>HYPERLINK("https://www.boe.es/gazeta/dias/1809/06/30/pdfs/GMD-1809-181.pdf#page=1","Abrir facsímil")</f>
        <v>Abrir facsímil</v>
      </c>
      <c r="K4333" s="3" t="s">
        <v>57</v>
      </c>
    </row>
    <row r="4334" spans="1:11" ht="42" customHeight="1">
      <c r="A4334" s="2" t="s">
        <v>10653</v>
      </c>
      <c r="B4334" s="2" t="s">
        <v>10653</v>
      </c>
      <c r="C4334" s="2" t="s">
        <v>17</v>
      </c>
      <c r="D4334" s="2" t="s">
        <v>107</v>
      </c>
      <c r="E4334" s="3" t="s">
        <v>1156</v>
      </c>
      <c r="F4334" s="3" t="s">
        <v>1157</v>
      </c>
      <c r="G4334" s="3" t="s">
        <v>3808</v>
      </c>
      <c r="H4334" s="2" t="s">
        <v>55</v>
      </c>
      <c r="I4334" s="2" t="s">
        <v>10654</v>
      </c>
      <c r="J4334" s="3" t="str">
        <f>HYPERLINK("https://www.boe.es/gazeta/dias/1809/06/17/pdfs/GMD-1809-168.pdf#page=2","Abrir facsímil")</f>
        <v>Abrir facsímil</v>
      </c>
      <c r="K4334" s="3" t="s">
        <v>57</v>
      </c>
    </row>
    <row r="4335" spans="1:11" ht="42" customHeight="1">
      <c r="A4335" s="2" t="s">
        <v>10653</v>
      </c>
      <c r="B4335" s="2" t="s">
        <v>10653</v>
      </c>
      <c r="C4335" s="2" t="s">
        <v>79</v>
      </c>
      <c r="D4335" s="2" t="s">
        <v>18</v>
      </c>
      <c r="E4335" s="3" t="s">
        <v>390</v>
      </c>
      <c r="F4335" s="3" t="s">
        <v>391</v>
      </c>
      <c r="G4335" s="3" t="s">
        <v>3729</v>
      </c>
      <c r="H4335" s="2" t="s">
        <v>55</v>
      </c>
      <c r="I4335" s="2" t="s">
        <v>10655</v>
      </c>
      <c r="J4335" s="3" t="str">
        <f>HYPERLINK("https://www.boe.es/gazeta/dias/1809/10/19/pdfs/GGB-1809-342.pdf#page=7","Abrir facsímil")</f>
        <v>Abrir facsímil</v>
      </c>
      <c r="K4335" s="3" t="s">
        <v>57</v>
      </c>
    </row>
    <row r="4336" spans="1:11" ht="42" customHeight="1">
      <c r="A4336" s="2" t="s">
        <v>10653</v>
      </c>
      <c r="B4336" s="2" t="s">
        <v>10653</v>
      </c>
      <c r="C4336" s="2" t="s">
        <v>25</v>
      </c>
      <c r="D4336" s="2" t="s">
        <v>26</v>
      </c>
      <c r="E4336" s="3" t="s">
        <v>211</v>
      </c>
      <c r="F4336" s="3" t="s">
        <v>212</v>
      </c>
      <c r="G4336" s="3" t="s">
        <v>213</v>
      </c>
      <c r="H4336" s="2" t="s">
        <v>55</v>
      </c>
      <c r="I4336" s="2" t="s">
        <v>10656</v>
      </c>
      <c r="J4336" s="3" t="str">
        <f>HYPERLINK("https://www.boe.es/gazeta/dias/1809/10/27/pdfs/GMD-1809-301.pdf#page=4","Abrir facsímil")</f>
        <v>Abrir facsímil</v>
      </c>
      <c r="K4336" s="3" t="s">
        <v>57</v>
      </c>
    </row>
    <row r="4337" spans="1:11" ht="42" customHeight="1">
      <c r="A4337" s="2" t="s">
        <v>10653</v>
      </c>
      <c r="B4337" s="2" t="s">
        <v>10653</v>
      </c>
      <c r="C4337" s="2" t="s">
        <v>25</v>
      </c>
      <c r="D4337" s="2" t="s">
        <v>26</v>
      </c>
      <c r="E4337" s="3" t="s">
        <v>216</v>
      </c>
      <c r="F4337" s="3" t="s">
        <v>217</v>
      </c>
      <c r="G4337" s="3" t="s">
        <v>218</v>
      </c>
      <c r="H4337" s="2" t="s">
        <v>55</v>
      </c>
      <c r="I4337" s="2" t="s">
        <v>10657</v>
      </c>
      <c r="J4337" s="3" t="str">
        <f>HYPERLINK("https://www.boe.es/gazeta/dias/1809/12/05/pdfs/GGB-H-1809-542.pdf#page=6","Abrir facsímil")</f>
        <v>Abrir facsímil</v>
      </c>
      <c r="K4337" s="3" t="s">
        <v>57</v>
      </c>
    </row>
    <row r="4338" spans="1:11" ht="42" customHeight="1">
      <c r="A4338" s="2" t="s">
        <v>10653</v>
      </c>
      <c r="B4338" s="2" t="s">
        <v>10653</v>
      </c>
      <c r="C4338" s="2" t="s">
        <v>25</v>
      </c>
      <c r="D4338" s="2" t="s">
        <v>26</v>
      </c>
      <c r="E4338" s="3" t="s">
        <v>223</v>
      </c>
      <c r="F4338" s="3" t="s">
        <v>224</v>
      </c>
      <c r="G4338" s="3" t="s">
        <v>225</v>
      </c>
      <c r="H4338" s="2" t="s">
        <v>55</v>
      </c>
      <c r="I4338" s="2" t="s">
        <v>10658</v>
      </c>
      <c r="J4338" s="3" t="str">
        <f>HYPERLINK("https://www.boe.es/gazeta/dias/1809/12/17/pdfs/GMD-1809-352.pdf#page=4","Abrir facsímil")</f>
        <v>Abrir facsímil</v>
      </c>
      <c r="K4338" s="3" t="s">
        <v>57</v>
      </c>
    </row>
    <row r="4339" spans="1:11" ht="42" customHeight="1">
      <c r="A4339" s="2" t="s">
        <v>10659</v>
      </c>
      <c r="B4339" s="2" t="s">
        <v>10660</v>
      </c>
      <c r="C4339" s="2" t="s">
        <v>25</v>
      </c>
      <c r="D4339" s="2" t="s">
        <v>80</v>
      </c>
      <c r="E4339" s="3" t="s">
        <v>179</v>
      </c>
      <c r="F4339" s="3" t="s">
        <v>180</v>
      </c>
      <c r="G4339" s="3" t="s">
        <v>239</v>
      </c>
      <c r="H4339" s="2" t="s">
        <v>55</v>
      </c>
      <c r="I4339" s="2" t="s">
        <v>10661</v>
      </c>
      <c r="J4339" s="3" t="str">
        <f>HYPERLINK("https://www.boe.es/gazeta/dias/1809/12/08/pdfs/GGB-1809-552E.pdf#page=2","Abrir facsímil")</f>
        <v>Abrir facsímil</v>
      </c>
      <c r="K4339" s="3" t="s">
        <v>57</v>
      </c>
    </row>
    <row r="4340" spans="1:11" ht="42" customHeight="1">
      <c r="A4340" s="2" t="s">
        <v>10662</v>
      </c>
      <c r="B4340" s="2" t="s">
        <v>10662</v>
      </c>
      <c r="C4340" s="2" t="s">
        <v>25</v>
      </c>
      <c r="D4340" s="2" t="s">
        <v>26</v>
      </c>
      <c r="E4340" s="3" t="s">
        <v>1761</v>
      </c>
      <c r="F4340" s="3" t="s">
        <v>1762</v>
      </c>
      <c r="G4340" s="3" t="s">
        <v>234</v>
      </c>
      <c r="H4340" s="2" t="s">
        <v>55</v>
      </c>
      <c r="I4340" s="2" t="s">
        <v>10663</v>
      </c>
      <c r="J4340" s="3" t="str">
        <f>HYPERLINK("https://www.boe.es/gazeta/dias/1809/10/18/pdfs/GMD-1809-292.pdf#page=1","Abrir facsímil")</f>
        <v>Abrir facsímil</v>
      </c>
      <c r="K4340" s="3" t="s">
        <v>57</v>
      </c>
    </row>
    <row r="4341" spans="1:11" ht="42" customHeight="1">
      <c r="A4341" s="2" t="s">
        <v>10664</v>
      </c>
      <c r="B4341" s="2" t="s">
        <v>10665</v>
      </c>
      <c r="C4341" s="2" t="s">
        <v>25</v>
      </c>
      <c r="D4341" s="2" t="s">
        <v>72</v>
      </c>
      <c r="E4341" s="3" t="s">
        <v>695</v>
      </c>
      <c r="F4341" s="3" t="s">
        <v>1658</v>
      </c>
      <c r="G4341" s="3" t="s">
        <v>1659</v>
      </c>
      <c r="H4341" s="2" t="s">
        <v>55</v>
      </c>
      <c r="I4341" s="2" t="s">
        <v>10666</v>
      </c>
      <c r="J4341" s="3" t="str">
        <f>HYPERLINK("https://www.boe.es/gazeta/dias/1809/10/24/pdfs/GGB-H-1809-362.pdf#page=4","Abrir facsímil")</f>
        <v>Abrir facsímil</v>
      </c>
      <c r="K4341" s="3" t="s">
        <v>57</v>
      </c>
    </row>
    <row r="4342" spans="1:11" ht="42" customHeight="1">
      <c r="A4342" s="2" t="s">
        <v>10667</v>
      </c>
      <c r="B4342" s="2" t="s">
        <v>10667</v>
      </c>
      <c r="C4342" s="2" t="s">
        <v>25</v>
      </c>
      <c r="D4342" s="2" t="s">
        <v>107</v>
      </c>
      <c r="E4342" s="3" t="s">
        <v>1048</v>
      </c>
      <c r="F4342" s="3" t="s">
        <v>1049</v>
      </c>
      <c r="G4342" s="3" t="s">
        <v>3808</v>
      </c>
      <c r="H4342" s="2" t="s">
        <v>55</v>
      </c>
      <c r="I4342" s="2" t="s">
        <v>10668</v>
      </c>
      <c r="J4342" s="3" t="str">
        <f>HYPERLINK("https://www.boe.es/gazeta/dias/1809/08/10/pdfs/GGB-1809-42.pdf#page=1","Abrir facsímil")</f>
        <v>Abrir facsímil</v>
      </c>
      <c r="K4342" s="3" t="s">
        <v>57</v>
      </c>
    </row>
    <row r="4343" spans="1:11" ht="42" customHeight="1">
      <c r="A4343" s="2" t="s">
        <v>10669</v>
      </c>
      <c r="B4343" s="2" t="s">
        <v>10670</v>
      </c>
      <c r="C4343" s="2" t="s">
        <v>17</v>
      </c>
      <c r="D4343" s="2" t="s">
        <v>18</v>
      </c>
      <c r="E4343" s="3" t="s">
        <v>1468</v>
      </c>
      <c r="F4343" s="3" t="s">
        <v>1469</v>
      </c>
      <c r="G4343" s="3" t="s">
        <v>104</v>
      </c>
      <c r="H4343" s="2" t="s">
        <v>55</v>
      </c>
      <c r="I4343" s="2" t="s">
        <v>10671</v>
      </c>
      <c r="J4343" s="3" t="str">
        <f>HYPERLINK("https://www.boe.es/gazeta/dias/1809/02/12/pdfs/GMD-1809-43.pdf#page=6","Abrir facsímil")</f>
        <v>Abrir facsímil</v>
      </c>
      <c r="K4343" s="3" t="s">
        <v>57</v>
      </c>
    </row>
    <row r="4344" spans="1:11" ht="42" customHeight="1">
      <c r="A4344" s="2" t="s">
        <v>10672</v>
      </c>
      <c r="B4344" s="2" t="s">
        <v>10673</v>
      </c>
      <c r="C4344" s="2" t="s">
        <v>17</v>
      </c>
      <c r="D4344" s="2" t="s">
        <v>18</v>
      </c>
      <c r="E4344" s="3" t="s">
        <v>243</v>
      </c>
      <c r="F4344" s="3" t="s">
        <v>735</v>
      </c>
      <c r="G4344" s="3" t="s">
        <v>736</v>
      </c>
      <c r="H4344" s="2" t="s">
        <v>55</v>
      </c>
      <c r="I4344" s="2" t="s">
        <v>10674</v>
      </c>
      <c r="J4344" s="3" t="str">
        <f>HYPERLINK("https://www.boe.es/gazeta/dias/1809/02/17/pdfs/GGB-1809-8.pdf#page=8","Abrir facsímil")</f>
        <v>Abrir facsímil</v>
      </c>
      <c r="K4344" s="3" t="s">
        <v>57</v>
      </c>
    </row>
    <row r="4345" spans="1:11" ht="42" customHeight="1">
      <c r="A4345" s="2" t="s">
        <v>10675</v>
      </c>
      <c r="B4345" s="2" t="s">
        <v>10676</v>
      </c>
      <c r="C4345" s="2" t="s">
        <v>17</v>
      </c>
      <c r="D4345" s="2" t="s">
        <v>72</v>
      </c>
      <c r="E4345" s="3" t="s">
        <v>243</v>
      </c>
      <c r="F4345" s="3" t="s">
        <v>244</v>
      </c>
      <c r="G4345" s="3" t="s">
        <v>525</v>
      </c>
      <c r="H4345" s="2" t="s">
        <v>55</v>
      </c>
      <c r="I4345" s="2" t="s">
        <v>10677</v>
      </c>
      <c r="J4345" s="3" t="str">
        <f>HYPERLINK("https://www.boe.es/gazeta/dias/1809/02/17/pdfs/GGB-G-1809-8.pdf#page=4","Abrir facsímil")</f>
        <v>Abrir facsímil</v>
      </c>
      <c r="K4345" s="3" t="s">
        <v>57</v>
      </c>
    </row>
    <row r="4346" spans="1:11" ht="42" customHeight="1">
      <c r="A4346" s="2" t="s">
        <v>10678</v>
      </c>
      <c r="B4346" s="2" t="s">
        <v>10679</v>
      </c>
      <c r="C4346" s="2" t="s">
        <v>25</v>
      </c>
      <c r="D4346" s="2" t="s">
        <v>26</v>
      </c>
      <c r="E4346" s="3" t="s">
        <v>5751</v>
      </c>
      <c r="F4346" s="3" t="s">
        <v>5752</v>
      </c>
      <c r="G4346" s="3" t="s">
        <v>62</v>
      </c>
      <c r="H4346" s="2" t="s">
        <v>55</v>
      </c>
      <c r="I4346" s="2" t="s">
        <v>10680</v>
      </c>
      <c r="J4346" s="3" t="str">
        <f>HYPERLINK("https://www.boe.es/gazeta/dias/1809/01/23/pdfs/GGB-1809-4E.pdf#page=2","Abrir facsímil")</f>
        <v>Abrir facsímil</v>
      </c>
      <c r="K4346" s="3" t="s">
        <v>57</v>
      </c>
    </row>
    <row r="4347" spans="1:11" ht="42" customHeight="1">
      <c r="A4347" s="2" t="s">
        <v>10681</v>
      </c>
      <c r="B4347" s="2" t="s">
        <v>10682</v>
      </c>
      <c r="C4347" s="2" t="s">
        <v>25</v>
      </c>
      <c r="D4347" s="2" t="s">
        <v>18</v>
      </c>
      <c r="E4347" s="3" t="s">
        <v>3949</v>
      </c>
      <c r="F4347" s="3" t="s">
        <v>3950</v>
      </c>
      <c r="G4347" s="3" t="s">
        <v>3951</v>
      </c>
      <c r="H4347" s="2" t="s">
        <v>55</v>
      </c>
      <c r="I4347" s="2" t="s">
        <v>10683</v>
      </c>
      <c r="J4347" s="3" t="str">
        <f>HYPERLINK("https://www.boe.es/gazeta/dias/1809/09/09/pdfs/GGB-1809-172.pdf#page=8","Abrir facsímil")</f>
        <v>Abrir facsímil</v>
      </c>
      <c r="K4347" s="3" t="s">
        <v>57</v>
      </c>
    </row>
    <row r="4348" spans="1:11" ht="42" customHeight="1">
      <c r="A4348" s="2" t="s">
        <v>10678</v>
      </c>
      <c r="B4348" s="2" t="s">
        <v>10679</v>
      </c>
      <c r="C4348" s="2" t="s">
        <v>25</v>
      </c>
      <c r="D4348" s="2" t="s">
        <v>26</v>
      </c>
      <c r="E4348" s="3" t="s">
        <v>3714</v>
      </c>
      <c r="F4348" s="3" t="s">
        <v>4205</v>
      </c>
      <c r="G4348" s="3" t="s">
        <v>623</v>
      </c>
      <c r="H4348" s="2" t="s">
        <v>55</v>
      </c>
      <c r="I4348" s="2" t="s">
        <v>10684</v>
      </c>
      <c r="J4348" s="3" t="str">
        <f>HYPERLINK("https://www.boe.es/gazeta/dias/1809/12/07/pdfs/GGB-1809-552.pdf#page=6","Abrir facsímil")</f>
        <v>Abrir facsímil</v>
      </c>
      <c r="K4348" s="3" t="s">
        <v>57</v>
      </c>
    </row>
    <row r="4349" spans="1:11" ht="42" customHeight="1">
      <c r="A4349" s="2" t="s">
        <v>10678</v>
      </c>
      <c r="B4349" s="2" t="s">
        <v>10679</v>
      </c>
      <c r="C4349" s="2" t="s">
        <v>17</v>
      </c>
      <c r="D4349" s="2" t="s">
        <v>18</v>
      </c>
      <c r="E4349" s="3" t="s">
        <v>3714</v>
      </c>
      <c r="F4349" s="3" t="s">
        <v>4205</v>
      </c>
      <c r="G4349" s="3" t="s">
        <v>2232</v>
      </c>
      <c r="H4349" s="2" t="s">
        <v>55</v>
      </c>
      <c r="I4349" s="2" t="s">
        <v>10685</v>
      </c>
      <c r="J4349" s="3" t="str">
        <f>HYPERLINK("https://www.boe.es/gazeta/dias/1809/12/07/pdfs/GGB-1809-552.pdf#page=7","Abrir facsímil")</f>
        <v>Abrir facsímil</v>
      </c>
      <c r="K4349" s="3" t="s">
        <v>57</v>
      </c>
    </row>
    <row r="4350" spans="1:11" ht="42" customHeight="1">
      <c r="A4350" s="2" t="s">
        <v>10686</v>
      </c>
      <c r="B4350" s="2" t="s">
        <v>10687</v>
      </c>
      <c r="C4350" s="2" t="s">
        <v>17</v>
      </c>
      <c r="D4350" s="2" t="s">
        <v>18</v>
      </c>
      <c r="E4350" s="3" t="s">
        <v>113</v>
      </c>
      <c r="F4350" s="3" t="s">
        <v>1982</v>
      </c>
      <c r="G4350" s="3" t="s">
        <v>260</v>
      </c>
      <c r="H4350" s="2" t="s">
        <v>55</v>
      </c>
      <c r="I4350" s="2" t="s">
        <v>10688</v>
      </c>
      <c r="J4350" s="3" t="str">
        <f>HYPERLINK("https://www.boe.es/gazeta/dias/1809/04/24/pdfs/GGB-1809-21.pdf#page=12","Abrir facsímil")</f>
        <v>Abrir facsímil</v>
      </c>
      <c r="K4350" s="3" t="s">
        <v>57</v>
      </c>
    </row>
    <row r="4351" spans="1:11" ht="42" customHeight="1">
      <c r="A4351" s="2" t="s">
        <v>10689</v>
      </c>
      <c r="B4351" s="2" t="s">
        <v>10690</v>
      </c>
      <c r="C4351" s="2" t="s">
        <v>17</v>
      </c>
      <c r="D4351" s="2" t="s">
        <v>18</v>
      </c>
      <c r="E4351" s="3" t="s">
        <v>33</v>
      </c>
      <c r="F4351" s="3" t="s">
        <v>34</v>
      </c>
      <c r="G4351" s="3" t="s">
        <v>493</v>
      </c>
      <c r="H4351" s="2" t="s">
        <v>55</v>
      </c>
      <c r="I4351" s="2" t="s">
        <v>10691</v>
      </c>
      <c r="J4351" s="3" t="str">
        <f>HYPERLINK("https://www.boe.es/gazeta/dias/1809/12/19/pdfs/GGB-1809-602.pdf#page=6","Abrir facsímil")</f>
        <v>Abrir facsímil</v>
      </c>
      <c r="K4351" s="3" t="s">
        <v>57</v>
      </c>
    </row>
    <row r="4352" spans="1:11" ht="42" customHeight="1">
      <c r="A4352" s="2" t="s">
        <v>10692</v>
      </c>
      <c r="B4352" s="2" t="s">
        <v>10693</v>
      </c>
      <c r="C4352" s="2" t="s">
        <v>25</v>
      </c>
      <c r="D4352" s="2" t="s">
        <v>26</v>
      </c>
      <c r="E4352" s="3" t="s">
        <v>933</v>
      </c>
      <c r="F4352" s="3" t="s">
        <v>1363</v>
      </c>
      <c r="G4352" s="3" t="s">
        <v>154</v>
      </c>
      <c r="H4352" s="2" t="s">
        <v>55</v>
      </c>
      <c r="I4352" s="2" t="s">
        <v>10694</v>
      </c>
      <c r="J4352" s="3" t="str">
        <f>HYPERLINK("https://www.boe.es/gazeta/dias/1809/10/28/pdfs/GGB-1809-382.pdf#page=1","Abrir facsímil")</f>
        <v>Abrir facsímil</v>
      </c>
      <c r="K4352" s="3" t="s">
        <v>57</v>
      </c>
    </row>
    <row r="4353" spans="1:11" ht="42" customHeight="1">
      <c r="A4353" s="2" t="s">
        <v>10695</v>
      </c>
      <c r="B4353" s="2" t="s">
        <v>10695</v>
      </c>
      <c r="C4353" s="2" t="s">
        <v>17</v>
      </c>
      <c r="D4353" s="2" t="s">
        <v>18</v>
      </c>
      <c r="E4353" s="3" t="s">
        <v>503</v>
      </c>
      <c r="F4353" s="3" t="s">
        <v>504</v>
      </c>
      <c r="G4353" s="3" t="s">
        <v>10696</v>
      </c>
      <c r="H4353" s="2" t="s">
        <v>55</v>
      </c>
      <c r="I4353" s="2" t="s">
        <v>10697</v>
      </c>
      <c r="J4353" s="3" t="str">
        <f>HYPERLINK("https://www.boe.es/gazeta/dias/1809/09/01/pdfs/GMD-1809-245.pdf#page=3","Abrir facsímil")</f>
        <v>Abrir facsímil</v>
      </c>
      <c r="K4353" s="3" t="s">
        <v>57</v>
      </c>
    </row>
    <row r="4354" spans="1:11" ht="42" customHeight="1">
      <c r="A4354" s="2" t="s">
        <v>10698</v>
      </c>
      <c r="B4354" s="2" t="s">
        <v>10698</v>
      </c>
      <c r="C4354" s="2" t="s">
        <v>25</v>
      </c>
      <c r="D4354" s="2" t="s">
        <v>107</v>
      </c>
      <c r="E4354" s="3" t="s">
        <v>211</v>
      </c>
      <c r="F4354" s="3" t="s">
        <v>212</v>
      </c>
      <c r="G4354" s="3" t="s">
        <v>872</v>
      </c>
      <c r="H4354" s="2" t="s">
        <v>55</v>
      </c>
      <c r="I4354" s="2" t="s">
        <v>10699</v>
      </c>
      <c r="J4354" s="3" t="str">
        <f>HYPERLINK("https://www.boe.es/gazeta/dias/1809/10/27/pdfs/GMD-1809-301.pdf#page=1","Abrir facsímil")</f>
        <v>Abrir facsímil</v>
      </c>
      <c r="K4354" s="3" t="s">
        <v>57</v>
      </c>
    </row>
    <row r="4355" spans="1:11" ht="42" customHeight="1">
      <c r="A4355" s="2" t="s">
        <v>10698</v>
      </c>
      <c r="B4355" s="2" t="s">
        <v>10698</v>
      </c>
      <c r="C4355" s="2" t="s">
        <v>25</v>
      </c>
      <c r="D4355" s="2" t="s">
        <v>18</v>
      </c>
      <c r="E4355" s="3" t="s">
        <v>211</v>
      </c>
      <c r="F4355" s="3" t="s">
        <v>212</v>
      </c>
      <c r="G4355" s="3" t="s">
        <v>29</v>
      </c>
      <c r="H4355" s="2" t="s">
        <v>55</v>
      </c>
      <c r="I4355" s="2" t="s">
        <v>10700</v>
      </c>
      <c r="J4355" s="3" t="str">
        <f>HYPERLINK("https://www.boe.es/gazeta/dias/1809/10/27/pdfs/GMD-1809-301.pdf#page=3","Abrir facsímil")</f>
        <v>Abrir facsímil</v>
      </c>
      <c r="K4355" s="3" t="s">
        <v>57</v>
      </c>
    </row>
    <row r="4356" spans="1:11" ht="42" customHeight="1">
      <c r="A4356" s="2" t="s">
        <v>10698</v>
      </c>
      <c r="B4356" s="2" t="s">
        <v>10698</v>
      </c>
      <c r="C4356" s="2" t="s">
        <v>25</v>
      </c>
      <c r="D4356" s="2" t="s">
        <v>26</v>
      </c>
      <c r="E4356" s="3" t="s">
        <v>216</v>
      </c>
      <c r="F4356" s="3" t="s">
        <v>217</v>
      </c>
      <c r="G4356" s="3" t="s">
        <v>154</v>
      </c>
      <c r="H4356" s="2" t="s">
        <v>55</v>
      </c>
      <c r="I4356" s="2" t="s">
        <v>10701</v>
      </c>
      <c r="J4356" s="3" t="str">
        <f>HYPERLINK("https://www.boe.es/gazeta/dias/1809/12/05/pdfs/GGB-H-1809-542.pdf#page=1","Abrir facsímil")</f>
        <v>Abrir facsímil</v>
      </c>
      <c r="K4356" s="3" t="s">
        <v>57</v>
      </c>
    </row>
    <row r="4357" spans="1:11" ht="42" customHeight="1">
      <c r="A4357" s="2" t="s">
        <v>10702</v>
      </c>
      <c r="B4357" s="2" t="s">
        <v>10703</v>
      </c>
      <c r="C4357" s="2" t="s">
        <v>25</v>
      </c>
      <c r="D4357" s="2" t="s">
        <v>26</v>
      </c>
      <c r="E4357" s="3" t="s">
        <v>211</v>
      </c>
      <c r="F4357" s="3" t="s">
        <v>212</v>
      </c>
      <c r="G4357" s="3" t="s">
        <v>29</v>
      </c>
      <c r="H4357" s="2" t="s">
        <v>55</v>
      </c>
      <c r="I4357" s="2" t="s">
        <v>10704</v>
      </c>
      <c r="J4357" s="3" t="str">
        <f>HYPERLINK("https://www.boe.es/gazeta/dias/1809/10/27/pdfs/GMD-1809-301.pdf#page=3","Abrir facsímil")</f>
        <v>Abrir facsímil</v>
      </c>
      <c r="K4357" s="3" t="s">
        <v>57</v>
      </c>
    </row>
    <row r="4358" spans="1:11" ht="42" customHeight="1">
      <c r="A4358" s="2" t="s">
        <v>10705</v>
      </c>
      <c r="B4358" s="2" t="s">
        <v>10706</v>
      </c>
      <c r="C4358" s="2" t="s">
        <v>288</v>
      </c>
      <c r="D4358" s="2" t="s">
        <v>40</v>
      </c>
      <c r="E4358" s="3" t="s">
        <v>2976</v>
      </c>
      <c r="F4358" s="3" t="s">
        <v>2977</v>
      </c>
      <c r="G4358" s="3" t="s">
        <v>62</v>
      </c>
      <c r="H4358" s="2" t="s">
        <v>55</v>
      </c>
      <c r="I4358" s="2" t="s">
        <v>10707</v>
      </c>
      <c r="J4358" s="3" t="str">
        <f>HYPERLINK("https://www.boe.es/gazeta/dias/1809/05/05/pdfs/GGB-1809-24.pdf#page=8","Abrir facsímil")</f>
        <v>Abrir facsímil</v>
      </c>
      <c r="K4358" s="3" t="s">
        <v>57</v>
      </c>
    </row>
    <row r="4359" spans="1:11" ht="42" customHeight="1">
      <c r="A4359" s="2" t="s">
        <v>10705</v>
      </c>
      <c r="B4359" s="2" t="s">
        <v>10706</v>
      </c>
      <c r="C4359" s="2" t="s">
        <v>25</v>
      </c>
      <c r="D4359" s="2" t="s">
        <v>26</v>
      </c>
      <c r="E4359" s="3" t="s">
        <v>211</v>
      </c>
      <c r="F4359" s="3" t="s">
        <v>212</v>
      </c>
      <c r="G4359" s="3" t="s">
        <v>467</v>
      </c>
      <c r="H4359" s="2" t="s">
        <v>55</v>
      </c>
      <c r="I4359" s="2" t="s">
        <v>10708</v>
      </c>
      <c r="J4359" s="3" t="str">
        <f>HYPERLINK("https://www.boe.es/gazeta/dias/1809/10/27/pdfs/GMD-1809-301.pdf#page=2","Abrir facsímil")</f>
        <v>Abrir facsímil</v>
      </c>
      <c r="K4359" s="3" t="s">
        <v>57</v>
      </c>
    </row>
    <row r="4360" spans="1:11" ht="42" customHeight="1">
      <c r="A4360" s="2" t="s">
        <v>10705</v>
      </c>
      <c r="B4360" s="2" t="s">
        <v>10706</v>
      </c>
      <c r="C4360" s="2" t="s">
        <v>25</v>
      </c>
      <c r="D4360" s="2" t="s">
        <v>26</v>
      </c>
      <c r="E4360" s="3" t="s">
        <v>216</v>
      </c>
      <c r="F4360" s="3" t="s">
        <v>217</v>
      </c>
      <c r="G4360" s="3" t="s">
        <v>270</v>
      </c>
      <c r="H4360" s="2" t="s">
        <v>55</v>
      </c>
      <c r="I4360" s="2" t="s">
        <v>10709</v>
      </c>
      <c r="J4360" s="3" t="str">
        <f>HYPERLINK("https://www.boe.es/gazeta/dias/1809/12/05/pdfs/GGB-H-1809-542.pdf#page=3","Abrir facsímil")</f>
        <v>Abrir facsímil</v>
      </c>
      <c r="K4360" s="3" t="s">
        <v>57</v>
      </c>
    </row>
    <row r="4361" spans="1:11" ht="42" customHeight="1">
      <c r="A4361" s="2" t="s">
        <v>10710</v>
      </c>
      <c r="B4361" s="2" t="s">
        <v>10710</v>
      </c>
      <c r="C4361" s="2" t="s">
        <v>17</v>
      </c>
      <c r="D4361" s="2" t="s">
        <v>72</v>
      </c>
      <c r="E4361" s="3" t="s">
        <v>113</v>
      </c>
      <c r="F4361" s="3" t="s">
        <v>3549</v>
      </c>
      <c r="G4361" s="3" t="s">
        <v>110</v>
      </c>
      <c r="H4361" s="2" t="s">
        <v>55</v>
      </c>
      <c r="I4361" s="2" t="s">
        <v>10711</v>
      </c>
      <c r="J4361" s="3" t="str">
        <f>HYPERLINK("https://www.boe.es/gazeta/dias/1809/04/24/pdfs/GGB-G-1809-21.pdf#page=4","Abrir facsímil")</f>
        <v>Abrir facsímil</v>
      </c>
      <c r="K4361" s="3" t="s">
        <v>57</v>
      </c>
    </row>
    <row r="4362" spans="1:11" ht="42" customHeight="1">
      <c r="A4362" s="2" t="s">
        <v>10712</v>
      </c>
      <c r="B4362" s="2" t="s">
        <v>10712</v>
      </c>
      <c r="C4362" s="2" t="s">
        <v>25</v>
      </c>
      <c r="D4362" s="2" t="s">
        <v>26</v>
      </c>
      <c r="E4362" s="3" t="s">
        <v>2691</v>
      </c>
      <c r="F4362" s="3" t="s">
        <v>2692</v>
      </c>
      <c r="G4362" s="3" t="s">
        <v>234</v>
      </c>
      <c r="H4362" s="2" t="s">
        <v>55</v>
      </c>
      <c r="I4362" s="2" t="s">
        <v>10713</v>
      </c>
      <c r="J4362" s="3" t="str">
        <f>HYPERLINK("https://www.boe.es/gazeta/dias/1809/08/27/pdfs/GMD-1809-240.pdf#page=3","Abrir facsímil")</f>
        <v>Abrir facsímil</v>
      </c>
      <c r="K4362" s="3" t="s">
        <v>57</v>
      </c>
    </row>
    <row r="4363" spans="1:11" ht="42" customHeight="1">
      <c r="A4363" s="2" t="s">
        <v>10714</v>
      </c>
      <c r="B4363" s="2" t="s">
        <v>10714</v>
      </c>
      <c r="C4363" s="2" t="s">
        <v>131</v>
      </c>
      <c r="D4363" s="2" t="s">
        <v>107</v>
      </c>
      <c r="E4363" s="3" t="s">
        <v>6243</v>
      </c>
      <c r="F4363" s="3" t="s">
        <v>6244</v>
      </c>
      <c r="G4363" s="3" t="s">
        <v>5805</v>
      </c>
      <c r="H4363" s="2" t="s">
        <v>55</v>
      </c>
      <c r="I4363" s="2" t="s">
        <v>10715</v>
      </c>
      <c r="J4363" s="3" t="str">
        <f>HYPERLINK("https://www.boe.es/gazeta/dias/1809/08/30/pdfs/GMD-1809-243.pdf#page=1","Abrir facsímil")</f>
        <v>Abrir facsímil</v>
      </c>
      <c r="K4363" s="3" t="s">
        <v>57</v>
      </c>
    </row>
    <row r="4364" spans="1:11" ht="42" customHeight="1">
      <c r="A4364" s="2" t="s">
        <v>10714</v>
      </c>
      <c r="B4364" s="2" t="s">
        <v>10714</v>
      </c>
      <c r="C4364" s="2" t="s">
        <v>25</v>
      </c>
      <c r="D4364" s="2" t="s">
        <v>26</v>
      </c>
      <c r="E4364" s="3" t="s">
        <v>616</v>
      </c>
      <c r="F4364" s="3" t="s">
        <v>617</v>
      </c>
      <c r="G4364" s="3" t="s">
        <v>918</v>
      </c>
      <c r="H4364" s="2" t="s">
        <v>55</v>
      </c>
      <c r="I4364" s="2" t="s">
        <v>10716</v>
      </c>
      <c r="J4364" s="3" t="str">
        <f>HYPERLINK("https://www.boe.es/gazeta/dias/1809/10/15/pdfs/GMD-1809-289.pdf#page=4","Abrir facsímil")</f>
        <v>Abrir facsímil</v>
      </c>
      <c r="K4364" s="3" t="s">
        <v>57</v>
      </c>
    </row>
    <row r="4365" spans="1:11" ht="42" customHeight="1">
      <c r="A4365" s="2" t="s">
        <v>10717</v>
      </c>
      <c r="B4365" s="2" t="s">
        <v>10717</v>
      </c>
      <c r="C4365" s="2" t="s">
        <v>25</v>
      </c>
      <c r="D4365" s="2" t="s">
        <v>18</v>
      </c>
      <c r="E4365" s="3" t="s">
        <v>470</v>
      </c>
      <c r="F4365" s="3" t="s">
        <v>471</v>
      </c>
      <c r="G4365" s="3" t="s">
        <v>129</v>
      </c>
      <c r="H4365" s="2" t="s">
        <v>55</v>
      </c>
      <c r="I4365" s="2" t="s">
        <v>10718</v>
      </c>
      <c r="J4365" s="3" t="str">
        <f>HYPERLINK("https://www.boe.es/gazeta/dias/1809/12/15/pdfs/GMD-1809-350.pdf#page=2","Abrir facsímil")</f>
        <v>Abrir facsímil</v>
      </c>
      <c r="K4365" s="3" t="s">
        <v>57</v>
      </c>
    </row>
    <row r="4366" spans="1:11" ht="42" customHeight="1">
      <c r="A4366" s="2" t="s">
        <v>10719</v>
      </c>
      <c r="B4366" s="2" t="s">
        <v>10719</v>
      </c>
      <c r="C4366" s="2" t="s">
        <v>25</v>
      </c>
      <c r="D4366" s="2" t="s">
        <v>18</v>
      </c>
      <c r="E4366" s="3" t="s">
        <v>1502</v>
      </c>
      <c r="F4366" s="3" t="s">
        <v>1503</v>
      </c>
      <c r="G4366" s="3" t="s">
        <v>1504</v>
      </c>
      <c r="H4366" s="2" t="s">
        <v>55</v>
      </c>
      <c r="I4366" s="2" t="s">
        <v>10720</v>
      </c>
      <c r="J4366" s="3" t="str">
        <f>HYPERLINK("https://www.boe.es/gazeta/dias/1809/06/18/pdfs/GMD-1809-169.pdf#page=3","Abrir facsímil")</f>
        <v>Abrir facsímil</v>
      </c>
      <c r="K4366" s="3" t="s">
        <v>57</v>
      </c>
    </row>
    <row r="4367" spans="1:11" ht="42" customHeight="1">
      <c r="A4367" s="2" t="s">
        <v>10721</v>
      </c>
      <c r="B4367" s="2" t="s">
        <v>10722</v>
      </c>
      <c r="C4367" s="2" t="s">
        <v>25</v>
      </c>
      <c r="D4367" s="2" t="s">
        <v>26</v>
      </c>
      <c r="E4367" s="3" t="s">
        <v>1493</v>
      </c>
      <c r="F4367" s="3" t="s">
        <v>1494</v>
      </c>
      <c r="G4367" s="3" t="s">
        <v>234</v>
      </c>
      <c r="H4367" s="2" t="s">
        <v>55</v>
      </c>
      <c r="I4367" s="2" t="s">
        <v>10723</v>
      </c>
      <c r="J4367" s="3" t="str">
        <f>HYPERLINK("https://www.boe.es/gazeta/dias/1809/08/25/pdfs/GMD-1809-238.pdf#page=4","Abrir facsímil")</f>
        <v>Abrir facsímil</v>
      </c>
      <c r="K4367" s="3" t="s">
        <v>57</v>
      </c>
    </row>
    <row r="4368" spans="1:11" ht="42" customHeight="1">
      <c r="A4368" s="2" t="s">
        <v>10724</v>
      </c>
      <c r="B4368" s="2" t="s">
        <v>10724</v>
      </c>
      <c r="C4368" s="2" t="s">
        <v>25</v>
      </c>
      <c r="D4368" s="2" t="s">
        <v>107</v>
      </c>
      <c r="E4368" s="3" t="s">
        <v>883</v>
      </c>
      <c r="F4368" s="3" t="s">
        <v>5874</v>
      </c>
      <c r="G4368" s="3" t="s">
        <v>5875</v>
      </c>
      <c r="H4368" s="2" t="s">
        <v>55</v>
      </c>
      <c r="I4368" s="2" t="s">
        <v>10725</v>
      </c>
      <c r="J4368" s="3" t="str">
        <f>HYPERLINK("https://www.boe.es/gazeta/dias/1809/12/21/pdfs/GGB-1809-612.pdf#page=4","Abrir facsímil")</f>
        <v>Abrir facsímil</v>
      </c>
      <c r="K4368" s="3" t="s">
        <v>57</v>
      </c>
    </row>
    <row r="4369" spans="1:11" ht="42" customHeight="1">
      <c r="A4369" s="2" t="s">
        <v>10726</v>
      </c>
      <c r="B4369" s="2" t="s">
        <v>10727</v>
      </c>
      <c r="C4369" s="2" t="s">
        <v>17</v>
      </c>
      <c r="D4369" s="2" t="s">
        <v>18</v>
      </c>
      <c r="E4369" s="3" t="s">
        <v>2840</v>
      </c>
      <c r="F4369" s="3" t="s">
        <v>2841</v>
      </c>
      <c r="G4369" s="3" t="s">
        <v>62</v>
      </c>
      <c r="H4369" s="2" t="s">
        <v>55</v>
      </c>
      <c r="I4369" s="2" t="s">
        <v>10728</v>
      </c>
      <c r="J4369" s="3" t="str">
        <f>HYPERLINK("https://www.boe.es/gazeta/dias/1809/11/30/pdfs/GMD-1809-335.pdf#page=4","Abrir facsímil")</f>
        <v>Abrir facsímil</v>
      </c>
      <c r="K4369" s="3" t="s">
        <v>57</v>
      </c>
    </row>
    <row r="4370" spans="1:11" ht="42" customHeight="1">
      <c r="A4370" s="2" t="s">
        <v>10729</v>
      </c>
      <c r="B4370" s="2" t="s">
        <v>10729</v>
      </c>
      <c r="C4370" s="2" t="s">
        <v>25</v>
      </c>
      <c r="D4370" s="2" t="s">
        <v>26</v>
      </c>
      <c r="E4370" s="3" t="s">
        <v>258</v>
      </c>
      <c r="F4370" s="3" t="s">
        <v>910</v>
      </c>
      <c r="G4370" s="3" t="s">
        <v>21</v>
      </c>
      <c r="H4370" s="2" t="s">
        <v>55</v>
      </c>
      <c r="I4370" s="2" t="s">
        <v>10730</v>
      </c>
      <c r="J4370" s="3" t="str">
        <f>HYPERLINK("https://www.boe.es/gazeta/dias/1809/03/17/pdfs/GGB-1809-12.pdf#page=5","Abrir facsímil")</f>
        <v>Abrir facsímil</v>
      </c>
      <c r="K4370" s="3" t="s">
        <v>57</v>
      </c>
    </row>
    <row r="4371" spans="1:11" ht="42" customHeight="1">
      <c r="A4371" s="2" t="s">
        <v>10731</v>
      </c>
      <c r="B4371" s="2" t="s">
        <v>10732</v>
      </c>
      <c r="C4371" s="2" t="s">
        <v>25</v>
      </c>
      <c r="D4371" s="2" t="s">
        <v>18</v>
      </c>
      <c r="E4371" s="3" t="s">
        <v>27</v>
      </c>
      <c r="F4371" s="3" t="s">
        <v>254</v>
      </c>
      <c r="G4371" s="3" t="s">
        <v>255</v>
      </c>
      <c r="H4371" s="2" t="s">
        <v>55</v>
      </c>
      <c r="I4371" s="2" t="s">
        <v>10733</v>
      </c>
      <c r="J4371" s="3" t="str">
        <f>HYPERLINK("https://www.boe.es/gazeta/dias/1809/05/12/pdfs/GGB-1809-26.pdf#page=12","Abrir facsímil")</f>
        <v>Abrir facsímil</v>
      </c>
      <c r="K4371" s="3" t="s">
        <v>57</v>
      </c>
    </row>
    <row r="4372" spans="1:11" ht="42" customHeight="1">
      <c r="A4372" s="2" t="s">
        <v>10734</v>
      </c>
      <c r="B4372" s="2" t="s">
        <v>10735</v>
      </c>
      <c r="C4372" s="2" t="s">
        <v>17</v>
      </c>
      <c r="D4372" s="2" t="s">
        <v>72</v>
      </c>
      <c r="E4372" s="3" t="s">
        <v>3178</v>
      </c>
      <c r="F4372" s="3" t="s">
        <v>3179</v>
      </c>
      <c r="G4372" s="3" t="s">
        <v>75</v>
      </c>
      <c r="H4372" s="2" t="s">
        <v>55</v>
      </c>
      <c r="I4372" s="2" t="s">
        <v>10736</v>
      </c>
      <c r="J4372" s="3" t="str">
        <f>HYPERLINK("https://www.boe.es/gazeta/dias/1809/04/20/pdfs/GMD-E-1809-110.pdf#page=2","Abrir facsímil")</f>
        <v>Abrir facsímil</v>
      </c>
      <c r="K4372" s="3" t="s">
        <v>57</v>
      </c>
    </row>
    <row r="4373" spans="1:11" ht="42" customHeight="1">
      <c r="A4373" s="2" t="s">
        <v>10737</v>
      </c>
      <c r="B4373" s="2" t="s">
        <v>10738</v>
      </c>
      <c r="C4373" s="2" t="s">
        <v>17</v>
      </c>
      <c r="D4373" s="2" t="s">
        <v>18</v>
      </c>
      <c r="E4373" s="3" t="s">
        <v>33</v>
      </c>
      <c r="F4373" s="3" t="s">
        <v>34</v>
      </c>
      <c r="G4373" s="3" t="s">
        <v>595</v>
      </c>
      <c r="H4373" s="2" t="s">
        <v>55</v>
      </c>
      <c r="I4373" s="2" t="s">
        <v>10739</v>
      </c>
      <c r="J4373" s="3" t="str">
        <f>HYPERLINK("https://www.boe.es/gazeta/dias/1809/12/19/pdfs/GGB-1809-602.pdf#page=7","Abrir facsímil")</f>
        <v>Abrir facsímil</v>
      </c>
      <c r="K4373" s="3" t="s">
        <v>57</v>
      </c>
    </row>
    <row r="4374" spans="1:11" ht="42" customHeight="1">
      <c r="A4374" s="2" t="s">
        <v>10740</v>
      </c>
      <c r="B4374" s="2" t="s">
        <v>10740</v>
      </c>
      <c r="C4374" s="2" t="s">
        <v>25</v>
      </c>
      <c r="D4374" s="2" t="s">
        <v>18</v>
      </c>
      <c r="E4374" s="3" t="s">
        <v>1598</v>
      </c>
      <c r="F4374" s="3" t="s">
        <v>1599</v>
      </c>
      <c r="G4374" s="3" t="s">
        <v>94</v>
      </c>
      <c r="H4374" s="2" t="s">
        <v>55</v>
      </c>
      <c r="I4374" s="2" t="s">
        <v>10741</v>
      </c>
      <c r="J4374" s="3" t="str">
        <f>HYPERLINK("https://www.boe.es/gazeta/dias/1809/01/10/pdfs/GMS-1809-65.pdf#page=5","Abrir facsímil")</f>
        <v>Abrir facsímil</v>
      </c>
      <c r="K4374" s="3" t="s">
        <v>57</v>
      </c>
    </row>
    <row r="4375" spans="1:11" ht="42" customHeight="1">
      <c r="A4375" s="2" t="s">
        <v>10742</v>
      </c>
      <c r="B4375" s="2" t="s">
        <v>10742</v>
      </c>
      <c r="C4375" s="2" t="s">
        <v>25</v>
      </c>
      <c r="D4375" s="2" t="s">
        <v>18</v>
      </c>
      <c r="E4375" s="3" t="s">
        <v>857</v>
      </c>
      <c r="F4375" s="3" t="s">
        <v>4692</v>
      </c>
      <c r="G4375" s="3" t="s">
        <v>9868</v>
      </c>
      <c r="H4375" s="2" t="s">
        <v>55</v>
      </c>
      <c r="I4375" s="2" t="s">
        <v>10743</v>
      </c>
      <c r="J4375" s="3" t="str">
        <f>HYPERLINK("https://www.boe.es/gazeta/dias/1809/05/01/pdfs/GMD-1809-121.pdf#page=4","Abrir facsímil")</f>
        <v>Abrir facsímil</v>
      </c>
      <c r="K4375" s="3" t="s">
        <v>57</v>
      </c>
    </row>
    <row r="4376" spans="1:11" ht="42" customHeight="1">
      <c r="A4376" s="2" t="s">
        <v>10744</v>
      </c>
      <c r="B4376" s="2" t="s">
        <v>10745</v>
      </c>
      <c r="C4376" s="2" t="s">
        <v>25</v>
      </c>
      <c r="D4376" s="2" t="s">
        <v>40</v>
      </c>
      <c r="E4376" s="3" t="s">
        <v>216</v>
      </c>
      <c r="F4376" s="3" t="s">
        <v>2813</v>
      </c>
      <c r="G4376" s="3" t="s">
        <v>10059</v>
      </c>
      <c r="H4376" s="2" t="s">
        <v>55</v>
      </c>
      <c r="I4376" s="2" t="s">
        <v>10746</v>
      </c>
      <c r="J4376" s="3" t="str">
        <f>HYPERLINK("https://www.boe.es/gazeta/dias/1809/12/05/pdfs/GMD-1809-340.pdf#page=4","Abrir facsímil")</f>
        <v>Abrir facsímil</v>
      </c>
      <c r="K4376" s="3" t="s">
        <v>57</v>
      </c>
    </row>
    <row r="4377" spans="1:11" ht="42" customHeight="1">
      <c r="A4377" s="2" t="s">
        <v>10747</v>
      </c>
      <c r="B4377" s="2" t="s">
        <v>10747</v>
      </c>
      <c r="C4377" s="2" t="s">
        <v>25</v>
      </c>
      <c r="D4377" s="2" t="s">
        <v>26</v>
      </c>
      <c r="E4377" s="3" t="s">
        <v>1269</v>
      </c>
      <c r="F4377" s="3" t="s">
        <v>3272</v>
      </c>
      <c r="G4377" s="3" t="s">
        <v>374</v>
      </c>
      <c r="H4377" s="2" t="s">
        <v>55</v>
      </c>
      <c r="I4377" s="2" t="s">
        <v>10748</v>
      </c>
      <c r="J4377" s="3" t="str">
        <f>HYPERLINK("https://www.boe.es/gazeta/dias/1809/08/12/pdfs/GMD-1809-225.pdf#page=1","Abrir facsímil")</f>
        <v>Abrir facsímil</v>
      </c>
      <c r="K4377" s="3" t="s">
        <v>57</v>
      </c>
    </row>
    <row r="4378" spans="1:11" ht="42" customHeight="1">
      <c r="A4378" s="2" t="s">
        <v>10749</v>
      </c>
      <c r="B4378" s="2" t="s">
        <v>10749</v>
      </c>
      <c r="C4378" s="2" t="s">
        <v>25</v>
      </c>
      <c r="D4378" s="2" t="s">
        <v>26</v>
      </c>
      <c r="E4378" s="3" t="s">
        <v>864</v>
      </c>
      <c r="F4378" s="3" t="s">
        <v>865</v>
      </c>
      <c r="G4378" s="3" t="s">
        <v>467</v>
      </c>
      <c r="H4378" s="2" t="s">
        <v>55</v>
      </c>
      <c r="I4378" s="2" t="s">
        <v>10750</v>
      </c>
      <c r="J4378" s="3" t="str">
        <f>HYPERLINK("https://www.boe.es/gazeta/dias/1809/08/31/pdfs/GMD-1809-244.pdf#page=1","Abrir facsímil")</f>
        <v>Abrir facsímil</v>
      </c>
      <c r="K4378" s="3" t="s">
        <v>57</v>
      </c>
    </row>
    <row r="4379" spans="1:11" ht="42" customHeight="1">
      <c r="A4379" s="2" t="s">
        <v>10751</v>
      </c>
      <c r="B4379" s="2" t="s">
        <v>10752</v>
      </c>
      <c r="C4379" s="2" t="s">
        <v>17</v>
      </c>
      <c r="D4379" s="2" t="s">
        <v>18</v>
      </c>
      <c r="E4379" s="3" t="s">
        <v>243</v>
      </c>
      <c r="F4379" s="3" t="s">
        <v>735</v>
      </c>
      <c r="G4379" s="3" t="s">
        <v>736</v>
      </c>
      <c r="H4379" s="2" t="s">
        <v>55</v>
      </c>
      <c r="I4379" s="2" t="s">
        <v>10753</v>
      </c>
      <c r="J4379" s="3" t="str">
        <f>HYPERLINK("https://www.boe.es/gazeta/dias/1809/02/17/pdfs/GGB-1809-8.pdf#page=8","Abrir facsímil")</f>
        <v>Abrir facsímil</v>
      </c>
      <c r="K4379" s="3" t="s">
        <v>57</v>
      </c>
    </row>
    <row r="4380" spans="1:11" ht="42" customHeight="1">
      <c r="A4380" s="2" t="s">
        <v>10754</v>
      </c>
      <c r="B4380" s="2" t="s">
        <v>10755</v>
      </c>
      <c r="C4380" s="2" t="s">
        <v>17</v>
      </c>
      <c r="D4380" s="2" t="s">
        <v>18</v>
      </c>
      <c r="E4380" s="3" t="s">
        <v>102</v>
      </c>
      <c r="F4380" s="3" t="s">
        <v>103</v>
      </c>
      <c r="G4380" s="3" t="s">
        <v>1091</v>
      </c>
      <c r="H4380" s="2" t="s">
        <v>55</v>
      </c>
      <c r="I4380" s="2" t="s">
        <v>10756</v>
      </c>
      <c r="J4380" s="3" t="str">
        <f>HYPERLINK("https://www.boe.es/gazeta/dias/1809/09/28/pdfs/GGB-1809-252.pdf#page=6","Abrir facsímil")</f>
        <v>Abrir facsímil</v>
      </c>
      <c r="K4380" s="3" t="s">
        <v>57</v>
      </c>
    </row>
    <row r="4381" spans="1:11" ht="42" customHeight="1">
      <c r="A4381" s="2" t="s">
        <v>10757</v>
      </c>
      <c r="B4381" s="2" t="s">
        <v>10757</v>
      </c>
      <c r="C4381" s="2" t="s">
        <v>17</v>
      </c>
      <c r="D4381" s="2" t="s">
        <v>18</v>
      </c>
      <c r="E4381" s="3" t="s">
        <v>857</v>
      </c>
      <c r="F4381" s="3" t="s">
        <v>858</v>
      </c>
      <c r="G4381" s="3" t="s">
        <v>270</v>
      </c>
      <c r="H4381" s="2" t="s">
        <v>55</v>
      </c>
      <c r="I4381" s="2" t="s">
        <v>10758</v>
      </c>
      <c r="J4381" s="3" t="str">
        <f>HYPERLINK("https://www.boe.es/gazeta/dias/1809/05/01/pdfs/GGB-1809-23.pdf#page=3","Abrir facsímil")</f>
        <v>Abrir facsímil</v>
      </c>
      <c r="K4381" s="3" t="s">
        <v>57</v>
      </c>
    </row>
    <row r="4382" spans="1:11" ht="42" customHeight="1">
      <c r="A4382" s="2" t="s">
        <v>10759</v>
      </c>
      <c r="B4382" s="2" t="s">
        <v>10760</v>
      </c>
      <c r="C4382" s="2" t="s">
        <v>17</v>
      </c>
      <c r="D4382" s="2" t="s">
        <v>18</v>
      </c>
      <c r="E4382" s="3" t="s">
        <v>442</v>
      </c>
      <c r="F4382" s="3" t="s">
        <v>2171</v>
      </c>
      <c r="G4382" s="3" t="s">
        <v>2172</v>
      </c>
      <c r="H4382" s="2" t="s">
        <v>55</v>
      </c>
      <c r="I4382" s="2" t="s">
        <v>10761</v>
      </c>
      <c r="J4382" s="3" t="str">
        <f>HYPERLINK("https://www.boe.es/gazeta/dias/1809/09/05/pdfs/GMD-1809-249.pdf#page=4","Abrir facsímil")</f>
        <v>Abrir facsímil</v>
      </c>
      <c r="K4382" s="3" t="s">
        <v>57</v>
      </c>
    </row>
    <row r="4383" spans="1:11" ht="42" customHeight="1">
      <c r="A4383" s="2" t="s">
        <v>10762</v>
      </c>
      <c r="B4383" s="2" t="s">
        <v>10762</v>
      </c>
      <c r="C4383" s="2" t="s">
        <v>25</v>
      </c>
      <c r="D4383" s="2" t="s">
        <v>26</v>
      </c>
      <c r="E4383" s="3" t="s">
        <v>158</v>
      </c>
      <c r="F4383" s="3" t="s">
        <v>1794</v>
      </c>
      <c r="G4383" s="3" t="s">
        <v>120</v>
      </c>
      <c r="H4383" s="2" t="s">
        <v>55</v>
      </c>
      <c r="I4383" s="2" t="s">
        <v>10763</v>
      </c>
      <c r="J4383" s="3" t="str">
        <f>HYPERLINK("https://www.boe.es/gazeta/dias/1809/02/10/pdfs/GGB-G-1809-7.pdf#page=7","Abrir facsímil")</f>
        <v>Abrir facsímil</v>
      </c>
      <c r="K4383" s="3" t="s">
        <v>57</v>
      </c>
    </row>
    <row r="4384" spans="1:11" ht="42" customHeight="1">
      <c r="A4384" s="2" t="s">
        <v>10764</v>
      </c>
      <c r="B4384" s="2" t="s">
        <v>10764</v>
      </c>
      <c r="C4384" s="2" t="s">
        <v>25</v>
      </c>
      <c r="D4384" s="2" t="s">
        <v>18</v>
      </c>
      <c r="E4384" s="3" t="s">
        <v>184</v>
      </c>
      <c r="F4384" s="3" t="s">
        <v>7090</v>
      </c>
      <c r="G4384" s="3" t="s">
        <v>239</v>
      </c>
      <c r="H4384" s="2" t="s">
        <v>55</v>
      </c>
      <c r="I4384" s="2" t="s">
        <v>10765</v>
      </c>
      <c r="J4384" s="3" t="str">
        <f>HYPERLINK("https://www.boe.es/gazeta/dias/1809/01/07/pdfs/GMD-1809-7.pdf#page=3","Abrir facsímil")</f>
        <v>Abrir facsímil</v>
      </c>
      <c r="K4384" s="3" t="s">
        <v>57</v>
      </c>
    </row>
    <row r="4385" spans="1:11" ht="42" customHeight="1">
      <c r="A4385" s="2" t="s">
        <v>10764</v>
      </c>
      <c r="B4385" s="2" t="s">
        <v>10764</v>
      </c>
      <c r="C4385" s="2" t="s">
        <v>25</v>
      </c>
      <c r="D4385" s="2" t="s">
        <v>18</v>
      </c>
      <c r="E4385" s="3" t="s">
        <v>5247</v>
      </c>
      <c r="F4385" s="3" t="s">
        <v>5248</v>
      </c>
      <c r="G4385" s="3" t="s">
        <v>654</v>
      </c>
      <c r="H4385" s="2" t="s">
        <v>55</v>
      </c>
      <c r="I4385" s="2" t="s">
        <v>10766</v>
      </c>
      <c r="J4385" s="3" t="str">
        <f>HYPERLINK("https://www.boe.es/gazeta/dias/1809/01/25/pdfs/GMD-1809-25.pdf#page=2","Abrir facsímil")</f>
        <v>Abrir facsímil</v>
      </c>
      <c r="K4385" s="3" t="s">
        <v>57</v>
      </c>
    </row>
    <row r="4386" spans="1:11" ht="42" customHeight="1">
      <c r="A4386" s="2" t="s">
        <v>10764</v>
      </c>
      <c r="B4386" s="2" t="s">
        <v>10764</v>
      </c>
      <c r="C4386" s="2" t="s">
        <v>25</v>
      </c>
      <c r="D4386" s="2" t="s">
        <v>26</v>
      </c>
      <c r="E4386" s="3" t="s">
        <v>258</v>
      </c>
      <c r="F4386" s="3" t="s">
        <v>1673</v>
      </c>
      <c r="G4386" s="3" t="s">
        <v>239</v>
      </c>
      <c r="H4386" s="2" t="s">
        <v>55</v>
      </c>
      <c r="I4386" s="2" t="s">
        <v>10767</v>
      </c>
      <c r="J4386" s="3" t="str">
        <f>HYPERLINK("https://www.boe.es/gazeta/dias/1809/03/17/pdfs/GGB-G-1809-12.pdf#page=6","Abrir facsímil")</f>
        <v>Abrir facsímil</v>
      </c>
      <c r="K4386" s="3" t="s">
        <v>57</v>
      </c>
    </row>
    <row r="4387" spans="1:11" ht="42" customHeight="1">
      <c r="A4387" s="2" t="s">
        <v>10764</v>
      </c>
      <c r="B4387" s="2" t="s">
        <v>10764</v>
      </c>
      <c r="C4387" s="2" t="s">
        <v>25</v>
      </c>
      <c r="D4387" s="2" t="s">
        <v>72</v>
      </c>
      <c r="E4387" s="3" t="s">
        <v>258</v>
      </c>
      <c r="F4387" s="3" t="s">
        <v>1673</v>
      </c>
      <c r="G4387" s="3" t="s">
        <v>10768</v>
      </c>
      <c r="H4387" s="2" t="s">
        <v>55</v>
      </c>
      <c r="I4387" s="2" t="s">
        <v>10769</v>
      </c>
      <c r="J4387" s="3" t="str">
        <f>HYPERLINK("https://www.boe.es/gazeta/dias/1809/03/17/pdfs/GGB-G-1809-12.pdf#page=8","Abrir facsímil")</f>
        <v>Abrir facsímil</v>
      </c>
      <c r="K4387" s="3" t="s">
        <v>57</v>
      </c>
    </row>
    <row r="4388" spans="1:11" ht="42" customHeight="1">
      <c r="A4388" s="2" t="s">
        <v>10764</v>
      </c>
      <c r="B4388" s="2" t="s">
        <v>10764</v>
      </c>
      <c r="C4388" s="2" t="s">
        <v>25</v>
      </c>
      <c r="D4388" s="2" t="s">
        <v>26</v>
      </c>
      <c r="E4388" s="3" t="s">
        <v>1332</v>
      </c>
      <c r="F4388" s="3" t="s">
        <v>1333</v>
      </c>
      <c r="G4388" s="3" t="s">
        <v>374</v>
      </c>
      <c r="H4388" s="2" t="s">
        <v>55</v>
      </c>
      <c r="I4388" s="2" t="s">
        <v>10770</v>
      </c>
      <c r="J4388" s="3" t="str">
        <f>HYPERLINK("https://www.boe.es/gazeta/dias/1809/05/09/pdfs/GMD-1809-129.pdf#page=2","Abrir facsímil")</f>
        <v>Abrir facsímil</v>
      </c>
      <c r="K4388" s="3" t="s">
        <v>57</v>
      </c>
    </row>
    <row r="4389" spans="1:11" ht="42" customHeight="1">
      <c r="A4389" s="2" t="s">
        <v>10771</v>
      </c>
      <c r="B4389" s="2" t="s">
        <v>10772</v>
      </c>
      <c r="C4389" s="2" t="s">
        <v>25</v>
      </c>
      <c r="D4389" s="2" t="s">
        <v>26</v>
      </c>
      <c r="E4389" s="3" t="s">
        <v>1598</v>
      </c>
      <c r="F4389" s="3" t="s">
        <v>1599</v>
      </c>
      <c r="G4389" s="3" t="s">
        <v>94</v>
      </c>
      <c r="H4389" s="2" t="s">
        <v>55</v>
      </c>
      <c r="I4389" s="2" t="s">
        <v>10773</v>
      </c>
      <c r="J4389" s="3" t="str">
        <f>HYPERLINK("https://www.boe.es/gazeta/dias/1809/01/10/pdfs/GMS-1809-65.pdf#page=5","Abrir facsímil")</f>
        <v>Abrir facsímil</v>
      </c>
      <c r="K4389" s="3" t="s">
        <v>57</v>
      </c>
    </row>
    <row r="4390" spans="1:11" ht="42" customHeight="1">
      <c r="A4390" s="2" t="s">
        <v>10771</v>
      </c>
      <c r="B4390" s="2" t="s">
        <v>10772</v>
      </c>
      <c r="C4390" s="2" t="s">
        <v>25</v>
      </c>
      <c r="D4390" s="2" t="s">
        <v>26</v>
      </c>
      <c r="E4390" s="3" t="s">
        <v>857</v>
      </c>
      <c r="F4390" s="3" t="s">
        <v>858</v>
      </c>
      <c r="G4390" s="3" t="s">
        <v>234</v>
      </c>
      <c r="H4390" s="2" t="s">
        <v>55</v>
      </c>
      <c r="I4390" s="2" t="s">
        <v>10774</v>
      </c>
      <c r="J4390" s="3" t="str">
        <f>HYPERLINK("https://www.boe.es/gazeta/dias/1809/05/01/pdfs/GGB-1809-23.pdf#page=6","Abrir facsímil")</f>
        <v>Abrir facsímil</v>
      </c>
      <c r="K4390" s="3" t="s">
        <v>57</v>
      </c>
    </row>
    <row r="4391" spans="1:11" ht="42" customHeight="1">
      <c r="A4391" s="2" t="s">
        <v>10775</v>
      </c>
      <c r="B4391" s="2" t="s">
        <v>10775</v>
      </c>
      <c r="C4391" s="2" t="s">
        <v>25</v>
      </c>
      <c r="D4391" s="2" t="s">
        <v>40</v>
      </c>
      <c r="E4391" s="3" t="s">
        <v>512</v>
      </c>
      <c r="F4391" s="3" t="s">
        <v>513</v>
      </c>
      <c r="G4391" s="3" t="s">
        <v>21</v>
      </c>
      <c r="H4391" s="2" t="s">
        <v>55</v>
      </c>
      <c r="I4391" s="2" t="s">
        <v>10776</v>
      </c>
      <c r="J4391" s="3" t="str">
        <f>HYPERLINK("https://www.boe.es/gazeta/dias/1809/07/06/pdfs/GMD-1809-187.pdf#page=2","Abrir facsímil")</f>
        <v>Abrir facsímil</v>
      </c>
      <c r="K4391" s="3" t="s">
        <v>57</v>
      </c>
    </row>
    <row r="4392" spans="1:11" ht="42" customHeight="1">
      <c r="A4392" s="2" t="s">
        <v>10777</v>
      </c>
      <c r="B4392" s="2" t="s">
        <v>10778</v>
      </c>
      <c r="C4392" s="2" t="s">
        <v>17</v>
      </c>
      <c r="D4392" s="2" t="s">
        <v>72</v>
      </c>
      <c r="E4392" s="3" t="s">
        <v>243</v>
      </c>
      <c r="F4392" s="3" t="s">
        <v>244</v>
      </c>
      <c r="G4392" s="3" t="s">
        <v>110</v>
      </c>
      <c r="H4392" s="2" t="s">
        <v>55</v>
      </c>
      <c r="I4392" s="2" t="s">
        <v>10779</v>
      </c>
      <c r="J4392" s="3" t="str">
        <f>HYPERLINK("https://www.boe.es/gazeta/dias/1809/02/17/pdfs/GGB-G-1809-8.pdf#page=5","Abrir facsímil")</f>
        <v>Abrir facsímil</v>
      </c>
      <c r="K4392" s="3" t="s">
        <v>57</v>
      </c>
    </row>
    <row r="4393" spans="1:11" ht="42" customHeight="1">
      <c r="A4393" s="2" t="s">
        <v>10780</v>
      </c>
      <c r="B4393" s="2" t="s">
        <v>10780</v>
      </c>
      <c r="C4393" s="2" t="s">
        <v>17</v>
      </c>
      <c r="D4393" s="2" t="s">
        <v>80</v>
      </c>
      <c r="E4393" s="3" t="s">
        <v>599</v>
      </c>
      <c r="F4393" s="3" t="s">
        <v>3926</v>
      </c>
      <c r="G4393" s="3" t="s">
        <v>110</v>
      </c>
      <c r="H4393" s="2" t="s">
        <v>55</v>
      </c>
      <c r="I4393" s="2" t="s">
        <v>10781</v>
      </c>
      <c r="J4393" s="3" t="str">
        <f>HYPERLINK("https://www.boe.es/gazeta/dias/1809/01/19/pdfs/GGB-1809-3E2.pdf#page=1","Abrir facsímil")</f>
        <v>Abrir facsímil</v>
      </c>
      <c r="K4393" s="3" t="s">
        <v>57</v>
      </c>
    </row>
    <row r="4394" spans="1:11" ht="42" customHeight="1">
      <c r="A4394" s="2" t="s">
        <v>10782</v>
      </c>
      <c r="B4394" s="2" t="s">
        <v>10782</v>
      </c>
      <c r="C4394" s="2" t="s">
        <v>17</v>
      </c>
      <c r="D4394" s="2" t="s">
        <v>18</v>
      </c>
      <c r="E4394" s="3" t="s">
        <v>2244</v>
      </c>
      <c r="F4394" s="3" t="s">
        <v>2245</v>
      </c>
      <c r="G4394" s="3" t="s">
        <v>1880</v>
      </c>
      <c r="H4394" s="2" t="s">
        <v>55</v>
      </c>
      <c r="I4394" s="2" t="s">
        <v>10783</v>
      </c>
      <c r="J4394" s="3" t="str">
        <f>HYPERLINK("https://www.boe.es/gazeta/dias/1809/03/27/pdfs/GGB-1809-13B.pdf#page=5","Abrir facsímil")</f>
        <v>Abrir facsímil</v>
      </c>
      <c r="K4394" s="3" t="s">
        <v>57</v>
      </c>
    </row>
    <row r="4395" spans="1:11" ht="42" customHeight="1">
      <c r="A4395" s="2" t="s">
        <v>10782</v>
      </c>
      <c r="B4395" s="2" t="s">
        <v>10782</v>
      </c>
      <c r="C4395" s="2" t="s">
        <v>17</v>
      </c>
      <c r="D4395" s="2" t="s">
        <v>107</v>
      </c>
      <c r="E4395" s="3" t="s">
        <v>1007</v>
      </c>
      <c r="F4395" s="3" t="s">
        <v>3043</v>
      </c>
      <c r="G4395" s="3" t="s">
        <v>914</v>
      </c>
      <c r="H4395" s="2" t="s">
        <v>55</v>
      </c>
      <c r="I4395" s="2" t="s">
        <v>10784</v>
      </c>
      <c r="J4395" s="3" t="str">
        <f>HYPERLINK("https://www.boe.es/gazeta/dias/1809/04/14/pdfs/GGB-1809-17.pdf#page=4","Abrir facsímil")</f>
        <v>Abrir facsímil</v>
      </c>
      <c r="K4395" s="3" t="s">
        <v>57</v>
      </c>
    </row>
    <row r="4396" spans="1:11" ht="42" customHeight="1">
      <c r="A4396" s="2" t="s">
        <v>10782</v>
      </c>
      <c r="B4396" s="2" t="s">
        <v>10782</v>
      </c>
      <c r="C4396" s="2" t="s">
        <v>25</v>
      </c>
      <c r="D4396" s="2" t="s">
        <v>107</v>
      </c>
      <c r="E4396" s="3" t="s">
        <v>857</v>
      </c>
      <c r="F4396" s="3" t="s">
        <v>858</v>
      </c>
      <c r="G4396" s="3" t="s">
        <v>270</v>
      </c>
      <c r="H4396" s="2" t="s">
        <v>55</v>
      </c>
      <c r="I4396" s="2" t="s">
        <v>10785</v>
      </c>
      <c r="J4396" s="3" t="str">
        <f>HYPERLINK("https://www.boe.es/gazeta/dias/1809/05/01/pdfs/GGB-1809-23.pdf#page=3","Abrir facsímil")</f>
        <v>Abrir facsímil</v>
      </c>
      <c r="K4396" s="3" t="s">
        <v>57</v>
      </c>
    </row>
    <row r="4397" spans="1:11" ht="42" customHeight="1">
      <c r="A4397" s="2" t="s">
        <v>10782</v>
      </c>
      <c r="B4397" s="2" t="s">
        <v>10782</v>
      </c>
      <c r="C4397" s="2" t="s">
        <v>17</v>
      </c>
      <c r="D4397" s="2" t="s">
        <v>18</v>
      </c>
      <c r="E4397" s="3" t="s">
        <v>857</v>
      </c>
      <c r="F4397" s="3" t="s">
        <v>858</v>
      </c>
      <c r="G4397" s="3" t="s">
        <v>154</v>
      </c>
      <c r="H4397" s="2" t="s">
        <v>55</v>
      </c>
      <c r="I4397" s="2" t="s">
        <v>10786</v>
      </c>
      <c r="J4397" s="3" t="str">
        <f>HYPERLINK("https://www.boe.es/gazeta/dias/1809/05/01/pdfs/GGB-1809-23.pdf#page=4","Abrir facsímil")</f>
        <v>Abrir facsímil</v>
      </c>
      <c r="K4397" s="3" t="s">
        <v>57</v>
      </c>
    </row>
    <row r="4398" spans="1:11" ht="42" customHeight="1">
      <c r="A4398" s="2" t="s">
        <v>10787</v>
      </c>
      <c r="B4398" s="2" t="s">
        <v>10787</v>
      </c>
      <c r="C4398" s="2" t="s">
        <v>39</v>
      </c>
      <c r="D4398" s="2" t="s">
        <v>18</v>
      </c>
      <c r="E4398" s="3" t="s">
        <v>421</v>
      </c>
      <c r="F4398" s="3" t="s">
        <v>962</v>
      </c>
      <c r="G4398" s="3" t="s">
        <v>75</v>
      </c>
      <c r="H4398" s="2" t="s">
        <v>55</v>
      </c>
      <c r="I4398" s="2" t="s">
        <v>10788</v>
      </c>
      <c r="J4398" s="3" t="str">
        <f>HYPERLINK("https://www.boe.es/gazeta/dias/1809/04/28/pdfs/GGB-1809-22.pdf#page=2","Abrir facsímil")</f>
        <v>Abrir facsímil</v>
      </c>
      <c r="K4398" s="3" t="s">
        <v>57</v>
      </c>
    </row>
    <row r="4399" spans="1:11" ht="42" customHeight="1">
      <c r="A4399" s="2" t="s">
        <v>10789</v>
      </c>
      <c r="B4399" s="2" t="s">
        <v>10789</v>
      </c>
      <c r="C4399" s="2" t="s">
        <v>25</v>
      </c>
      <c r="D4399" s="2" t="s">
        <v>18</v>
      </c>
      <c r="E4399" s="3" t="s">
        <v>7566</v>
      </c>
      <c r="F4399" s="3" t="s">
        <v>7567</v>
      </c>
      <c r="G4399" s="3" t="s">
        <v>21</v>
      </c>
      <c r="H4399" s="2" t="s">
        <v>55</v>
      </c>
      <c r="I4399" s="2" t="s">
        <v>10790</v>
      </c>
      <c r="J4399" s="3" t="str">
        <f>HYPERLINK("https://www.boe.es/gazeta/dias/1809/10/02/pdfs/GMD-1809-276.pdf#page=1","Abrir facsímil")</f>
        <v>Abrir facsímil</v>
      </c>
      <c r="K4399" s="3" t="s">
        <v>57</v>
      </c>
    </row>
    <row r="4400" spans="1:11" ht="42" customHeight="1">
      <c r="A4400" s="2" t="s">
        <v>10791</v>
      </c>
      <c r="B4400" s="2" t="s">
        <v>10791</v>
      </c>
      <c r="C4400" s="2" t="s">
        <v>25</v>
      </c>
      <c r="D4400" s="2" t="s">
        <v>26</v>
      </c>
      <c r="E4400" s="3" t="s">
        <v>2705</v>
      </c>
      <c r="F4400" s="3" t="s">
        <v>2706</v>
      </c>
      <c r="G4400" s="3" t="s">
        <v>2707</v>
      </c>
      <c r="H4400" s="2" t="s">
        <v>55</v>
      </c>
      <c r="I4400" s="2" t="s">
        <v>10792</v>
      </c>
      <c r="J4400" s="3" t="str">
        <f>HYPERLINK("https://www.boe.es/gazeta/dias/1809/08/05/pdfs/GMD-1809-218.pdf#page=1","Abrir facsímil")</f>
        <v>Abrir facsímil</v>
      </c>
      <c r="K4400" s="3" t="s">
        <v>57</v>
      </c>
    </row>
    <row r="4401" spans="1:11" ht="42" customHeight="1">
      <c r="A4401" s="2" t="s">
        <v>10791</v>
      </c>
      <c r="B4401" s="2" t="s">
        <v>10791</v>
      </c>
      <c r="C4401" s="2" t="s">
        <v>25</v>
      </c>
      <c r="D4401" s="2" t="s">
        <v>26</v>
      </c>
      <c r="E4401" s="3" t="s">
        <v>1129</v>
      </c>
      <c r="F4401" s="3" t="s">
        <v>1130</v>
      </c>
      <c r="G4401" s="3" t="s">
        <v>3247</v>
      </c>
      <c r="H4401" s="2" t="s">
        <v>55</v>
      </c>
      <c r="I4401" s="2" t="s">
        <v>10793</v>
      </c>
      <c r="J4401" s="3" t="str">
        <f>HYPERLINK("https://www.boe.es/gazeta/dias/1809/08/17/pdfs/GGB-1809-72.pdf#page=3","Abrir facsímil")</f>
        <v>Abrir facsímil</v>
      </c>
      <c r="K4401" s="3" t="s">
        <v>57</v>
      </c>
    </row>
    <row r="4402" spans="1:11" ht="42" customHeight="1">
      <c r="A4402" s="2" t="s">
        <v>10794</v>
      </c>
      <c r="B4402" s="2" t="s">
        <v>10794</v>
      </c>
      <c r="C4402" s="2" t="s">
        <v>47</v>
      </c>
      <c r="D4402" s="2" t="s">
        <v>18</v>
      </c>
      <c r="E4402" s="3" t="s">
        <v>1598</v>
      </c>
      <c r="F4402" s="3" t="s">
        <v>7529</v>
      </c>
      <c r="G4402" s="3" t="s">
        <v>1516</v>
      </c>
      <c r="H4402" s="2" t="s">
        <v>55</v>
      </c>
      <c r="I4402" s="2" t="s">
        <v>10795</v>
      </c>
      <c r="J4402" s="3" t="str">
        <f>HYPERLINK("https://www.boe.es/gazeta/dias/1809/01/10/pdfs/GMD-1809-10.pdf#page=2","Abrir facsímil")</f>
        <v>Abrir facsímil</v>
      </c>
      <c r="K4402" s="3" t="s">
        <v>57</v>
      </c>
    </row>
    <row r="4403" spans="1:11" ht="42" customHeight="1">
      <c r="A4403" s="2" t="s">
        <v>10796</v>
      </c>
      <c r="B4403" s="2" t="s">
        <v>10797</v>
      </c>
      <c r="C4403" s="2" t="s">
        <v>25</v>
      </c>
      <c r="D4403" s="2" t="s">
        <v>26</v>
      </c>
      <c r="E4403" s="3" t="s">
        <v>294</v>
      </c>
      <c r="F4403" s="3" t="s">
        <v>295</v>
      </c>
      <c r="G4403" s="3" t="s">
        <v>154</v>
      </c>
      <c r="H4403" s="2" t="s">
        <v>55</v>
      </c>
      <c r="I4403" s="2" t="s">
        <v>10798</v>
      </c>
      <c r="J4403" s="3" t="str">
        <f>HYPERLINK("https://www.boe.es/gazeta/dias/1809/09/30/pdfs/GGB-H-1809-262.pdf#page=3","Abrir facsímil")</f>
        <v>Abrir facsímil</v>
      </c>
      <c r="K4403" s="3" t="s">
        <v>57</v>
      </c>
    </row>
    <row r="4404" spans="1:11" ht="42" customHeight="1">
      <c r="A4404" s="2" t="s">
        <v>10799</v>
      </c>
      <c r="B4404" s="2" t="s">
        <v>10800</v>
      </c>
      <c r="C4404" s="2" t="s">
        <v>25</v>
      </c>
      <c r="D4404" s="2" t="s">
        <v>26</v>
      </c>
      <c r="E4404" s="3" t="s">
        <v>143</v>
      </c>
      <c r="F4404" s="3" t="s">
        <v>705</v>
      </c>
      <c r="G4404" s="3" t="s">
        <v>225</v>
      </c>
      <c r="H4404" s="2" t="s">
        <v>55</v>
      </c>
      <c r="I4404" s="2" t="s">
        <v>10801</v>
      </c>
      <c r="J4404" s="3" t="str">
        <f>HYPERLINK("https://www.boe.es/gazeta/dias/1809/11/16/pdfs/GGB-H-1809-462.pdf#page=4","Abrir facsímil")</f>
        <v>Abrir facsímil</v>
      </c>
      <c r="K4404" s="3" t="s">
        <v>57</v>
      </c>
    </row>
    <row r="4405" spans="1:11" ht="42" customHeight="1">
      <c r="A4405" s="2" t="s">
        <v>10802</v>
      </c>
      <c r="B4405" s="2" t="s">
        <v>10802</v>
      </c>
      <c r="C4405" s="2" t="s">
        <v>79</v>
      </c>
      <c r="D4405" s="2" t="s">
        <v>107</v>
      </c>
      <c r="E4405" s="3" t="s">
        <v>449</v>
      </c>
      <c r="F4405" s="3" t="s">
        <v>640</v>
      </c>
      <c r="G4405" s="3" t="s">
        <v>110</v>
      </c>
      <c r="H4405" s="2" t="s">
        <v>55</v>
      </c>
      <c r="I4405" s="2" t="s">
        <v>10803</v>
      </c>
      <c r="J4405" s="3" t="str">
        <f>HYPERLINK("https://www.boe.es/gazeta/dias/1809/10/10/pdfs/GMD-1809-284.pdf#page=3","Abrir facsímil")</f>
        <v>Abrir facsímil</v>
      </c>
      <c r="K4405" s="3" t="s">
        <v>57</v>
      </c>
    </row>
    <row r="4406" spans="1:11" ht="42" customHeight="1">
      <c r="A4406" s="2" t="s">
        <v>10804</v>
      </c>
      <c r="B4406" s="2" t="s">
        <v>10804</v>
      </c>
      <c r="C4406" s="2" t="s">
        <v>25</v>
      </c>
      <c r="D4406" s="2" t="s">
        <v>18</v>
      </c>
      <c r="E4406" s="3" t="s">
        <v>211</v>
      </c>
      <c r="F4406" s="3" t="s">
        <v>212</v>
      </c>
      <c r="G4406" s="3" t="s">
        <v>29</v>
      </c>
      <c r="H4406" s="2" t="s">
        <v>55</v>
      </c>
      <c r="I4406" s="2" t="s">
        <v>10805</v>
      </c>
      <c r="J4406" s="3" t="str">
        <f>HYPERLINK("https://www.boe.es/gazeta/dias/1809/10/27/pdfs/GMD-1809-301.pdf#page=3","Abrir facsímil")</f>
        <v>Abrir facsímil</v>
      </c>
      <c r="K4406" s="3" t="s">
        <v>57</v>
      </c>
    </row>
    <row r="4407" spans="1:11" ht="42" customHeight="1">
      <c r="A4407" s="2" t="s">
        <v>10806</v>
      </c>
      <c r="B4407" s="2" t="s">
        <v>10807</v>
      </c>
      <c r="C4407" s="2" t="s">
        <v>25</v>
      </c>
      <c r="D4407" s="2" t="s">
        <v>40</v>
      </c>
      <c r="E4407" s="3" t="s">
        <v>2038</v>
      </c>
      <c r="F4407" s="3" t="s">
        <v>2039</v>
      </c>
      <c r="G4407" s="3" t="s">
        <v>239</v>
      </c>
      <c r="H4407" s="2" t="s">
        <v>55</v>
      </c>
      <c r="I4407" s="2" t="s">
        <v>10808</v>
      </c>
      <c r="J4407" s="3" t="str">
        <f>HYPERLINK("https://www.boe.es/gazeta/dias/1809/05/07/pdfs/GMD-1809-127.pdf#page=4","Abrir facsímil")</f>
        <v>Abrir facsímil</v>
      </c>
      <c r="K4407" s="3" t="s">
        <v>57</v>
      </c>
    </row>
    <row r="4408" spans="1:11" ht="42" customHeight="1">
      <c r="A4408" s="2" t="s">
        <v>10809</v>
      </c>
      <c r="B4408" s="2" t="s">
        <v>10810</v>
      </c>
      <c r="C4408" s="2" t="s">
        <v>25</v>
      </c>
      <c r="D4408" s="2" t="s">
        <v>107</v>
      </c>
      <c r="E4408" s="3" t="s">
        <v>512</v>
      </c>
      <c r="F4408" s="3" t="s">
        <v>513</v>
      </c>
      <c r="G4408" s="3" t="s">
        <v>21</v>
      </c>
      <c r="H4408" s="2" t="s">
        <v>55</v>
      </c>
      <c r="I4408" s="2" t="s">
        <v>10811</v>
      </c>
      <c r="J4408" s="3" t="str">
        <f>HYPERLINK("https://www.boe.es/gazeta/dias/1809/07/06/pdfs/GMD-1809-187.pdf#page=2","Abrir facsímil")</f>
        <v>Abrir facsímil</v>
      </c>
      <c r="K4408" s="3" t="s">
        <v>57</v>
      </c>
    </row>
    <row r="4409" spans="1:11" ht="42" customHeight="1">
      <c r="A4409" s="2" t="s">
        <v>10812</v>
      </c>
      <c r="B4409" s="2" t="s">
        <v>10812</v>
      </c>
      <c r="C4409" s="2" t="s">
        <v>25</v>
      </c>
      <c r="D4409" s="2" t="s">
        <v>18</v>
      </c>
      <c r="E4409" s="3" t="s">
        <v>616</v>
      </c>
      <c r="F4409" s="3" t="s">
        <v>617</v>
      </c>
      <c r="G4409" s="3" t="s">
        <v>918</v>
      </c>
      <c r="H4409" s="2" t="s">
        <v>55</v>
      </c>
      <c r="I4409" s="2" t="s">
        <v>10813</v>
      </c>
      <c r="J4409" s="3" t="str">
        <f>HYPERLINK("https://www.boe.es/gazeta/dias/1809/10/15/pdfs/GMD-1809-289.pdf#page=4","Abrir facsímil")</f>
        <v>Abrir facsímil</v>
      </c>
      <c r="K4409" s="3" t="s">
        <v>57</v>
      </c>
    </row>
    <row r="4410" spans="1:11" ht="42" customHeight="1">
      <c r="A4410" s="2" t="s">
        <v>10814</v>
      </c>
      <c r="B4410" s="2" t="s">
        <v>10815</v>
      </c>
      <c r="C4410" s="2" t="s">
        <v>25</v>
      </c>
      <c r="D4410" s="2" t="s">
        <v>18</v>
      </c>
      <c r="E4410" s="3" t="s">
        <v>1581</v>
      </c>
      <c r="F4410" s="3" t="s">
        <v>1582</v>
      </c>
      <c r="G4410" s="3" t="s">
        <v>75</v>
      </c>
      <c r="H4410" s="2" t="s">
        <v>22</v>
      </c>
      <c r="I4410" s="2" t="s">
        <v>10816</v>
      </c>
      <c r="J4410" s="3" t="str">
        <f>HYPERLINK("https://www.boe.es/gazeta/dias/1809/05/30/pdfs/GMD-1809-150.pdf#page=4","Abrir facsímil")</f>
        <v>Abrir facsímil</v>
      </c>
      <c r="K4410" s="3" t="s">
        <v>24</v>
      </c>
    </row>
    <row r="4411" spans="1:11" ht="42" customHeight="1">
      <c r="A4411" s="2" t="s">
        <v>10817</v>
      </c>
      <c r="B4411" s="2" t="s">
        <v>10817</v>
      </c>
      <c r="C4411" s="2" t="s">
        <v>25</v>
      </c>
      <c r="D4411" s="2" t="s">
        <v>26</v>
      </c>
      <c r="E4411" s="3" t="s">
        <v>3031</v>
      </c>
      <c r="F4411" s="3" t="s">
        <v>3032</v>
      </c>
      <c r="G4411" s="3" t="s">
        <v>467</v>
      </c>
      <c r="H4411" s="2" t="s">
        <v>55</v>
      </c>
      <c r="I4411" s="2" t="s">
        <v>10818</v>
      </c>
      <c r="J4411" s="3" t="str">
        <f>HYPERLINK("https://www.boe.es/gazeta/dias/1809/08/18/pdfs/GMD-1809-231.pdf#page=3","Abrir facsímil")</f>
        <v>Abrir facsímil</v>
      </c>
      <c r="K4411" s="3" t="s">
        <v>57</v>
      </c>
    </row>
    <row r="4412" spans="1:11" ht="42" customHeight="1">
      <c r="A4412" s="2" t="s">
        <v>10817</v>
      </c>
      <c r="B4412" s="2" t="s">
        <v>10817</v>
      </c>
      <c r="C4412" s="2" t="s">
        <v>25</v>
      </c>
      <c r="D4412" s="2" t="s">
        <v>26</v>
      </c>
      <c r="E4412" s="3" t="s">
        <v>327</v>
      </c>
      <c r="F4412" s="3" t="s">
        <v>328</v>
      </c>
      <c r="G4412" s="3" t="s">
        <v>10819</v>
      </c>
      <c r="H4412" s="2" t="s">
        <v>55</v>
      </c>
      <c r="I4412" s="2" t="s">
        <v>10820</v>
      </c>
      <c r="J4412" s="3" t="str">
        <f>HYPERLINK("https://www.boe.es/gazeta/dias/1809/09/14/pdfs/GGB-1809-192.pdf#page=1","Abrir facsímil")</f>
        <v>Abrir facsímil</v>
      </c>
      <c r="K4412" s="3" t="s">
        <v>57</v>
      </c>
    </row>
    <row r="4413" spans="1:11" ht="42" customHeight="1">
      <c r="A4413" s="2" t="s">
        <v>10821</v>
      </c>
      <c r="B4413" s="2" t="s">
        <v>10821</v>
      </c>
      <c r="C4413" s="2" t="s">
        <v>25</v>
      </c>
      <c r="D4413" s="2" t="s">
        <v>18</v>
      </c>
      <c r="E4413" s="3" t="s">
        <v>263</v>
      </c>
      <c r="F4413" s="3" t="s">
        <v>1026</v>
      </c>
      <c r="G4413" s="3" t="s">
        <v>234</v>
      </c>
      <c r="H4413" s="2" t="s">
        <v>55</v>
      </c>
      <c r="I4413" s="2" t="s">
        <v>10822</v>
      </c>
      <c r="J4413" s="3" t="str">
        <f>HYPERLINK("https://www.boe.es/gazeta/dias/1809/11/21/pdfs/GMD-1809-326.pdf#page=2","Abrir facsímil")</f>
        <v>Abrir facsímil</v>
      </c>
      <c r="K4413" s="3" t="s">
        <v>57</v>
      </c>
    </row>
    <row r="4414" spans="1:11" ht="42" customHeight="1">
      <c r="A4414" s="2" t="s">
        <v>10823</v>
      </c>
      <c r="B4414" s="2" t="s">
        <v>10823</v>
      </c>
      <c r="C4414" s="2" t="s">
        <v>25</v>
      </c>
      <c r="D4414" s="2" t="s">
        <v>18</v>
      </c>
      <c r="E4414" s="3" t="s">
        <v>1502</v>
      </c>
      <c r="F4414" s="3" t="s">
        <v>1503</v>
      </c>
      <c r="G4414" s="3" t="s">
        <v>1504</v>
      </c>
      <c r="H4414" s="2" t="s">
        <v>55</v>
      </c>
      <c r="I4414" s="2" t="s">
        <v>10824</v>
      </c>
      <c r="J4414" s="3" t="str">
        <f>HYPERLINK("https://www.boe.es/gazeta/dias/1809/06/18/pdfs/GMD-1809-169.pdf#page=3","Abrir facsímil")</f>
        <v>Abrir facsímil</v>
      </c>
      <c r="K4414" s="3" t="s">
        <v>57</v>
      </c>
    </row>
    <row r="4415" spans="1:11" ht="42" customHeight="1">
      <c r="A4415" s="2" t="s">
        <v>10825</v>
      </c>
      <c r="B4415" s="2" t="s">
        <v>10826</v>
      </c>
      <c r="C4415" s="2" t="s">
        <v>131</v>
      </c>
      <c r="D4415" s="2" t="s">
        <v>18</v>
      </c>
      <c r="E4415" s="3" t="s">
        <v>3714</v>
      </c>
      <c r="F4415" s="3" t="s">
        <v>3715</v>
      </c>
      <c r="G4415" s="3" t="s">
        <v>225</v>
      </c>
      <c r="H4415" s="2" t="s">
        <v>55</v>
      </c>
      <c r="I4415" s="2" t="s">
        <v>10827</v>
      </c>
      <c r="J4415" s="3" t="str">
        <f>HYPERLINK("https://www.boe.es/gazeta/dias/1809/12/07/pdfs/GMD-1809-342.pdf#page=4","Abrir facsímil")</f>
        <v>Abrir facsímil</v>
      </c>
      <c r="K4415" s="3" t="s">
        <v>57</v>
      </c>
    </row>
    <row r="4416" spans="1:11" ht="42" customHeight="1">
      <c r="A4416" s="2" t="s">
        <v>10828</v>
      </c>
      <c r="B4416" s="2" t="s">
        <v>10829</v>
      </c>
      <c r="C4416" s="2" t="s">
        <v>17</v>
      </c>
      <c r="D4416" s="2" t="s">
        <v>18</v>
      </c>
      <c r="E4416" s="3" t="s">
        <v>243</v>
      </c>
      <c r="F4416" s="3" t="s">
        <v>352</v>
      </c>
      <c r="G4416" s="3" t="s">
        <v>21</v>
      </c>
      <c r="H4416" s="2" t="s">
        <v>55</v>
      </c>
      <c r="I4416" s="2" t="s">
        <v>10830</v>
      </c>
      <c r="J4416" s="3" t="str">
        <f>HYPERLINK("https://www.boe.es/gazeta/dias/1809/02/17/pdfs/GMD-1809-48.pdf#page=8","Abrir facsímil")</f>
        <v>Abrir facsímil</v>
      </c>
      <c r="K4416" s="3" t="s">
        <v>57</v>
      </c>
    </row>
    <row r="4417" spans="1:11" ht="42" customHeight="1">
      <c r="A4417" s="2" t="s">
        <v>10831</v>
      </c>
      <c r="B4417" s="2" t="s">
        <v>10831</v>
      </c>
      <c r="C4417" s="2" t="s">
        <v>25</v>
      </c>
      <c r="D4417" s="2" t="s">
        <v>26</v>
      </c>
      <c r="E4417" s="3" t="s">
        <v>464</v>
      </c>
      <c r="F4417" s="3" t="s">
        <v>465</v>
      </c>
      <c r="G4417" s="3" t="s">
        <v>861</v>
      </c>
      <c r="H4417" s="2" t="s">
        <v>55</v>
      </c>
      <c r="I4417" s="2" t="s">
        <v>10832</v>
      </c>
      <c r="J4417" s="3" t="str">
        <f>HYPERLINK("https://www.boe.es/gazeta/dias/1809/07/05/pdfs/GMD-1809-186.pdf#page=2","Abrir facsímil")</f>
        <v>Abrir facsímil</v>
      </c>
      <c r="K4417" s="3" t="s">
        <v>57</v>
      </c>
    </row>
    <row r="4418" spans="1:11" ht="42" customHeight="1">
      <c r="A4418" s="2" t="s">
        <v>10833</v>
      </c>
      <c r="B4418" s="2" t="s">
        <v>10833</v>
      </c>
      <c r="C4418" s="2" t="s">
        <v>25</v>
      </c>
      <c r="D4418" s="2" t="s">
        <v>18</v>
      </c>
      <c r="E4418" s="3" t="s">
        <v>857</v>
      </c>
      <c r="F4418" s="3" t="s">
        <v>4692</v>
      </c>
      <c r="G4418" s="3" t="s">
        <v>9868</v>
      </c>
      <c r="H4418" s="2" t="s">
        <v>55</v>
      </c>
      <c r="I4418" s="2" t="s">
        <v>10834</v>
      </c>
      <c r="J4418" s="3" t="str">
        <f>HYPERLINK("https://www.boe.es/gazeta/dias/1809/05/01/pdfs/GMD-1809-121.pdf#page=4","Abrir facsímil")</f>
        <v>Abrir facsímil</v>
      </c>
      <c r="K4418" s="3" t="s">
        <v>57</v>
      </c>
    </row>
    <row r="4419" spans="1:11" ht="42" customHeight="1">
      <c r="A4419" s="2" t="s">
        <v>10835</v>
      </c>
      <c r="B4419" s="2" t="s">
        <v>10835</v>
      </c>
      <c r="C4419" s="2" t="s">
        <v>25</v>
      </c>
      <c r="D4419" s="2" t="s">
        <v>18</v>
      </c>
      <c r="E4419" s="3" t="s">
        <v>173</v>
      </c>
      <c r="F4419" s="3" t="s">
        <v>174</v>
      </c>
      <c r="G4419" s="3" t="s">
        <v>3020</v>
      </c>
      <c r="H4419" s="2" t="s">
        <v>55</v>
      </c>
      <c r="I4419" s="2" t="s">
        <v>10836</v>
      </c>
      <c r="J4419" s="3" t="str">
        <f>HYPERLINK("https://www.boe.es/gazeta/dias/1809/09/12/pdfs/GGB-1809-182.pdf#page=6","Abrir facsímil")</f>
        <v>Abrir facsímil</v>
      </c>
      <c r="K4419" s="3" t="s">
        <v>57</v>
      </c>
    </row>
    <row r="4420" spans="1:11" ht="42" customHeight="1">
      <c r="A4420" s="2" t="s">
        <v>10835</v>
      </c>
      <c r="B4420" s="2" t="s">
        <v>10835</v>
      </c>
      <c r="C4420" s="2" t="s">
        <v>17</v>
      </c>
      <c r="D4420" s="2" t="s">
        <v>18</v>
      </c>
      <c r="E4420" s="3" t="s">
        <v>1803</v>
      </c>
      <c r="F4420" s="3" t="s">
        <v>6955</v>
      </c>
      <c r="G4420" s="3" t="s">
        <v>10837</v>
      </c>
      <c r="H4420" s="2" t="s">
        <v>55</v>
      </c>
      <c r="I4420" s="2" t="s">
        <v>10838</v>
      </c>
      <c r="J4420" s="3" t="str">
        <f>HYPERLINK("https://www.boe.es/gazeta/dias/1809/10/12/pdfs/GGB-1809-312.pdf#page=6","Abrir facsímil")</f>
        <v>Abrir facsímil</v>
      </c>
      <c r="K4420" s="3" t="s">
        <v>57</v>
      </c>
    </row>
    <row r="4421" spans="1:11" ht="42" customHeight="1">
      <c r="A4421" s="2" t="s">
        <v>10835</v>
      </c>
      <c r="B4421" s="2" t="s">
        <v>10835</v>
      </c>
      <c r="C4421" s="2" t="s">
        <v>25</v>
      </c>
      <c r="D4421" s="2" t="s">
        <v>26</v>
      </c>
      <c r="E4421" s="3" t="s">
        <v>2840</v>
      </c>
      <c r="F4421" s="3" t="s">
        <v>4484</v>
      </c>
      <c r="G4421" s="3" t="s">
        <v>2021</v>
      </c>
      <c r="H4421" s="2" t="s">
        <v>55</v>
      </c>
      <c r="I4421" s="2" t="s">
        <v>10839</v>
      </c>
      <c r="J4421" s="3" t="str">
        <f>HYPERLINK("https://www.boe.es/gazeta/dias/1809/11/30/pdfs/GGB-1809-522.pdf#page=7","Abrir facsímil")</f>
        <v>Abrir facsímil</v>
      </c>
      <c r="K4421" s="3" t="s">
        <v>57</v>
      </c>
    </row>
    <row r="4422" spans="1:11" ht="42" customHeight="1">
      <c r="A4422" s="2" t="s">
        <v>10835</v>
      </c>
      <c r="B4422" s="2" t="s">
        <v>10835</v>
      </c>
      <c r="C4422" s="2" t="s">
        <v>25</v>
      </c>
      <c r="D4422" s="2" t="s">
        <v>72</v>
      </c>
      <c r="E4422" s="3" t="s">
        <v>635</v>
      </c>
      <c r="F4422" s="3" t="s">
        <v>2073</v>
      </c>
      <c r="G4422" s="3" t="s">
        <v>129</v>
      </c>
      <c r="H4422" s="2" t="s">
        <v>55</v>
      </c>
      <c r="I4422" s="2" t="s">
        <v>10840</v>
      </c>
      <c r="J4422" s="3" t="str">
        <f>HYPERLINK("https://www.boe.es/gazeta/dias/1809/12/16/pdfs/GGB-H-1809-592.pdf#page=2","Abrir facsímil")</f>
        <v>Abrir facsímil</v>
      </c>
      <c r="K4422" s="3" t="s">
        <v>57</v>
      </c>
    </row>
    <row r="4423" spans="1:11" ht="42" customHeight="1">
      <c r="A4423" s="2" t="s">
        <v>10835</v>
      </c>
      <c r="B4423" s="2" t="s">
        <v>10835</v>
      </c>
      <c r="C4423" s="2" t="s">
        <v>25</v>
      </c>
      <c r="D4423" s="2" t="s">
        <v>72</v>
      </c>
      <c r="E4423" s="3" t="s">
        <v>635</v>
      </c>
      <c r="F4423" s="3" t="s">
        <v>2073</v>
      </c>
      <c r="G4423" s="3" t="s">
        <v>1319</v>
      </c>
      <c r="H4423" s="2" t="s">
        <v>55</v>
      </c>
      <c r="I4423" s="2" t="s">
        <v>10841</v>
      </c>
      <c r="J4423" s="3" t="str">
        <f>HYPERLINK("https://www.boe.es/gazeta/dias/1809/12/16/pdfs/GGB-H-1809-592.pdf#page=5","Abrir facsímil")</f>
        <v>Abrir facsímil</v>
      </c>
      <c r="K4423" s="3" t="s">
        <v>57</v>
      </c>
    </row>
    <row r="4424" spans="1:11" ht="42" customHeight="1">
      <c r="A4424" s="2" t="s">
        <v>10842</v>
      </c>
      <c r="B4424" s="2" t="s">
        <v>10843</v>
      </c>
      <c r="C4424" s="2" t="s">
        <v>25</v>
      </c>
      <c r="D4424" s="2" t="s">
        <v>40</v>
      </c>
      <c r="E4424" s="3" t="s">
        <v>207</v>
      </c>
      <c r="F4424" s="3" t="s">
        <v>2864</v>
      </c>
      <c r="G4424" s="3" t="s">
        <v>234</v>
      </c>
      <c r="H4424" s="2" t="s">
        <v>55</v>
      </c>
      <c r="I4424" s="2" t="s">
        <v>10844</v>
      </c>
      <c r="J4424" s="3" t="str">
        <f>HYPERLINK("https://www.boe.es/gazeta/dias/1809/09/16/pdfs/GGB-1809-202.pdf#page=8","Abrir facsímil")</f>
        <v>Abrir facsímil</v>
      </c>
      <c r="K4424" s="3" t="s">
        <v>57</v>
      </c>
    </row>
    <row r="4425" spans="1:11" ht="42" customHeight="1">
      <c r="A4425" s="2" t="s">
        <v>10845</v>
      </c>
      <c r="B4425" s="2" t="s">
        <v>10846</v>
      </c>
      <c r="C4425" s="2" t="s">
        <v>25</v>
      </c>
      <c r="D4425" s="2" t="s">
        <v>18</v>
      </c>
      <c r="E4425" s="3" t="s">
        <v>3714</v>
      </c>
      <c r="F4425" s="3" t="s">
        <v>3715</v>
      </c>
      <c r="G4425" s="3" t="s">
        <v>225</v>
      </c>
      <c r="H4425" s="2" t="s">
        <v>55</v>
      </c>
      <c r="I4425" s="2" t="s">
        <v>10847</v>
      </c>
      <c r="J4425" s="3" t="str">
        <f>HYPERLINK("https://www.boe.es/gazeta/dias/1809/12/07/pdfs/GMD-1809-342.pdf#page=4","Abrir facsímil")</f>
        <v>Abrir facsímil</v>
      </c>
      <c r="K4425" s="3" t="s">
        <v>57</v>
      </c>
    </row>
    <row r="4426" spans="1:11" ht="42" customHeight="1">
      <c r="A4426" s="2" t="s">
        <v>10848</v>
      </c>
      <c r="B4426" s="2" t="s">
        <v>10849</v>
      </c>
      <c r="C4426" s="2" t="s">
        <v>17</v>
      </c>
      <c r="D4426" s="2" t="s">
        <v>18</v>
      </c>
      <c r="E4426" s="3" t="s">
        <v>2060</v>
      </c>
      <c r="F4426" s="3" t="s">
        <v>2061</v>
      </c>
      <c r="G4426" s="3" t="s">
        <v>239</v>
      </c>
      <c r="H4426" s="2" t="s">
        <v>55</v>
      </c>
      <c r="I4426" s="2" t="s">
        <v>10850</v>
      </c>
      <c r="J4426" s="3" t="str">
        <f>HYPERLINK("https://www.boe.es/gazeta/dias/1809/07/18/pdfs/GGB-1809-46.pdf#page=11","Abrir facsímil")</f>
        <v>Abrir facsímil</v>
      </c>
      <c r="K4426" s="3" t="s">
        <v>57</v>
      </c>
    </row>
    <row r="4427" spans="1:11" ht="42" customHeight="1">
      <c r="A4427" s="2" t="s">
        <v>10851</v>
      </c>
      <c r="B4427" s="2" t="s">
        <v>10851</v>
      </c>
      <c r="C4427" s="2" t="s">
        <v>17</v>
      </c>
      <c r="D4427" s="2" t="s">
        <v>18</v>
      </c>
      <c r="E4427" s="3" t="s">
        <v>1640</v>
      </c>
      <c r="F4427" s="3" t="s">
        <v>2064</v>
      </c>
      <c r="G4427" s="3" t="s">
        <v>120</v>
      </c>
      <c r="H4427" s="2" t="s">
        <v>55</v>
      </c>
      <c r="I4427" s="2" t="s">
        <v>10852</v>
      </c>
      <c r="J4427" s="3" t="str">
        <f>HYPERLINK("https://www.boe.es/gazeta/dias/1809/01/06/pdfs/GMS-1809-64.pdf#page=6","Abrir facsímil")</f>
        <v>Abrir facsímil</v>
      </c>
      <c r="K4427" s="3" t="s">
        <v>57</v>
      </c>
    </row>
    <row r="4428" spans="1:11" ht="42" customHeight="1">
      <c r="A4428" s="2" t="s">
        <v>10853</v>
      </c>
      <c r="B4428" s="2" t="s">
        <v>10854</v>
      </c>
      <c r="C4428" s="2" t="s">
        <v>17</v>
      </c>
      <c r="D4428" s="2" t="s">
        <v>72</v>
      </c>
      <c r="E4428" s="3" t="s">
        <v>243</v>
      </c>
      <c r="F4428" s="3" t="s">
        <v>244</v>
      </c>
      <c r="G4428" s="3" t="s">
        <v>582</v>
      </c>
      <c r="H4428" s="2" t="s">
        <v>55</v>
      </c>
      <c r="I4428" s="2" t="s">
        <v>10855</v>
      </c>
      <c r="J4428" s="3" t="str">
        <f>HYPERLINK("https://www.boe.es/gazeta/dias/1809/02/17/pdfs/GGB-G-1809-8.pdf#page=7","Abrir facsímil")</f>
        <v>Abrir facsímil</v>
      </c>
      <c r="K4428" s="3" t="s">
        <v>57</v>
      </c>
    </row>
    <row r="4429" spans="1:11" ht="42" customHeight="1">
      <c r="A4429" s="2" t="s">
        <v>10856</v>
      </c>
      <c r="B4429" s="2" t="s">
        <v>10856</v>
      </c>
      <c r="C4429" s="2" t="s">
        <v>25</v>
      </c>
      <c r="D4429" s="2" t="s">
        <v>26</v>
      </c>
      <c r="E4429" s="3" t="s">
        <v>666</v>
      </c>
      <c r="F4429" s="3" t="s">
        <v>667</v>
      </c>
      <c r="G4429" s="3" t="s">
        <v>668</v>
      </c>
      <c r="H4429" s="2" t="s">
        <v>55</v>
      </c>
      <c r="I4429" s="2" t="s">
        <v>10857</v>
      </c>
      <c r="J4429" s="3" t="str">
        <f>HYPERLINK("https://www.boe.es/gazeta/dias/1809/08/29/pdfs/GGB-1809-122.pdf#page=4","Abrir facsímil")</f>
        <v>Abrir facsímil</v>
      </c>
      <c r="K4429" s="3" t="s">
        <v>57</v>
      </c>
    </row>
    <row r="4430" spans="1:11" ht="42" customHeight="1">
      <c r="A4430" s="2" t="s">
        <v>10858</v>
      </c>
      <c r="B4430" s="2" t="s">
        <v>10858</v>
      </c>
      <c r="C4430" s="2" t="s">
        <v>25</v>
      </c>
      <c r="D4430" s="2" t="s">
        <v>18</v>
      </c>
      <c r="E4430" s="3" t="s">
        <v>496</v>
      </c>
      <c r="F4430" s="3" t="s">
        <v>497</v>
      </c>
      <c r="G4430" s="3" t="s">
        <v>129</v>
      </c>
      <c r="H4430" s="2" t="s">
        <v>55</v>
      </c>
      <c r="I4430" s="2" t="s">
        <v>10859</v>
      </c>
      <c r="J4430" s="3" t="str">
        <f>HYPERLINK("https://www.boe.es/gazeta/dias/1809/03/13/pdfs/GMD-1809-72.pdf#page=2","Abrir facsímil")</f>
        <v>Abrir facsímil</v>
      </c>
      <c r="K4430" s="3" t="s">
        <v>57</v>
      </c>
    </row>
    <row r="4431" spans="1:11" ht="42" customHeight="1">
      <c r="A4431" s="2" t="s">
        <v>10860</v>
      </c>
      <c r="B4431" s="2" t="s">
        <v>10861</v>
      </c>
      <c r="C4431" s="2" t="s">
        <v>47</v>
      </c>
      <c r="D4431" s="2" t="s">
        <v>18</v>
      </c>
      <c r="E4431" s="3" t="s">
        <v>102</v>
      </c>
      <c r="F4431" s="3" t="s">
        <v>103</v>
      </c>
      <c r="G4431" s="3" t="s">
        <v>1706</v>
      </c>
      <c r="H4431" s="2" t="s">
        <v>55</v>
      </c>
      <c r="I4431" s="2" t="s">
        <v>10862</v>
      </c>
      <c r="J4431" s="3" t="str">
        <f>HYPERLINK("https://www.boe.es/gazeta/dias/1809/09/28/pdfs/GGB-1809-252.pdf#page=5","Abrir facsímil")</f>
        <v>Abrir facsímil</v>
      </c>
      <c r="K4431" s="3" t="s">
        <v>57</v>
      </c>
    </row>
    <row r="4432" spans="1:11" ht="42" customHeight="1">
      <c r="A4432" s="2" t="s">
        <v>10863</v>
      </c>
      <c r="B4432" s="2" t="s">
        <v>10864</v>
      </c>
      <c r="C4432" s="2" t="s">
        <v>17</v>
      </c>
      <c r="D4432" s="2" t="s">
        <v>18</v>
      </c>
      <c r="E4432" s="3" t="s">
        <v>712</v>
      </c>
      <c r="F4432" s="3" t="s">
        <v>713</v>
      </c>
      <c r="G4432" s="3" t="s">
        <v>120</v>
      </c>
      <c r="H4432" s="2" t="s">
        <v>55</v>
      </c>
      <c r="I4432" s="2" t="s">
        <v>10865</v>
      </c>
      <c r="J4432" s="3" t="str">
        <f>HYPERLINK("https://www.boe.es/gazeta/dias/1809/09/10/pdfs/GMD-1809-254.pdf#page=2","Abrir facsímil")</f>
        <v>Abrir facsímil</v>
      </c>
      <c r="K4432" s="3" t="s">
        <v>57</v>
      </c>
    </row>
    <row r="4433" spans="1:11" ht="42" customHeight="1">
      <c r="A4433" s="2" t="s">
        <v>10866</v>
      </c>
      <c r="B4433" s="2" t="s">
        <v>10866</v>
      </c>
      <c r="C4433" s="2" t="s">
        <v>25</v>
      </c>
      <c r="D4433" s="2" t="s">
        <v>26</v>
      </c>
      <c r="E4433" s="3" t="s">
        <v>1206</v>
      </c>
      <c r="F4433" s="3" t="s">
        <v>6462</v>
      </c>
      <c r="G4433" s="3" t="s">
        <v>239</v>
      </c>
      <c r="H4433" s="2" t="s">
        <v>55</v>
      </c>
      <c r="I4433" s="2" t="s">
        <v>10867</v>
      </c>
      <c r="J4433" s="3" t="str">
        <f>HYPERLINK("https://www.boe.es/gazeta/dias/1809/09/23/pdfs/GGB-1809-232.pdf#page=1","Abrir facsímil")</f>
        <v>Abrir facsímil</v>
      </c>
      <c r="K4433" s="3" t="s">
        <v>57</v>
      </c>
    </row>
    <row r="4434" spans="1:11" ht="42" customHeight="1">
      <c r="A4434" s="2" t="s">
        <v>10868</v>
      </c>
      <c r="B4434" s="2" t="s">
        <v>10868</v>
      </c>
      <c r="C4434" s="2" t="s">
        <v>25</v>
      </c>
      <c r="D4434" s="2" t="s">
        <v>26</v>
      </c>
      <c r="E4434" s="3" t="s">
        <v>627</v>
      </c>
      <c r="F4434" s="3" t="s">
        <v>628</v>
      </c>
      <c r="G4434" s="3" t="s">
        <v>6616</v>
      </c>
      <c r="H4434" s="2" t="s">
        <v>55</v>
      </c>
      <c r="I4434" s="2" t="s">
        <v>10869</v>
      </c>
      <c r="J4434" s="3" t="str">
        <f>HYPERLINK("https://www.boe.es/gazeta/dias/1809/08/28/pdfs/GMD-1809-241.pdf#page=2","Abrir facsímil")</f>
        <v>Abrir facsímil</v>
      </c>
      <c r="K4434" s="3" t="s">
        <v>57</v>
      </c>
    </row>
    <row r="4435" spans="1:11" ht="42" customHeight="1">
      <c r="A4435" s="2" t="s">
        <v>10870</v>
      </c>
      <c r="B4435" s="2" t="s">
        <v>10871</v>
      </c>
      <c r="C4435" s="2" t="s">
        <v>25</v>
      </c>
      <c r="D4435" s="2" t="s">
        <v>72</v>
      </c>
      <c r="E4435" s="3" t="s">
        <v>143</v>
      </c>
      <c r="F4435" s="3" t="s">
        <v>705</v>
      </c>
      <c r="G4435" s="3" t="s">
        <v>260</v>
      </c>
      <c r="H4435" s="2" t="s">
        <v>55</v>
      </c>
      <c r="I4435" s="2" t="s">
        <v>10872</v>
      </c>
      <c r="J4435" s="3" t="str">
        <f>HYPERLINK("https://www.boe.es/gazeta/dias/1809/11/16/pdfs/GGB-H-1809-462.pdf#page=7","Abrir facsímil")</f>
        <v>Abrir facsímil</v>
      </c>
      <c r="K4435" s="3" t="s">
        <v>57</v>
      </c>
    </row>
    <row r="4436" spans="1:11" ht="42" customHeight="1">
      <c r="A4436" s="2" t="s">
        <v>10873</v>
      </c>
      <c r="B4436" s="2" t="s">
        <v>10874</v>
      </c>
      <c r="C4436" s="2" t="s">
        <v>79</v>
      </c>
      <c r="D4436" s="2" t="s">
        <v>18</v>
      </c>
      <c r="E4436" s="3" t="s">
        <v>327</v>
      </c>
      <c r="F4436" s="3" t="s">
        <v>328</v>
      </c>
      <c r="G4436" s="3" t="s">
        <v>329</v>
      </c>
      <c r="H4436" s="2" t="s">
        <v>55</v>
      </c>
      <c r="I4436" s="2" t="s">
        <v>10875</v>
      </c>
      <c r="J4436" s="3" t="str">
        <f>HYPERLINK("https://www.boe.es/gazeta/dias/1809/09/14/pdfs/GGB-1809-192.pdf#page=8","Abrir facsímil")</f>
        <v>Abrir facsímil</v>
      </c>
      <c r="K4436" s="3" t="s">
        <v>57</v>
      </c>
    </row>
    <row r="4437" spans="1:11" ht="42" customHeight="1">
      <c r="A4437" s="2" t="s">
        <v>10876</v>
      </c>
      <c r="B4437" s="2" t="s">
        <v>10877</v>
      </c>
      <c r="C4437" s="2" t="s">
        <v>131</v>
      </c>
      <c r="D4437" s="2" t="s">
        <v>72</v>
      </c>
      <c r="E4437" s="3" t="s">
        <v>720</v>
      </c>
      <c r="F4437" s="3" t="s">
        <v>721</v>
      </c>
      <c r="G4437" s="3" t="s">
        <v>234</v>
      </c>
      <c r="H4437" s="2" t="s">
        <v>55</v>
      </c>
      <c r="I4437" s="2" t="s">
        <v>10878</v>
      </c>
      <c r="J4437" s="3" t="str">
        <f>HYPERLINK("https://www.boe.es/gazeta/dias/1809/01/27/pdfs/GGB-G-1809-5.pdf#page=7","Abrir facsímil")</f>
        <v>Abrir facsímil</v>
      </c>
      <c r="K4437" s="3" t="s">
        <v>57</v>
      </c>
    </row>
    <row r="4438" spans="1:11" ht="42" customHeight="1">
      <c r="A4438" s="2" t="s">
        <v>10879</v>
      </c>
      <c r="B4438" s="2" t="s">
        <v>10880</v>
      </c>
      <c r="C4438" s="2" t="s">
        <v>25</v>
      </c>
      <c r="D4438" s="2" t="s">
        <v>26</v>
      </c>
      <c r="E4438" s="3" t="s">
        <v>143</v>
      </c>
      <c r="F4438" s="3" t="s">
        <v>705</v>
      </c>
      <c r="G4438" s="3" t="s">
        <v>110</v>
      </c>
      <c r="H4438" s="2" t="s">
        <v>55</v>
      </c>
      <c r="I4438" s="2" t="s">
        <v>10881</v>
      </c>
      <c r="J4438" s="3" t="str">
        <f>HYPERLINK("https://www.boe.es/gazeta/dias/1809/11/16/pdfs/GGB-H-1809-462.pdf#page=3","Abrir facsímil")</f>
        <v>Abrir facsímil</v>
      </c>
      <c r="K4438" s="3" t="s">
        <v>57</v>
      </c>
    </row>
    <row r="4439" spans="1:11" ht="42" customHeight="1">
      <c r="A4439" s="2" t="s">
        <v>10882</v>
      </c>
      <c r="B4439" s="2" t="s">
        <v>10883</v>
      </c>
      <c r="C4439" s="2" t="s">
        <v>25</v>
      </c>
      <c r="D4439" s="2" t="s">
        <v>26</v>
      </c>
      <c r="E4439" s="3" t="s">
        <v>1206</v>
      </c>
      <c r="F4439" s="3" t="s">
        <v>1207</v>
      </c>
      <c r="G4439" s="3" t="s">
        <v>2545</v>
      </c>
      <c r="H4439" s="2" t="s">
        <v>55</v>
      </c>
      <c r="I4439" s="2" t="s">
        <v>10884</v>
      </c>
      <c r="J4439" s="3" t="str">
        <f>HYPERLINK("https://www.boe.es/gazeta/dias/1809/09/23/pdfs/GGB-H-1809-232.pdf#page=6","Abrir facsímil")</f>
        <v>Abrir facsímil</v>
      </c>
      <c r="K4439" s="3" t="s">
        <v>57</v>
      </c>
    </row>
    <row r="4440" spans="1:11" ht="42" customHeight="1">
      <c r="A4440" s="2" t="s">
        <v>10885</v>
      </c>
      <c r="B4440" s="2" t="s">
        <v>10886</v>
      </c>
      <c r="C4440" s="2" t="s">
        <v>47</v>
      </c>
      <c r="D4440" s="2" t="s">
        <v>18</v>
      </c>
      <c r="E4440" s="3" t="s">
        <v>201</v>
      </c>
      <c r="F4440" s="3" t="s">
        <v>202</v>
      </c>
      <c r="G4440" s="3" t="s">
        <v>2010</v>
      </c>
      <c r="H4440" s="2" t="s">
        <v>55</v>
      </c>
      <c r="I4440" s="2" t="s">
        <v>10887</v>
      </c>
      <c r="J4440" s="3" t="str">
        <f>HYPERLINK("https://www.boe.es/gazeta/dias/1809/08/15/pdfs/GGB-1809-62.pdf#page=6","Abrir facsímil")</f>
        <v>Abrir facsímil</v>
      </c>
      <c r="K4440" s="3" t="s">
        <v>57</v>
      </c>
    </row>
    <row r="4441" spans="1:11" ht="42" customHeight="1">
      <c r="A4441" s="2" t="s">
        <v>10888</v>
      </c>
      <c r="B4441" s="2" t="s">
        <v>10889</v>
      </c>
      <c r="C4441" s="2" t="s">
        <v>47</v>
      </c>
      <c r="D4441" s="2" t="s">
        <v>72</v>
      </c>
      <c r="E4441" s="3" t="s">
        <v>720</v>
      </c>
      <c r="F4441" s="3" t="s">
        <v>721</v>
      </c>
      <c r="G4441" s="3" t="s">
        <v>234</v>
      </c>
      <c r="H4441" s="2" t="s">
        <v>55</v>
      </c>
      <c r="I4441" s="2" t="s">
        <v>10890</v>
      </c>
      <c r="J4441" s="3" t="str">
        <f>HYPERLINK("https://www.boe.es/gazeta/dias/1809/01/27/pdfs/GGB-G-1809-5.pdf#page=7","Abrir facsímil")</f>
        <v>Abrir facsímil</v>
      </c>
      <c r="K4441" s="3" t="s">
        <v>57</v>
      </c>
    </row>
    <row r="4442" spans="1:11" ht="42" customHeight="1">
      <c r="A4442" s="2" t="s">
        <v>10891</v>
      </c>
      <c r="B4442" s="2" t="s">
        <v>10891</v>
      </c>
      <c r="C4442" s="2" t="s">
        <v>25</v>
      </c>
      <c r="D4442" s="2" t="s">
        <v>26</v>
      </c>
      <c r="E4442" s="3" t="s">
        <v>1132</v>
      </c>
      <c r="F4442" s="3" t="s">
        <v>1133</v>
      </c>
      <c r="G4442" s="3" t="s">
        <v>8398</v>
      </c>
      <c r="H4442" s="2" t="s">
        <v>55</v>
      </c>
      <c r="I4442" s="2" t="s">
        <v>10892</v>
      </c>
      <c r="J4442" s="3" t="str">
        <f>HYPERLINK("https://www.boe.es/gazeta/dias/1809/11/11/pdfs/GGB-1809-442.pdf#page=4","Abrir facsímil")</f>
        <v>Abrir facsímil</v>
      </c>
      <c r="K4442" s="3" t="s">
        <v>57</v>
      </c>
    </row>
    <row r="4443" spans="1:11" ht="42" customHeight="1">
      <c r="A4443" s="2" t="s">
        <v>10893</v>
      </c>
      <c r="B4443" s="2" t="s">
        <v>10894</v>
      </c>
      <c r="C4443" s="2" t="s">
        <v>25</v>
      </c>
      <c r="D4443" s="2" t="s">
        <v>80</v>
      </c>
      <c r="E4443" s="3" t="s">
        <v>1608</v>
      </c>
      <c r="F4443" s="3" t="s">
        <v>1609</v>
      </c>
      <c r="G4443" s="3" t="s">
        <v>120</v>
      </c>
      <c r="H4443" s="2" t="s">
        <v>55</v>
      </c>
      <c r="I4443" s="2" t="s">
        <v>10895</v>
      </c>
      <c r="J4443" s="3" t="str">
        <f>HYPERLINK("https://www.boe.es/gazeta/dias/1809/04/15/pdfs/GGB-1809-18E.pdf#page=5","Abrir facsímil")</f>
        <v>Abrir facsímil</v>
      </c>
      <c r="K4443" s="3" t="s">
        <v>57</v>
      </c>
    </row>
    <row r="4444" spans="1:11" ht="42" customHeight="1">
      <c r="A4444" s="2" t="s">
        <v>10896</v>
      </c>
      <c r="B4444" s="2" t="s">
        <v>10897</v>
      </c>
      <c r="C4444" s="2" t="s">
        <v>17</v>
      </c>
      <c r="D4444" s="2" t="s">
        <v>72</v>
      </c>
      <c r="E4444" s="3" t="s">
        <v>243</v>
      </c>
      <c r="F4444" s="3" t="s">
        <v>244</v>
      </c>
      <c r="G4444" s="3" t="s">
        <v>582</v>
      </c>
      <c r="H4444" s="2" t="s">
        <v>55</v>
      </c>
      <c r="I4444" s="2" t="s">
        <v>10898</v>
      </c>
      <c r="J4444" s="3" t="str">
        <f>HYPERLINK("https://www.boe.es/gazeta/dias/1809/02/17/pdfs/GGB-G-1809-8.pdf#page=7","Abrir facsímil")</f>
        <v>Abrir facsímil</v>
      </c>
      <c r="K4444" s="3" t="s">
        <v>57</v>
      </c>
    </row>
    <row r="4445" spans="1:11" ht="42" customHeight="1">
      <c r="A4445" s="2" t="s">
        <v>10899</v>
      </c>
      <c r="B4445" s="2" t="s">
        <v>10900</v>
      </c>
      <c r="C4445" s="2" t="s">
        <v>25</v>
      </c>
      <c r="D4445" s="2" t="s">
        <v>18</v>
      </c>
      <c r="E4445" s="3" t="s">
        <v>102</v>
      </c>
      <c r="F4445" s="3" t="s">
        <v>103</v>
      </c>
      <c r="G4445" s="3" t="s">
        <v>1091</v>
      </c>
      <c r="H4445" s="2" t="s">
        <v>55</v>
      </c>
      <c r="I4445" s="2" t="s">
        <v>10901</v>
      </c>
      <c r="J4445" s="3" t="str">
        <f>HYPERLINK("https://www.boe.es/gazeta/dias/1809/09/28/pdfs/GGB-1809-252.pdf#page=6","Abrir facsímil")</f>
        <v>Abrir facsímil</v>
      </c>
      <c r="K4445" s="3" t="s">
        <v>57</v>
      </c>
    </row>
    <row r="4446" spans="1:11" ht="42" customHeight="1">
      <c r="A4446" s="2" t="s">
        <v>10902</v>
      </c>
      <c r="B4446" s="2" t="s">
        <v>10903</v>
      </c>
      <c r="C4446" s="2" t="s">
        <v>17</v>
      </c>
      <c r="D4446" s="2" t="s">
        <v>18</v>
      </c>
      <c r="E4446" s="3" t="s">
        <v>1736</v>
      </c>
      <c r="F4446" s="3" t="s">
        <v>1737</v>
      </c>
      <c r="G4446" s="3" t="s">
        <v>3028</v>
      </c>
      <c r="H4446" s="2" t="s">
        <v>55</v>
      </c>
      <c r="I4446" s="2" t="s">
        <v>10904</v>
      </c>
      <c r="J4446" s="3" t="str">
        <f>HYPERLINK("https://www.boe.es/gazeta/dias/1809/02/28/pdfs/GMD-1809-59.pdf#page=4","Abrir facsímil")</f>
        <v>Abrir facsímil</v>
      </c>
      <c r="K4446" s="3" t="s">
        <v>57</v>
      </c>
    </row>
    <row r="4447" spans="1:11" ht="42" customHeight="1">
      <c r="A4447" s="2" t="s">
        <v>10905</v>
      </c>
      <c r="B4447" s="2" t="s">
        <v>10906</v>
      </c>
      <c r="C4447" s="2" t="s">
        <v>17</v>
      </c>
      <c r="D4447" s="2" t="s">
        <v>18</v>
      </c>
      <c r="E4447" s="3" t="s">
        <v>589</v>
      </c>
      <c r="F4447" s="3" t="s">
        <v>590</v>
      </c>
      <c r="G4447" s="3" t="s">
        <v>591</v>
      </c>
      <c r="H4447" s="2" t="s">
        <v>55</v>
      </c>
      <c r="I4447" s="2" t="s">
        <v>10907</v>
      </c>
      <c r="J4447" s="3" t="str">
        <f>HYPERLINK("https://www.boe.es/gazeta/dias/1809/10/05/pdfs/GGB-1809-282.pdf#page=2","Abrir facsímil")</f>
        <v>Abrir facsímil</v>
      </c>
      <c r="K4447" s="3" t="s">
        <v>57</v>
      </c>
    </row>
    <row r="4448" spans="1:11" ht="42" customHeight="1">
      <c r="A4448" s="2" t="s">
        <v>10908</v>
      </c>
      <c r="B4448" s="2" t="s">
        <v>10909</v>
      </c>
      <c r="C4448" s="2" t="s">
        <v>25</v>
      </c>
      <c r="D4448" s="2" t="s">
        <v>72</v>
      </c>
      <c r="E4448" s="3" t="s">
        <v>147</v>
      </c>
      <c r="F4448" s="3" t="s">
        <v>562</v>
      </c>
      <c r="G4448" s="3" t="s">
        <v>10615</v>
      </c>
      <c r="H4448" s="2" t="s">
        <v>55</v>
      </c>
      <c r="I4448" s="2" t="s">
        <v>10910</v>
      </c>
      <c r="J4448" s="3" t="str">
        <f>HYPERLINK("https://www.boe.es/gazeta/dias/1809/10/07/pdfs/GGB-H-1809-292.pdf#page=3","Abrir facsímil")</f>
        <v>Abrir facsímil</v>
      </c>
      <c r="K4448" s="3" t="s">
        <v>57</v>
      </c>
    </row>
    <row r="4449" spans="1:11" ht="42" customHeight="1">
      <c r="A4449" s="2" t="s">
        <v>10911</v>
      </c>
      <c r="B4449" s="2" t="s">
        <v>10912</v>
      </c>
      <c r="C4449" s="2" t="s">
        <v>39</v>
      </c>
      <c r="D4449" s="2" t="s">
        <v>18</v>
      </c>
      <c r="E4449" s="3" t="s">
        <v>243</v>
      </c>
      <c r="F4449" s="3" t="s">
        <v>352</v>
      </c>
      <c r="G4449" s="3" t="s">
        <v>21</v>
      </c>
      <c r="H4449" s="2" t="s">
        <v>55</v>
      </c>
      <c r="I4449" s="2" t="s">
        <v>10913</v>
      </c>
      <c r="J4449" s="3" t="str">
        <f>HYPERLINK("https://www.boe.es/gazeta/dias/1809/02/17/pdfs/GMD-1809-48.pdf#page=8","Abrir facsímil")</f>
        <v>Abrir facsímil</v>
      </c>
      <c r="K4449" s="3" t="s">
        <v>57</v>
      </c>
    </row>
    <row r="4450" spans="1:11" ht="42" customHeight="1">
      <c r="A4450" s="2" t="s">
        <v>10914</v>
      </c>
      <c r="B4450" s="2" t="s">
        <v>10915</v>
      </c>
      <c r="C4450" s="2" t="s">
        <v>17</v>
      </c>
      <c r="D4450" s="2" t="s">
        <v>18</v>
      </c>
      <c r="E4450" s="3" t="s">
        <v>158</v>
      </c>
      <c r="F4450" s="3" t="s">
        <v>159</v>
      </c>
      <c r="G4450" s="3" t="s">
        <v>120</v>
      </c>
      <c r="H4450" s="2" t="s">
        <v>55</v>
      </c>
      <c r="I4450" s="2" t="s">
        <v>10916</v>
      </c>
      <c r="J4450" s="3" t="str">
        <f>HYPERLINK("https://www.boe.es/gazeta/dias/1809/02/10/pdfs/GGB-1809-7.pdf#page=9","Abrir facsímil")</f>
        <v>Abrir facsímil</v>
      </c>
      <c r="K4450" s="3" t="s">
        <v>57</v>
      </c>
    </row>
    <row r="4451" spans="1:11" ht="42" customHeight="1">
      <c r="A4451" s="2" t="s">
        <v>10917</v>
      </c>
      <c r="B4451" s="2" t="s">
        <v>10918</v>
      </c>
      <c r="C4451" s="2" t="s">
        <v>25</v>
      </c>
      <c r="D4451" s="2" t="s">
        <v>72</v>
      </c>
      <c r="E4451" s="3" t="s">
        <v>147</v>
      </c>
      <c r="F4451" s="3" t="s">
        <v>562</v>
      </c>
      <c r="G4451" s="3" t="s">
        <v>563</v>
      </c>
      <c r="H4451" s="2" t="s">
        <v>55</v>
      </c>
      <c r="I4451" s="2" t="s">
        <v>10919</v>
      </c>
      <c r="J4451" s="3" t="str">
        <f>HYPERLINK("https://www.boe.es/gazeta/dias/1809/10/07/pdfs/GGB-H-1809-292.pdf#page=8","Abrir facsímil")</f>
        <v>Abrir facsímil</v>
      </c>
      <c r="K4451" s="3" t="s">
        <v>57</v>
      </c>
    </row>
    <row r="4452" spans="1:11" ht="42" customHeight="1">
      <c r="A4452" s="2" t="s">
        <v>10920</v>
      </c>
      <c r="B4452" s="2" t="s">
        <v>10921</v>
      </c>
      <c r="C4452" s="2" t="s">
        <v>2176</v>
      </c>
      <c r="D4452" s="2" t="s">
        <v>18</v>
      </c>
      <c r="E4452" s="3" t="s">
        <v>4361</v>
      </c>
      <c r="F4452" s="3" t="s">
        <v>4362</v>
      </c>
      <c r="G4452" s="3" t="s">
        <v>75</v>
      </c>
      <c r="H4452" s="2" t="s">
        <v>55</v>
      </c>
      <c r="I4452" s="2" t="s">
        <v>10922</v>
      </c>
      <c r="J4452" s="3" t="str">
        <f>HYPERLINK("https://www.boe.es/gazeta/dias/1809/01/28/pdfs/GMD-1809-28.pdf#page=3","Abrir facsímil")</f>
        <v>Abrir facsímil</v>
      </c>
      <c r="K4452" s="3" t="s">
        <v>57</v>
      </c>
    </row>
    <row r="4453" spans="1:11" ht="42" customHeight="1">
      <c r="A4453" s="2" t="s">
        <v>10920</v>
      </c>
      <c r="B4453" s="2" t="s">
        <v>10921</v>
      </c>
      <c r="C4453" s="2" t="s">
        <v>25</v>
      </c>
      <c r="D4453" s="2" t="s">
        <v>26</v>
      </c>
      <c r="E4453" s="3" t="s">
        <v>232</v>
      </c>
      <c r="F4453" s="3" t="s">
        <v>233</v>
      </c>
      <c r="G4453" s="3" t="s">
        <v>234</v>
      </c>
      <c r="H4453" s="2" t="s">
        <v>55</v>
      </c>
      <c r="I4453" s="2" t="s">
        <v>10923</v>
      </c>
      <c r="J4453" s="3" t="str">
        <f>HYPERLINK("https://www.boe.es/gazeta/dias/1809/06/04/pdfs/GMD-1809-155.pdf#page=4","Abrir facsímil")</f>
        <v>Abrir facsímil</v>
      </c>
      <c r="K4453" s="3" t="s">
        <v>57</v>
      </c>
    </row>
    <row r="4454" spans="1:11" ht="42" customHeight="1">
      <c r="A4454" s="2" t="s">
        <v>10924</v>
      </c>
      <c r="B4454" s="2" t="s">
        <v>10924</v>
      </c>
      <c r="C4454" s="2" t="s">
        <v>25</v>
      </c>
      <c r="D4454" s="2" t="s">
        <v>26</v>
      </c>
      <c r="E4454" s="3" t="s">
        <v>627</v>
      </c>
      <c r="F4454" s="3" t="s">
        <v>628</v>
      </c>
      <c r="G4454" s="3" t="s">
        <v>6616</v>
      </c>
      <c r="H4454" s="2" t="s">
        <v>55</v>
      </c>
      <c r="I4454" s="2" t="s">
        <v>10925</v>
      </c>
      <c r="J4454" s="3" t="str">
        <f>HYPERLINK("https://www.boe.es/gazeta/dias/1809/08/28/pdfs/GMD-1809-241.pdf#page=2","Abrir facsímil")</f>
        <v>Abrir facsímil</v>
      </c>
      <c r="K4454" s="3" t="s">
        <v>57</v>
      </c>
    </row>
    <row r="4455" spans="1:11" ht="42" customHeight="1">
      <c r="A4455" s="2" t="s">
        <v>10926</v>
      </c>
      <c r="B4455" s="2" t="s">
        <v>10927</v>
      </c>
      <c r="C4455" s="2" t="s">
        <v>17</v>
      </c>
      <c r="D4455" s="2" t="s">
        <v>18</v>
      </c>
      <c r="E4455" s="3" t="s">
        <v>243</v>
      </c>
      <c r="F4455" s="3" t="s">
        <v>735</v>
      </c>
      <c r="G4455" s="3" t="s">
        <v>736</v>
      </c>
      <c r="H4455" s="2" t="s">
        <v>55</v>
      </c>
      <c r="I4455" s="2" t="s">
        <v>10928</v>
      </c>
      <c r="J4455" s="3" t="str">
        <f>HYPERLINK("https://www.boe.es/gazeta/dias/1809/02/17/pdfs/GGB-1809-8.pdf#page=8","Abrir facsímil")</f>
        <v>Abrir facsímil</v>
      </c>
      <c r="K4455" s="3" t="s">
        <v>57</v>
      </c>
    </row>
    <row r="4456" spans="1:11" ht="42" customHeight="1">
      <c r="A4456" s="2" t="s">
        <v>10929</v>
      </c>
      <c r="B4456" s="2" t="s">
        <v>10930</v>
      </c>
      <c r="C4456" s="2" t="s">
        <v>17</v>
      </c>
      <c r="D4456" s="2" t="s">
        <v>18</v>
      </c>
      <c r="E4456" s="3" t="s">
        <v>567</v>
      </c>
      <c r="F4456" s="3" t="s">
        <v>568</v>
      </c>
      <c r="G4456" s="3" t="s">
        <v>569</v>
      </c>
      <c r="H4456" s="2" t="s">
        <v>22</v>
      </c>
      <c r="I4456" s="2" t="s">
        <v>10931</v>
      </c>
      <c r="J4456" s="3" t="str">
        <f>HYPERLINK("https://www.boe.es/gazeta/dias/1809/06/03/pdfs/GMD-1809-154.pdf#page=3","Abrir facsímil")</f>
        <v>Abrir facsímil</v>
      </c>
      <c r="K4456" s="3" t="s">
        <v>24</v>
      </c>
    </row>
    <row r="4457" spans="1:11" ht="42" customHeight="1">
      <c r="A4457" s="2" t="s">
        <v>10932</v>
      </c>
      <c r="B4457" s="2" t="s">
        <v>10933</v>
      </c>
      <c r="C4457" s="2" t="s">
        <v>17</v>
      </c>
      <c r="D4457" s="2" t="s">
        <v>107</v>
      </c>
      <c r="E4457" s="3" t="s">
        <v>1396</v>
      </c>
      <c r="F4457" s="3" t="s">
        <v>1397</v>
      </c>
      <c r="G4457" s="3" t="s">
        <v>906</v>
      </c>
      <c r="H4457" s="2" t="s">
        <v>55</v>
      </c>
      <c r="I4457" s="2" t="s">
        <v>10934</v>
      </c>
      <c r="J4457" s="3" t="str">
        <f>HYPERLINK("https://www.boe.es/gazeta/dias/1809/11/28/pdfs/GGB-1809-512.pdf#page=8","Abrir facsímil")</f>
        <v>Abrir facsímil</v>
      </c>
      <c r="K4457" s="3" t="s">
        <v>57</v>
      </c>
    </row>
    <row r="4458" spans="1:11" ht="42" customHeight="1">
      <c r="A4458" s="2" t="s">
        <v>10935</v>
      </c>
      <c r="B4458" s="2" t="s">
        <v>10936</v>
      </c>
      <c r="C4458" s="2" t="s">
        <v>25</v>
      </c>
      <c r="D4458" s="2" t="s">
        <v>26</v>
      </c>
      <c r="E4458" s="3" t="s">
        <v>394</v>
      </c>
      <c r="F4458" s="3" t="s">
        <v>2563</v>
      </c>
      <c r="G4458" s="3" t="s">
        <v>110</v>
      </c>
      <c r="H4458" s="2" t="s">
        <v>55</v>
      </c>
      <c r="I4458" s="2" t="s">
        <v>10937</v>
      </c>
      <c r="J4458" s="3" t="str">
        <f>HYPERLINK("https://www.boe.es/gazeta/dias/1809/12/14/pdfs/GMD-1809-349.pdf#page=3","Abrir facsímil")</f>
        <v>Abrir facsímil</v>
      </c>
      <c r="K4458" s="3" t="s">
        <v>57</v>
      </c>
    </row>
    <row r="4459" spans="1:11" ht="42" customHeight="1">
      <c r="A4459" s="2" t="s">
        <v>10938</v>
      </c>
      <c r="B4459" s="2" t="s">
        <v>10938</v>
      </c>
      <c r="C4459" s="2" t="s">
        <v>25</v>
      </c>
      <c r="D4459" s="2" t="s">
        <v>26</v>
      </c>
      <c r="E4459" s="3" t="s">
        <v>1343</v>
      </c>
      <c r="F4459" s="3" t="s">
        <v>1344</v>
      </c>
      <c r="G4459" s="3" t="s">
        <v>110</v>
      </c>
      <c r="H4459" s="2" t="s">
        <v>55</v>
      </c>
      <c r="I4459" s="2" t="s">
        <v>10939</v>
      </c>
      <c r="J4459" s="3" t="str">
        <f>HYPERLINK("https://www.boe.es/gazeta/dias/1809/07/24/pdfs/GMD-1809-205.pdf#page=2","Abrir facsímil")</f>
        <v>Abrir facsímil</v>
      </c>
      <c r="K4459" s="3" t="s">
        <v>57</v>
      </c>
    </row>
    <row r="4460" spans="1:11" ht="42" customHeight="1">
      <c r="A4460" s="2" t="s">
        <v>10940</v>
      </c>
      <c r="B4460" s="2" t="s">
        <v>10940</v>
      </c>
      <c r="C4460" s="2" t="s">
        <v>25</v>
      </c>
      <c r="D4460" s="2" t="s">
        <v>18</v>
      </c>
      <c r="E4460" s="3" t="s">
        <v>167</v>
      </c>
      <c r="F4460" s="3" t="s">
        <v>168</v>
      </c>
      <c r="G4460" s="3" t="s">
        <v>169</v>
      </c>
      <c r="H4460" s="2" t="s">
        <v>55</v>
      </c>
      <c r="I4460" s="2" t="s">
        <v>10941</v>
      </c>
      <c r="J4460" s="3" t="str">
        <f>HYPERLINK("https://www.boe.es/gazeta/dias/1809/06/19/pdfs/GGB-1809-38.pdf#page=11","Abrir facsímil")</f>
        <v>Abrir facsímil</v>
      </c>
      <c r="K4460" s="3" t="s">
        <v>57</v>
      </c>
    </row>
    <row r="4461" spans="1:11" ht="42" customHeight="1">
      <c r="A4461" s="2" t="s">
        <v>10942</v>
      </c>
      <c r="B4461" s="2" t="s">
        <v>10943</v>
      </c>
      <c r="C4461" s="2" t="s">
        <v>17</v>
      </c>
      <c r="D4461" s="2" t="s">
        <v>18</v>
      </c>
      <c r="E4461" s="3" t="s">
        <v>1551</v>
      </c>
      <c r="F4461" s="3" t="s">
        <v>1552</v>
      </c>
      <c r="G4461" s="3" t="s">
        <v>169</v>
      </c>
      <c r="H4461" s="2" t="s">
        <v>55</v>
      </c>
      <c r="I4461" s="2" t="s">
        <v>10944</v>
      </c>
      <c r="J4461" s="3" t="str">
        <f>HYPERLINK("https://www.boe.es/gazeta/dias/1809/06/12/pdfs/GGB-1809-36.pdf#page=11","Abrir facsímil")</f>
        <v>Abrir facsímil</v>
      </c>
      <c r="K4461" s="3" t="s">
        <v>57</v>
      </c>
    </row>
    <row r="4462" spans="1:11" ht="42" customHeight="1">
      <c r="A4462" s="2" t="s">
        <v>10945</v>
      </c>
      <c r="B4462" s="2" t="s">
        <v>10946</v>
      </c>
      <c r="C4462" s="2" t="s">
        <v>17</v>
      </c>
      <c r="D4462" s="2" t="s">
        <v>18</v>
      </c>
      <c r="E4462" s="3" t="s">
        <v>370</v>
      </c>
      <c r="F4462" s="3" t="s">
        <v>371</v>
      </c>
      <c r="G4462" s="3" t="s">
        <v>239</v>
      </c>
      <c r="H4462" s="2" t="s">
        <v>55</v>
      </c>
      <c r="I4462" s="2" t="s">
        <v>10947</v>
      </c>
      <c r="J4462" s="3" t="str">
        <f>HYPERLINK("https://www.boe.es/gazeta/dias/1809/08/20/pdfs/GMD-1809-233.pdf#page=3","Abrir facsímil")</f>
        <v>Abrir facsímil</v>
      </c>
      <c r="K4462" s="3" t="s">
        <v>57</v>
      </c>
    </row>
    <row r="4463" spans="1:11" ht="42" customHeight="1">
      <c r="A4463" s="2" t="s">
        <v>10948</v>
      </c>
      <c r="B4463" s="2" t="s">
        <v>10949</v>
      </c>
      <c r="C4463" s="2" t="s">
        <v>131</v>
      </c>
      <c r="D4463" s="2" t="s">
        <v>18</v>
      </c>
      <c r="E4463" s="3" t="s">
        <v>515</v>
      </c>
      <c r="F4463" s="3" t="s">
        <v>516</v>
      </c>
      <c r="G4463" s="3" t="s">
        <v>1380</v>
      </c>
      <c r="H4463" s="2" t="s">
        <v>55</v>
      </c>
      <c r="I4463" s="2" t="s">
        <v>10950</v>
      </c>
      <c r="J4463" s="3" t="str">
        <f>HYPERLINK("https://www.boe.es/gazeta/dias/1809/09/02/pdfs/GMD-1809-246.pdf#page=3","Abrir facsímil")</f>
        <v>Abrir facsímil</v>
      </c>
      <c r="K4463" s="3" t="s">
        <v>57</v>
      </c>
    </row>
    <row r="4464" spans="1:11" ht="42" customHeight="1">
      <c r="A4464" s="2" t="s">
        <v>10951</v>
      </c>
      <c r="B4464" s="2" t="s">
        <v>10951</v>
      </c>
      <c r="C4464" s="2" t="s">
        <v>25</v>
      </c>
      <c r="D4464" s="2" t="s">
        <v>18</v>
      </c>
      <c r="E4464" s="3" t="s">
        <v>432</v>
      </c>
      <c r="F4464" s="3" t="s">
        <v>433</v>
      </c>
      <c r="G4464" s="3" t="s">
        <v>362</v>
      </c>
      <c r="H4464" s="2" t="s">
        <v>55</v>
      </c>
      <c r="I4464" s="2" t="s">
        <v>10952</v>
      </c>
      <c r="J4464" s="3" t="str">
        <f>HYPERLINK("https://www.boe.es/gazeta/dias/1809/07/11/pdfs/GMD-1809-192.pdf#page=1","Abrir facsímil")</f>
        <v>Abrir facsímil</v>
      </c>
      <c r="K4464" s="3" t="s">
        <v>57</v>
      </c>
    </row>
    <row r="4465" spans="1:11" ht="42" customHeight="1">
      <c r="A4465" s="2" t="s">
        <v>10951</v>
      </c>
      <c r="B4465" s="2" t="s">
        <v>10951</v>
      </c>
      <c r="C4465" s="2" t="s">
        <v>25</v>
      </c>
      <c r="D4465" s="2" t="s">
        <v>26</v>
      </c>
      <c r="E4465" s="3" t="s">
        <v>9493</v>
      </c>
      <c r="F4465" s="3" t="s">
        <v>9494</v>
      </c>
      <c r="G4465" s="3" t="s">
        <v>651</v>
      </c>
      <c r="H4465" s="2" t="s">
        <v>55</v>
      </c>
      <c r="I4465" s="2" t="s">
        <v>10953</v>
      </c>
      <c r="J4465" s="3" t="str">
        <f>HYPERLINK("https://www.boe.es/gazeta/dias/1809/07/13/pdfs/GMD-1809-194.pdf#page=2","Abrir facsímil")</f>
        <v>Abrir facsímil</v>
      </c>
      <c r="K4465" s="3" t="s">
        <v>57</v>
      </c>
    </row>
    <row r="4466" spans="1:11" ht="42" customHeight="1">
      <c r="A4466" s="2" t="s">
        <v>10951</v>
      </c>
      <c r="B4466" s="2" t="s">
        <v>10951</v>
      </c>
      <c r="C4466" s="2" t="s">
        <v>25</v>
      </c>
      <c r="D4466" s="2" t="s">
        <v>18</v>
      </c>
      <c r="E4466" s="3" t="s">
        <v>2060</v>
      </c>
      <c r="F4466" s="3" t="s">
        <v>10954</v>
      </c>
      <c r="G4466" s="3" t="s">
        <v>587</v>
      </c>
      <c r="H4466" s="2" t="s">
        <v>55</v>
      </c>
      <c r="I4466" s="2" t="s">
        <v>10955</v>
      </c>
      <c r="J4466" s="3" t="str">
        <f>HYPERLINK("https://www.boe.es/gazeta/dias/1809/07/18/pdfs/GMD-1809-199.pdf#page=1","Abrir facsímil")</f>
        <v>Abrir facsímil</v>
      </c>
      <c r="K4466" s="3" t="s">
        <v>57</v>
      </c>
    </row>
    <row r="4467" spans="1:11" ht="42" customHeight="1">
      <c r="A4467" s="2" t="s">
        <v>10951</v>
      </c>
      <c r="B4467" s="2" t="s">
        <v>10951</v>
      </c>
      <c r="C4467" s="2" t="s">
        <v>25</v>
      </c>
      <c r="D4467" s="2" t="s">
        <v>26</v>
      </c>
      <c r="E4467" s="3" t="s">
        <v>1773</v>
      </c>
      <c r="F4467" s="3" t="s">
        <v>1774</v>
      </c>
      <c r="G4467" s="3" t="s">
        <v>10059</v>
      </c>
      <c r="H4467" s="2" t="s">
        <v>55</v>
      </c>
      <c r="I4467" s="2" t="s">
        <v>10956</v>
      </c>
      <c r="J4467" s="3" t="str">
        <f>HYPERLINK("https://www.boe.es/gazeta/dias/1809/12/04/pdfs/GMD-1809-339.pdf#page=1","Abrir facsímil")</f>
        <v>Abrir facsímil</v>
      </c>
      <c r="K4467" s="3" t="s">
        <v>57</v>
      </c>
    </row>
    <row r="4468" spans="1:11" ht="42" customHeight="1">
      <c r="A4468" s="2" t="s">
        <v>10957</v>
      </c>
      <c r="B4468" s="2" t="s">
        <v>10958</v>
      </c>
      <c r="C4468" s="2" t="s">
        <v>17</v>
      </c>
      <c r="D4468" s="2" t="s">
        <v>40</v>
      </c>
      <c r="E4468" s="3" t="s">
        <v>925</v>
      </c>
      <c r="F4468" s="3" t="s">
        <v>926</v>
      </c>
      <c r="G4468" s="3" t="s">
        <v>62</v>
      </c>
      <c r="H4468" s="2" t="s">
        <v>55</v>
      </c>
      <c r="I4468" s="2" t="s">
        <v>10959</v>
      </c>
      <c r="J4468" s="3" t="str">
        <f>HYPERLINK("https://www.boe.es/gazeta/dias/1809/01/11/pdfs/GGB-1809-2.pdf#page=6","Abrir facsímil")</f>
        <v>Abrir facsímil</v>
      </c>
      <c r="K4468" s="3" t="s">
        <v>57</v>
      </c>
    </row>
    <row r="4469" spans="1:11" ht="42" customHeight="1">
      <c r="A4469" s="2" t="s">
        <v>10957</v>
      </c>
      <c r="B4469" s="2" t="s">
        <v>10958</v>
      </c>
      <c r="C4469" s="2" t="s">
        <v>17</v>
      </c>
      <c r="D4469" s="2" t="s">
        <v>40</v>
      </c>
      <c r="E4469" s="3" t="s">
        <v>925</v>
      </c>
      <c r="F4469" s="3" t="s">
        <v>926</v>
      </c>
      <c r="G4469" s="3" t="s">
        <v>595</v>
      </c>
      <c r="H4469" s="2" t="s">
        <v>55</v>
      </c>
      <c r="I4469" s="2" t="s">
        <v>10960</v>
      </c>
      <c r="J4469" s="3" t="str">
        <f>HYPERLINK("https://www.boe.es/gazeta/dias/1809/01/11/pdfs/GGB-1809-2.pdf#page=7","Abrir facsímil")</f>
        <v>Abrir facsímil</v>
      </c>
      <c r="K4469" s="3" t="s">
        <v>57</v>
      </c>
    </row>
    <row r="4470" spans="1:11" ht="42" customHeight="1">
      <c r="A4470" s="2" t="s">
        <v>10961</v>
      </c>
      <c r="B4470" s="2" t="s">
        <v>10962</v>
      </c>
      <c r="C4470" s="2" t="s">
        <v>25</v>
      </c>
      <c r="D4470" s="2" t="s">
        <v>18</v>
      </c>
      <c r="E4470" s="3" t="s">
        <v>163</v>
      </c>
      <c r="F4470" s="3" t="s">
        <v>478</v>
      </c>
      <c r="G4470" s="3" t="s">
        <v>1729</v>
      </c>
      <c r="H4470" s="2" t="s">
        <v>55</v>
      </c>
      <c r="I4470" s="2" t="s">
        <v>10963</v>
      </c>
      <c r="J4470" s="3" t="str">
        <f>HYPERLINK("https://www.boe.es/gazeta/dias/1809/03/10/pdfs/GGB-1809-11.pdf#page=13","Abrir facsímil")</f>
        <v>Abrir facsímil</v>
      </c>
      <c r="K4470" s="3" t="s">
        <v>57</v>
      </c>
    </row>
    <row r="4471" spans="1:11" ht="42" customHeight="1">
      <c r="A4471" s="2" t="s">
        <v>10964</v>
      </c>
      <c r="B4471" s="2" t="s">
        <v>10965</v>
      </c>
      <c r="C4471" s="2" t="s">
        <v>39</v>
      </c>
      <c r="D4471" s="2" t="s">
        <v>18</v>
      </c>
      <c r="E4471" s="3" t="s">
        <v>2249</v>
      </c>
      <c r="F4471" s="3" t="s">
        <v>2250</v>
      </c>
      <c r="G4471" s="3" t="s">
        <v>2251</v>
      </c>
      <c r="H4471" s="2" t="s">
        <v>55</v>
      </c>
      <c r="I4471" s="2" t="s">
        <v>10966</v>
      </c>
      <c r="J4471" s="3" t="str">
        <f>HYPERLINK("https://www.boe.es/gazeta/dias/1809/06/08/pdfs/GMD-1809-159.pdf#page=4","Abrir facsímil")</f>
        <v>Abrir facsímil</v>
      </c>
      <c r="K4471" s="3" t="s">
        <v>57</v>
      </c>
    </row>
    <row r="4472" spans="1:11" ht="42" customHeight="1">
      <c r="A4472" s="2" t="s">
        <v>10967</v>
      </c>
      <c r="B4472" s="2" t="s">
        <v>10968</v>
      </c>
      <c r="C4472" s="2" t="s">
        <v>17</v>
      </c>
      <c r="D4472" s="2" t="s">
        <v>18</v>
      </c>
      <c r="E4472" s="3" t="s">
        <v>87</v>
      </c>
      <c r="F4472" s="3" t="s">
        <v>88</v>
      </c>
      <c r="G4472" s="3" t="s">
        <v>239</v>
      </c>
      <c r="H4472" s="2" t="s">
        <v>22</v>
      </c>
      <c r="I4472" s="2" t="s">
        <v>10969</v>
      </c>
      <c r="J4472" s="3" t="str">
        <f>HYPERLINK("https://www.boe.es/gazeta/dias/1809/02/15/pdfs/GMD-1809-46.pdf#page=3","Abrir facsímil")</f>
        <v>Abrir facsímil</v>
      </c>
      <c r="K4472" s="3" t="s">
        <v>24</v>
      </c>
    </row>
    <row r="4473" spans="1:11" ht="42" customHeight="1">
      <c r="A4473" s="2" t="s">
        <v>10970</v>
      </c>
      <c r="B4473" s="2" t="s">
        <v>10971</v>
      </c>
      <c r="C4473" s="2" t="s">
        <v>17</v>
      </c>
      <c r="D4473" s="2" t="s">
        <v>18</v>
      </c>
      <c r="E4473" s="3" t="s">
        <v>60</v>
      </c>
      <c r="F4473" s="3" t="s">
        <v>61</v>
      </c>
      <c r="G4473" s="3" t="s">
        <v>29</v>
      </c>
      <c r="H4473" s="2" t="s">
        <v>55</v>
      </c>
      <c r="I4473" s="2" t="s">
        <v>10972</v>
      </c>
      <c r="J4473" s="3" t="str">
        <f>HYPERLINK("https://www.boe.es/gazeta/dias/1809/02/07/pdfs/GMD-1809-38.pdf#page=3","Abrir facsímil")</f>
        <v>Abrir facsímil</v>
      </c>
      <c r="K4473" s="3" t="s">
        <v>57</v>
      </c>
    </row>
    <row r="4474" spans="1:11" ht="42" customHeight="1">
      <c r="A4474" s="2" t="s">
        <v>10970</v>
      </c>
      <c r="B4474" s="2" t="s">
        <v>10971</v>
      </c>
      <c r="C4474" s="2" t="s">
        <v>25</v>
      </c>
      <c r="D4474" s="2" t="s">
        <v>80</v>
      </c>
      <c r="E4474" s="3" t="s">
        <v>3880</v>
      </c>
      <c r="F4474" s="3" t="s">
        <v>3881</v>
      </c>
      <c r="G4474" s="3" t="s">
        <v>62</v>
      </c>
      <c r="H4474" s="2" t="s">
        <v>55</v>
      </c>
      <c r="I4474" s="2" t="s">
        <v>10973</v>
      </c>
      <c r="J4474" s="3" t="str">
        <f>HYPERLINK("https://www.boe.es/gazeta/dias/1809/03/25/pdfs/GGB-1809-13E.pdf#page=2","Abrir facsímil")</f>
        <v>Abrir facsímil</v>
      </c>
      <c r="K4474" s="3" t="s">
        <v>57</v>
      </c>
    </row>
    <row r="4475" spans="1:11" ht="42" customHeight="1">
      <c r="A4475" s="2" t="s">
        <v>10974</v>
      </c>
      <c r="B4475" s="2" t="s">
        <v>10975</v>
      </c>
      <c r="C4475" s="2" t="s">
        <v>39</v>
      </c>
      <c r="D4475" s="2" t="s">
        <v>18</v>
      </c>
      <c r="E4475" s="3" t="s">
        <v>536</v>
      </c>
      <c r="F4475" s="3" t="s">
        <v>537</v>
      </c>
      <c r="G4475" s="3" t="s">
        <v>29</v>
      </c>
      <c r="H4475" s="2" t="s">
        <v>55</v>
      </c>
      <c r="I4475" s="2" t="s">
        <v>10976</v>
      </c>
      <c r="J4475" s="3" t="str">
        <f>HYPERLINK("https://www.boe.es/gazeta/dias/1809/09/03/pdfs/GMD-1809-247.pdf#page=3","Abrir facsímil")</f>
        <v>Abrir facsímil</v>
      </c>
      <c r="K4475" s="3" t="s">
        <v>57</v>
      </c>
    </row>
    <row r="4476" spans="1:11" ht="42" customHeight="1">
      <c r="A4476" s="2" t="s">
        <v>10977</v>
      </c>
      <c r="B4476" s="2" t="s">
        <v>10978</v>
      </c>
      <c r="C4476" s="2" t="s">
        <v>17</v>
      </c>
      <c r="D4476" s="2" t="s">
        <v>18</v>
      </c>
      <c r="E4476" s="3" t="s">
        <v>1586</v>
      </c>
      <c r="F4476" s="3" t="s">
        <v>1587</v>
      </c>
      <c r="G4476" s="3" t="s">
        <v>1909</v>
      </c>
      <c r="H4476" s="2" t="s">
        <v>55</v>
      </c>
      <c r="I4476" s="2" t="s">
        <v>10979</v>
      </c>
      <c r="J4476" s="3" t="str">
        <f>HYPERLINK("https://www.boe.es/gazeta/dias/1809/02/20/pdfs/GMD-1809-51.pdf#page=4","Abrir facsímil")</f>
        <v>Abrir facsímil</v>
      </c>
      <c r="K4476" s="3" t="s">
        <v>57</v>
      </c>
    </row>
    <row r="4477" spans="1:11" ht="42" customHeight="1">
      <c r="A4477" s="2" t="s">
        <v>10980</v>
      </c>
      <c r="B4477" s="2" t="s">
        <v>10981</v>
      </c>
      <c r="C4477" s="2" t="s">
        <v>25</v>
      </c>
      <c r="D4477" s="2" t="s">
        <v>18</v>
      </c>
      <c r="E4477" s="3" t="s">
        <v>758</v>
      </c>
      <c r="F4477" s="3" t="s">
        <v>759</v>
      </c>
      <c r="G4477" s="3" t="s">
        <v>225</v>
      </c>
      <c r="H4477" s="2" t="s">
        <v>55</v>
      </c>
      <c r="I4477" s="2" t="s">
        <v>10982</v>
      </c>
      <c r="J4477" s="3" t="str">
        <f>HYPERLINK("https://www.boe.es/gazeta/dias/1809/06/01/pdfs/GMD-1809-152.pdf#page=4","Abrir facsímil")</f>
        <v>Abrir facsímil</v>
      </c>
      <c r="K4477" s="3" t="s">
        <v>57</v>
      </c>
    </row>
    <row r="4478" spans="1:11" ht="42" customHeight="1">
      <c r="A4478" s="2" t="s">
        <v>10983</v>
      </c>
      <c r="B4478" s="2" t="s">
        <v>10984</v>
      </c>
      <c r="C4478" s="2" t="s">
        <v>369</v>
      </c>
      <c r="D4478" s="2" t="s">
        <v>72</v>
      </c>
      <c r="E4478" s="3" t="s">
        <v>1640</v>
      </c>
      <c r="F4478" s="3" t="s">
        <v>1641</v>
      </c>
      <c r="G4478" s="3" t="s">
        <v>225</v>
      </c>
      <c r="H4478" s="2" t="s">
        <v>55</v>
      </c>
      <c r="I4478" s="2" t="s">
        <v>10985</v>
      </c>
      <c r="J4478" s="3" t="str">
        <f>HYPERLINK("https://www.boe.es/gazeta/dias/1809/01/06/pdfs/GGB-G-1809-1.pdf#page=4","Abrir facsímil")</f>
        <v>Abrir facsímil</v>
      </c>
      <c r="K4478" s="3" t="s">
        <v>57</v>
      </c>
    </row>
    <row r="4479" spans="1:11" ht="42" customHeight="1">
      <c r="A4479" s="2" t="s">
        <v>10983</v>
      </c>
      <c r="B4479" s="2" t="s">
        <v>10984</v>
      </c>
      <c r="C4479" s="2" t="s">
        <v>369</v>
      </c>
      <c r="D4479" s="2" t="s">
        <v>72</v>
      </c>
      <c r="E4479" s="3" t="s">
        <v>1123</v>
      </c>
      <c r="F4479" s="3" t="s">
        <v>1641</v>
      </c>
      <c r="G4479" s="3" t="s">
        <v>225</v>
      </c>
      <c r="H4479" s="2" t="s">
        <v>55</v>
      </c>
      <c r="I4479" s="2" t="s">
        <v>10985</v>
      </c>
      <c r="J4479" s="3" t="str">
        <f>HYPERLINK("https://www.boe.es/gazeta/dias/1809/01/08/pdfs/GGB-G-1809-1.pdf#page=4","Abrir facsímil")</f>
        <v>Abrir facsímil</v>
      </c>
      <c r="K4479" s="3" t="s">
        <v>57</v>
      </c>
    </row>
    <row r="4480" spans="1:11" ht="42" customHeight="1">
      <c r="A4480" s="2" t="s">
        <v>10986</v>
      </c>
      <c r="B4480" s="2" t="s">
        <v>10987</v>
      </c>
      <c r="C4480" s="2" t="s">
        <v>17</v>
      </c>
      <c r="D4480" s="2" t="s">
        <v>72</v>
      </c>
      <c r="E4480" s="3" t="s">
        <v>635</v>
      </c>
      <c r="F4480" s="3" t="s">
        <v>2073</v>
      </c>
      <c r="G4480" s="3" t="s">
        <v>2074</v>
      </c>
      <c r="H4480" s="2" t="s">
        <v>55</v>
      </c>
      <c r="I4480" s="2" t="s">
        <v>10988</v>
      </c>
      <c r="J4480" s="3" t="str">
        <f>HYPERLINK("https://www.boe.es/gazeta/dias/1809/12/16/pdfs/GGB-H-1809-592.pdf#page=7","Abrir facsímil")</f>
        <v>Abrir facsímil</v>
      </c>
      <c r="K4480" s="3" t="s">
        <v>57</v>
      </c>
    </row>
    <row r="4481" spans="1:11" ht="42" customHeight="1">
      <c r="A4481" s="2" t="s">
        <v>10989</v>
      </c>
      <c r="B4481" s="2" t="s">
        <v>10990</v>
      </c>
      <c r="C4481" s="2" t="s">
        <v>25</v>
      </c>
      <c r="D4481" s="2" t="s">
        <v>18</v>
      </c>
      <c r="E4481" s="3" t="s">
        <v>925</v>
      </c>
      <c r="F4481" s="3" t="s">
        <v>926</v>
      </c>
      <c r="G4481" s="3" t="s">
        <v>239</v>
      </c>
      <c r="H4481" s="2" t="s">
        <v>55</v>
      </c>
      <c r="I4481" s="2" t="s">
        <v>10991</v>
      </c>
      <c r="J4481" s="3" t="str">
        <f>HYPERLINK("https://www.boe.es/gazeta/dias/1809/01/11/pdfs/GGB-1809-2.pdf#page=8","Abrir facsímil")</f>
        <v>Abrir facsímil</v>
      </c>
      <c r="K4481" s="3" t="s">
        <v>57</v>
      </c>
    </row>
    <row r="4482" spans="1:11" ht="42" customHeight="1">
      <c r="A4482" s="2" t="s">
        <v>10992</v>
      </c>
      <c r="B4482" s="2" t="s">
        <v>10992</v>
      </c>
      <c r="C4482" s="2" t="s">
        <v>25</v>
      </c>
      <c r="D4482" s="2" t="s">
        <v>26</v>
      </c>
      <c r="E4482" s="3" t="s">
        <v>223</v>
      </c>
      <c r="F4482" s="3" t="s">
        <v>224</v>
      </c>
      <c r="G4482" s="3" t="s">
        <v>225</v>
      </c>
      <c r="H4482" s="2" t="s">
        <v>55</v>
      </c>
      <c r="I4482" s="2" t="s">
        <v>10993</v>
      </c>
      <c r="J4482" s="3" t="str">
        <f>HYPERLINK("https://www.boe.es/gazeta/dias/1809/12/17/pdfs/GMD-1809-352.pdf#page=4","Abrir facsímil")</f>
        <v>Abrir facsímil</v>
      </c>
      <c r="K4482" s="3" t="s">
        <v>57</v>
      </c>
    </row>
    <row r="4483" spans="1:11" ht="42" customHeight="1">
      <c r="A4483" s="2" t="s">
        <v>10994</v>
      </c>
      <c r="B4483" s="2" t="s">
        <v>10995</v>
      </c>
      <c r="C4483" s="2" t="s">
        <v>25</v>
      </c>
      <c r="D4483" s="2" t="s">
        <v>26</v>
      </c>
      <c r="E4483" s="3" t="s">
        <v>299</v>
      </c>
      <c r="F4483" s="3" t="s">
        <v>300</v>
      </c>
      <c r="G4483" s="3" t="s">
        <v>62</v>
      </c>
      <c r="H4483" s="2" t="s">
        <v>55</v>
      </c>
      <c r="I4483" s="2" t="s">
        <v>10996</v>
      </c>
      <c r="J4483" s="3" t="str">
        <f>HYPERLINK("https://www.boe.es/gazeta/dias/1809/05/26/pdfs/GGB-1809-31.pdf#page=12","Abrir facsímil")</f>
        <v>Abrir facsímil</v>
      </c>
      <c r="K4483" s="3" t="s">
        <v>57</v>
      </c>
    </row>
    <row r="4484" spans="1:11" ht="42" customHeight="1">
      <c r="A4484" s="2" t="s">
        <v>10997</v>
      </c>
      <c r="B4484" s="2" t="s">
        <v>10998</v>
      </c>
      <c r="C4484" s="2" t="s">
        <v>25</v>
      </c>
      <c r="D4484" s="2" t="s">
        <v>26</v>
      </c>
      <c r="E4484" s="3" t="s">
        <v>143</v>
      </c>
      <c r="F4484" s="3" t="s">
        <v>705</v>
      </c>
      <c r="G4484" s="3" t="s">
        <v>260</v>
      </c>
      <c r="H4484" s="2" t="s">
        <v>55</v>
      </c>
      <c r="I4484" s="2" t="s">
        <v>10999</v>
      </c>
      <c r="J4484" s="3" t="str">
        <f>HYPERLINK("https://www.boe.es/gazeta/dias/1809/11/16/pdfs/GGB-H-1809-462.pdf#page=7","Abrir facsímil")</f>
        <v>Abrir facsímil</v>
      </c>
      <c r="K4484" s="3" t="s">
        <v>57</v>
      </c>
    </row>
    <row r="4485" spans="1:11" ht="42" customHeight="1">
      <c r="A4485" s="2" t="s">
        <v>11000</v>
      </c>
      <c r="B4485" s="2" t="s">
        <v>11001</v>
      </c>
      <c r="C4485" s="2" t="s">
        <v>17</v>
      </c>
      <c r="D4485" s="2" t="s">
        <v>40</v>
      </c>
      <c r="E4485" s="3" t="s">
        <v>635</v>
      </c>
      <c r="F4485" s="3" t="s">
        <v>636</v>
      </c>
      <c r="G4485" s="3" t="s">
        <v>637</v>
      </c>
      <c r="H4485" s="2" t="s">
        <v>55</v>
      </c>
      <c r="I4485" s="2" t="s">
        <v>11002</v>
      </c>
      <c r="J4485" s="3" t="str">
        <f>HYPERLINK("https://www.boe.es/gazeta/dias/1809/12/16/pdfs/GGB-1809-592.pdf#page=6","Abrir facsímil")</f>
        <v>Abrir facsímil</v>
      </c>
      <c r="K4485" s="3" t="s">
        <v>57</v>
      </c>
    </row>
    <row r="4486" spans="1:11" ht="42" customHeight="1">
      <c r="A4486" s="2" t="s">
        <v>11003</v>
      </c>
      <c r="B4486" s="2" t="s">
        <v>11004</v>
      </c>
      <c r="C4486" s="2" t="s">
        <v>17</v>
      </c>
      <c r="D4486" s="2" t="s">
        <v>40</v>
      </c>
      <c r="E4486" s="3" t="s">
        <v>1396</v>
      </c>
      <c r="F4486" s="3" t="s">
        <v>2370</v>
      </c>
      <c r="G4486" s="3" t="s">
        <v>239</v>
      </c>
      <c r="H4486" s="2" t="s">
        <v>55</v>
      </c>
      <c r="I4486" s="2" t="s">
        <v>11005</v>
      </c>
      <c r="J4486" s="3" t="str">
        <f>HYPERLINK("https://www.boe.es/gazeta/dias/1809/11/28/pdfs/GGB-H-1809-512.pdf#page=6","Abrir facsímil")</f>
        <v>Abrir facsímil</v>
      </c>
      <c r="K4486" s="3" t="s">
        <v>57</v>
      </c>
    </row>
    <row r="4487" spans="1:11" ht="42" customHeight="1">
      <c r="A4487" s="2" t="s">
        <v>11006</v>
      </c>
      <c r="B4487" s="2" t="s">
        <v>11007</v>
      </c>
      <c r="C4487" s="2" t="s">
        <v>17</v>
      </c>
      <c r="D4487" s="2" t="s">
        <v>72</v>
      </c>
      <c r="E4487" s="3" t="s">
        <v>243</v>
      </c>
      <c r="F4487" s="3" t="s">
        <v>244</v>
      </c>
      <c r="G4487" s="3" t="s">
        <v>110</v>
      </c>
      <c r="H4487" s="2" t="s">
        <v>55</v>
      </c>
      <c r="I4487" s="2" t="s">
        <v>11008</v>
      </c>
      <c r="J4487" s="3" t="str">
        <f>HYPERLINK("https://www.boe.es/gazeta/dias/1809/02/17/pdfs/GGB-G-1809-8.pdf#page=5","Abrir facsímil")</f>
        <v>Abrir facsímil</v>
      </c>
      <c r="K4487" s="3" t="s">
        <v>57</v>
      </c>
    </row>
    <row r="4488" spans="1:11" ht="42" customHeight="1">
      <c r="A4488" s="2" t="s">
        <v>11006</v>
      </c>
      <c r="B4488" s="2" t="s">
        <v>11007</v>
      </c>
      <c r="C4488" s="2" t="s">
        <v>25</v>
      </c>
      <c r="D4488" s="2" t="s">
        <v>80</v>
      </c>
      <c r="E4488" s="3" t="s">
        <v>81</v>
      </c>
      <c r="F4488" s="3" t="s">
        <v>82</v>
      </c>
      <c r="G4488" s="3" t="s">
        <v>623</v>
      </c>
      <c r="H4488" s="2" t="s">
        <v>55</v>
      </c>
      <c r="I4488" s="2" t="s">
        <v>11009</v>
      </c>
      <c r="J4488" s="3" t="str">
        <f>HYPERLINK("https://www.boe.es/gazeta/dias/1809/04/11/pdfs/GGB-1809-16E.pdf#page=6","Abrir facsímil")</f>
        <v>Abrir facsímil</v>
      </c>
      <c r="K4488" s="3" t="s">
        <v>57</v>
      </c>
    </row>
    <row r="4489" spans="1:11" ht="42" customHeight="1">
      <c r="A4489" s="2" t="s">
        <v>11006</v>
      </c>
      <c r="B4489" s="2" t="s">
        <v>11007</v>
      </c>
      <c r="C4489" s="2" t="s">
        <v>25</v>
      </c>
      <c r="D4489" s="2" t="s">
        <v>18</v>
      </c>
      <c r="E4489" s="3" t="s">
        <v>73</v>
      </c>
      <c r="F4489" s="3" t="s">
        <v>822</v>
      </c>
      <c r="G4489" s="3" t="s">
        <v>2147</v>
      </c>
      <c r="H4489" s="2" t="s">
        <v>55</v>
      </c>
      <c r="I4489" s="2" t="s">
        <v>11010</v>
      </c>
      <c r="J4489" s="3" t="str">
        <f>HYPERLINK("https://www.boe.es/gazeta/dias/1809/09/21/pdfs/GGB-1809-222.pdf#page=7","Abrir facsímil")</f>
        <v>Abrir facsímil</v>
      </c>
      <c r="K4489" s="3" t="s">
        <v>57</v>
      </c>
    </row>
    <row r="4490" spans="1:11" ht="42" customHeight="1">
      <c r="A4490" s="2" t="s">
        <v>11011</v>
      </c>
      <c r="B4490" s="2" t="s">
        <v>11012</v>
      </c>
      <c r="C4490" s="2" t="s">
        <v>47</v>
      </c>
      <c r="D4490" s="2" t="s">
        <v>18</v>
      </c>
      <c r="E4490" s="3" t="s">
        <v>635</v>
      </c>
      <c r="F4490" s="3" t="s">
        <v>636</v>
      </c>
      <c r="G4490" s="3" t="s">
        <v>637</v>
      </c>
      <c r="H4490" s="2" t="s">
        <v>55</v>
      </c>
      <c r="I4490" s="2" t="s">
        <v>11013</v>
      </c>
      <c r="J4490" s="3" t="str">
        <f>HYPERLINK("https://www.boe.es/gazeta/dias/1809/12/16/pdfs/GGB-1809-592.pdf#page=6","Abrir facsímil")</f>
        <v>Abrir facsímil</v>
      </c>
      <c r="K4490" s="3" t="s">
        <v>57</v>
      </c>
    </row>
    <row r="4491" spans="1:11" ht="42" customHeight="1">
      <c r="A4491" s="2" t="s">
        <v>11014</v>
      </c>
      <c r="B4491" s="2" t="s">
        <v>11015</v>
      </c>
      <c r="C4491" s="2" t="s">
        <v>25</v>
      </c>
      <c r="D4491" s="2" t="s">
        <v>72</v>
      </c>
      <c r="E4491" s="3" t="s">
        <v>118</v>
      </c>
      <c r="F4491" s="3" t="s">
        <v>819</v>
      </c>
      <c r="G4491" s="3" t="s">
        <v>2287</v>
      </c>
      <c r="H4491" s="2" t="s">
        <v>55</v>
      </c>
      <c r="I4491" s="2" t="s">
        <v>11016</v>
      </c>
      <c r="J4491" s="3" t="str">
        <f>HYPERLINK("https://www.boe.es/gazeta/dias/1809/09/07/pdfs/GGB-H-1809-162.pdf#page=7","Abrir facsímil")</f>
        <v>Abrir facsímil</v>
      </c>
      <c r="K4491" s="3" t="s">
        <v>57</v>
      </c>
    </row>
    <row r="4492" spans="1:11" ht="42" customHeight="1">
      <c r="A4492" s="2" t="s">
        <v>11017</v>
      </c>
      <c r="B4492" s="2" t="s">
        <v>11018</v>
      </c>
      <c r="C4492" s="2" t="s">
        <v>17</v>
      </c>
      <c r="D4492" s="2" t="s">
        <v>72</v>
      </c>
      <c r="E4492" s="3" t="s">
        <v>163</v>
      </c>
      <c r="F4492" s="3" t="s">
        <v>164</v>
      </c>
      <c r="G4492" s="3" t="s">
        <v>21</v>
      </c>
      <c r="H4492" s="2" t="s">
        <v>55</v>
      </c>
      <c r="I4492" s="2" t="s">
        <v>11019</v>
      </c>
      <c r="J4492" s="3" t="str">
        <f>HYPERLINK("https://www.boe.es/gazeta/dias/1809/03/10/pdfs/GGB-H-1809-11.pdf#page=8","Abrir facsímil")</f>
        <v>Abrir facsímil</v>
      </c>
      <c r="K4492" s="3" t="s">
        <v>57</v>
      </c>
    </row>
    <row r="4493" spans="1:11" ht="42" customHeight="1">
      <c r="A4493" s="2" t="s">
        <v>11020</v>
      </c>
      <c r="B4493" s="2" t="s">
        <v>11021</v>
      </c>
      <c r="C4493" s="2" t="s">
        <v>17</v>
      </c>
      <c r="D4493" s="2" t="s">
        <v>72</v>
      </c>
      <c r="E4493" s="3" t="s">
        <v>243</v>
      </c>
      <c r="F4493" s="3" t="s">
        <v>244</v>
      </c>
      <c r="G4493" s="3" t="s">
        <v>110</v>
      </c>
      <c r="H4493" s="2" t="s">
        <v>55</v>
      </c>
      <c r="I4493" s="2" t="s">
        <v>11022</v>
      </c>
      <c r="J4493" s="3" t="str">
        <f>HYPERLINK("https://www.boe.es/gazeta/dias/1809/02/17/pdfs/GGB-G-1809-8.pdf#page=5","Abrir facsímil")</f>
        <v>Abrir facsímil</v>
      </c>
      <c r="K4493" s="3" t="s">
        <v>57</v>
      </c>
    </row>
    <row r="4494" spans="1:11" ht="42" customHeight="1">
      <c r="A4494" s="2" t="s">
        <v>11020</v>
      </c>
      <c r="B4494" s="2" t="s">
        <v>11021</v>
      </c>
      <c r="C4494" s="2" t="s">
        <v>17</v>
      </c>
      <c r="D4494" s="2" t="s">
        <v>72</v>
      </c>
      <c r="E4494" s="3" t="s">
        <v>243</v>
      </c>
      <c r="F4494" s="3" t="s">
        <v>244</v>
      </c>
      <c r="G4494" s="3" t="s">
        <v>541</v>
      </c>
      <c r="H4494" s="2" t="s">
        <v>55</v>
      </c>
      <c r="I4494" s="2" t="s">
        <v>11023</v>
      </c>
      <c r="J4494" s="3" t="str">
        <f>HYPERLINK("https://www.boe.es/gazeta/dias/1809/02/17/pdfs/GGB-G-1809-8.pdf#page=8","Abrir facsímil")</f>
        <v>Abrir facsímil</v>
      </c>
      <c r="K4494" s="3" t="s">
        <v>57</v>
      </c>
    </row>
    <row r="4495" spans="1:11" ht="42" customHeight="1">
      <c r="A4495" s="2" t="s">
        <v>11024</v>
      </c>
      <c r="B4495" s="2" t="s">
        <v>11025</v>
      </c>
      <c r="C4495" s="2" t="s">
        <v>17</v>
      </c>
      <c r="D4495" s="2" t="s">
        <v>72</v>
      </c>
      <c r="E4495" s="3" t="s">
        <v>243</v>
      </c>
      <c r="F4495" s="3" t="s">
        <v>244</v>
      </c>
      <c r="G4495" s="3" t="s">
        <v>110</v>
      </c>
      <c r="H4495" s="2" t="s">
        <v>55</v>
      </c>
      <c r="I4495" s="2" t="s">
        <v>11026</v>
      </c>
      <c r="J4495" s="3" t="str">
        <f>HYPERLINK("https://www.boe.es/gazeta/dias/1809/02/17/pdfs/GGB-G-1809-8.pdf#page=5","Abrir facsímil")</f>
        <v>Abrir facsímil</v>
      </c>
      <c r="K4495" s="3" t="s">
        <v>57</v>
      </c>
    </row>
    <row r="4496" spans="1:11" ht="42" customHeight="1">
      <c r="A4496" s="2" t="s">
        <v>11027</v>
      </c>
      <c r="B4496" s="2" t="s">
        <v>11028</v>
      </c>
      <c r="C4496" s="2" t="s">
        <v>288</v>
      </c>
      <c r="D4496" s="2" t="s">
        <v>72</v>
      </c>
      <c r="E4496" s="3" t="s">
        <v>243</v>
      </c>
      <c r="F4496" s="3" t="s">
        <v>244</v>
      </c>
      <c r="G4496" s="3" t="s">
        <v>541</v>
      </c>
      <c r="H4496" s="2" t="s">
        <v>55</v>
      </c>
      <c r="I4496" s="2" t="s">
        <v>11029</v>
      </c>
      <c r="J4496" s="3" t="str">
        <f>HYPERLINK("https://www.boe.es/gazeta/dias/1809/02/17/pdfs/GGB-G-1809-8.pdf#page=8","Abrir facsímil")</f>
        <v>Abrir facsímil</v>
      </c>
      <c r="K4496" s="3" t="s">
        <v>57</v>
      </c>
    </row>
    <row r="4497" spans="1:11" ht="42" customHeight="1">
      <c r="A4497" s="2" t="s">
        <v>11030</v>
      </c>
      <c r="B4497" s="2" t="s">
        <v>11031</v>
      </c>
      <c r="C4497" s="2" t="s">
        <v>17</v>
      </c>
      <c r="D4497" s="2" t="s">
        <v>18</v>
      </c>
      <c r="E4497" s="3" t="s">
        <v>299</v>
      </c>
      <c r="F4497" s="3" t="s">
        <v>300</v>
      </c>
      <c r="G4497" s="3" t="s">
        <v>301</v>
      </c>
      <c r="H4497" s="2" t="s">
        <v>55</v>
      </c>
      <c r="I4497" s="2" t="s">
        <v>11032</v>
      </c>
      <c r="J4497" s="3" t="str">
        <f>HYPERLINK("https://www.boe.es/gazeta/dias/1809/05/26/pdfs/GGB-1809-31.pdf#page=10","Abrir facsímil")</f>
        <v>Abrir facsímil</v>
      </c>
      <c r="K4497" s="3" t="s">
        <v>57</v>
      </c>
    </row>
    <row r="4498" spans="1:11" ht="42" customHeight="1">
      <c r="A4498" s="2" t="s">
        <v>11033</v>
      </c>
      <c r="B4498" s="2" t="s">
        <v>11034</v>
      </c>
      <c r="C4498" s="2" t="s">
        <v>17</v>
      </c>
      <c r="D4498" s="2" t="s">
        <v>72</v>
      </c>
      <c r="E4498" s="3" t="s">
        <v>243</v>
      </c>
      <c r="F4498" s="3" t="s">
        <v>244</v>
      </c>
      <c r="G4498" s="3" t="s">
        <v>582</v>
      </c>
      <c r="H4498" s="2" t="s">
        <v>55</v>
      </c>
      <c r="I4498" s="2" t="s">
        <v>11035</v>
      </c>
      <c r="J4498" s="3" t="str">
        <f>HYPERLINK("https://www.boe.es/gazeta/dias/1809/02/17/pdfs/GGB-G-1809-8.pdf#page=7","Abrir facsímil")</f>
        <v>Abrir facsímil</v>
      </c>
      <c r="K4498" s="3" t="s">
        <v>57</v>
      </c>
    </row>
    <row r="4499" spans="1:11" ht="42" customHeight="1">
      <c r="A4499" s="2" t="s">
        <v>11036</v>
      </c>
      <c r="B4499" s="2" t="s">
        <v>11037</v>
      </c>
      <c r="C4499" s="2" t="s">
        <v>17</v>
      </c>
      <c r="D4499" s="2" t="s">
        <v>72</v>
      </c>
      <c r="E4499" s="3" t="s">
        <v>243</v>
      </c>
      <c r="F4499" s="3" t="s">
        <v>244</v>
      </c>
      <c r="G4499" s="3" t="s">
        <v>582</v>
      </c>
      <c r="H4499" s="2" t="s">
        <v>55</v>
      </c>
      <c r="I4499" s="2" t="s">
        <v>11038</v>
      </c>
      <c r="J4499" s="3" t="str">
        <f>HYPERLINK("https://www.boe.es/gazeta/dias/1809/02/17/pdfs/GGB-G-1809-8.pdf#page=7","Abrir facsímil")</f>
        <v>Abrir facsímil</v>
      </c>
      <c r="K4499" s="3" t="s">
        <v>57</v>
      </c>
    </row>
    <row r="4500" spans="1:11" ht="42" customHeight="1">
      <c r="A4500" s="2" t="s">
        <v>11036</v>
      </c>
      <c r="B4500" s="2" t="s">
        <v>11037</v>
      </c>
      <c r="C4500" s="2" t="s">
        <v>17</v>
      </c>
      <c r="D4500" s="2" t="s">
        <v>72</v>
      </c>
      <c r="E4500" s="3" t="s">
        <v>243</v>
      </c>
      <c r="F4500" s="3" t="s">
        <v>244</v>
      </c>
      <c r="G4500" s="3" t="s">
        <v>541</v>
      </c>
      <c r="H4500" s="2" t="s">
        <v>55</v>
      </c>
      <c r="I4500" s="2" t="s">
        <v>11039</v>
      </c>
      <c r="J4500" s="3" t="str">
        <f>HYPERLINK("https://www.boe.es/gazeta/dias/1809/02/17/pdfs/GGB-G-1809-8.pdf#page=8","Abrir facsímil")</f>
        <v>Abrir facsímil</v>
      </c>
      <c r="K4500" s="3" t="s">
        <v>57</v>
      </c>
    </row>
    <row r="4501" spans="1:11" ht="42" customHeight="1">
      <c r="A4501" s="2" t="s">
        <v>11040</v>
      </c>
      <c r="B4501" s="2" t="s">
        <v>11041</v>
      </c>
      <c r="C4501" s="2" t="s">
        <v>25</v>
      </c>
      <c r="D4501" s="2" t="s">
        <v>72</v>
      </c>
      <c r="E4501" s="3" t="s">
        <v>147</v>
      </c>
      <c r="F4501" s="3" t="s">
        <v>562</v>
      </c>
      <c r="G4501" s="3" t="s">
        <v>5962</v>
      </c>
      <c r="H4501" s="2" t="s">
        <v>55</v>
      </c>
      <c r="I4501" s="2" t="s">
        <v>11042</v>
      </c>
      <c r="J4501" s="3" t="str">
        <f>HYPERLINK("https://www.boe.es/gazeta/dias/1809/10/07/pdfs/GGB-H-1809-292.pdf#page=7","Abrir facsímil")</f>
        <v>Abrir facsímil</v>
      </c>
      <c r="K4501" s="3" t="s">
        <v>57</v>
      </c>
    </row>
    <row r="4502" spans="1:11" ht="42" customHeight="1">
      <c r="A4502" s="2" t="s">
        <v>11043</v>
      </c>
      <c r="B4502" s="2" t="s">
        <v>11044</v>
      </c>
      <c r="C4502" s="2" t="s">
        <v>17</v>
      </c>
      <c r="D4502" s="2" t="s">
        <v>72</v>
      </c>
      <c r="E4502" s="3" t="s">
        <v>243</v>
      </c>
      <c r="F4502" s="3" t="s">
        <v>244</v>
      </c>
      <c r="G4502" s="3" t="s">
        <v>110</v>
      </c>
      <c r="H4502" s="2" t="s">
        <v>55</v>
      </c>
      <c r="I4502" s="2" t="s">
        <v>11045</v>
      </c>
      <c r="J4502" s="3" t="str">
        <f>HYPERLINK("https://www.boe.es/gazeta/dias/1809/02/17/pdfs/GGB-G-1809-8.pdf#page=6","Abrir facsímil")</f>
        <v>Abrir facsímil</v>
      </c>
      <c r="K4502" s="3" t="s">
        <v>57</v>
      </c>
    </row>
    <row r="4503" spans="1:11" ht="42" customHeight="1">
      <c r="A4503" s="2" t="s">
        <v>11046</v>
      </c>
      <c r="B4503" s="2" t="s">
        <v>11046</v>
      </c>
      <c r="C4503" s="2" t="s">
        <v>25</v>
      </c>
      <c r="D4503" s="2" t="s">
        <v>26</v>
      </c>
      <c r="E4503" s="3" t="s">
        <v>2142</v>
      </c>
      <c r="F4503" s="3" t="s">
        <v>2143</v>
      </c>
      <c r="G4503" s="3" t="s">
        <v>62</v>
      </c>
      <c r="H4503" s="2" t="s">
        <v>55</v>
      </c>
      <c r="I4503" s="2" t="s">
        <v>11047</v>
      </c>
      <c r="J4503" s="3" t="str">
        <f>HYPERLINK("https://www.boe.es/gazeta/dias/1809/03/16/pdfs/GMD-1809-75.pdf#page=4","Abrir facsímil")</f>
        <v>Abrir facsímil</v>
      </c>
      <c r="K4503" s="3" t="s">
        <v>57</v>
      </c>
    </row>
    <row r="4504" spans="1:11" ht="42" customHeight="1">
      <c r="A4504" s="2" t="s">
        <v>11048</v>
      </c>
      <c r="B4504" s="2" t="s">
        <v>11049</v>
      </c>
      <c r="C4504" s="2" t="s">
        <v>17</v>
      </c>
      <c r="D4504" s="2" t="s">
        <v>72</v>
      </c>
      <c r="E4504" s="3" t="s">
        <v>163</v>
      </c>
      <c r="F4504" s="3" t="s">
        <v>164</v>
      </c>
      <c r="G4504" s="3" t="s">
        <v>239</v>
      </c>
      <c r="H4504" s="2" t="s">
        <v>55</v>
      </c>
      <c r="I4504" s="2" t="s">
        <v>11050</v>
      </c>
      <c r="J4504" s="3" t="str">
        <f>HYPERLINK("https://www.boe.es/gazeta/dias/1809/03/10/pdfs/GGB-H-1809-11.pdf#page=7","Abrir facsímil")</f>
        <v>Abrir facsímil</v>
      </c>
      <c r="K4504" s="3" t="s">
        <v>57</v>
      </c>
    </row>
    <row r="4505" spans="1:11" ht="42" customHeight="1">
      <c r="A4505" s="2" t="s">
        <v>11051</v>
      </c>
      <c r="B4505" s="2" t="s">
        <v>11052</v>
      </c>
      <c r="C4505" s="2" t="s">
        <v>288</v>
      </c>
      <c r="D4505" s="2" t="s">
        <v>18</v>
      </c>
      <c r="E4505" s="3" t="s">
        <v>60</v>
      </c>
      <c r="F4505" s="3" t="s">
        <v>61</v>
      </c>
      <c r="G4505" s="3" t="s">
        <v>62</v>
      </c>
      <c r="H4505" s="2" t="s">
        <v>55</v>
      </c>
      <c r="I4505" s="2" t="s">
        <v>11053</v>
      </c>
      <c r="J4505" s="3" t="str">
        <f>HYPERLINK("https://www.boe.es/gazeta/dias/1809/02/07/pdfs/GMD-1809-38.pdf#page=4","Abrir facsímil")</f>
        <v>Abrir facsímil</v>
      </c>
      <c r="K4505" s="3" t="s">
        <v>57</v>
      </c>
    </row>
    <row r="4506" spans="1:11" ht="42" customHeight="1">
      <c r="A4506" s="2" t="s">
        <v>11054</v>
      </c>
      <c r="B4506" s="2" t="s">
        <v>11055</v>
      </c>
      <c r="C4506" s="2" t="s">
        <v>288</v>
      </c>
      <c r="D4506" s="2" t="s">
        <v>18</v>
      </c>
      <c r="E4506" s="3" t="s">
        <v>4361</v>
      </c>
      <c r="F4506" s="3" t="s">
        <v>4362</v>
      </c>
      <c r="G4506" s="3" t="s">
        <v>918</v>
      </c>
      <c r="H4506" s="2" t="s">
        <v>55</v>
      </c>
      <c r="I4506" s="2" t="s">
        <v>11056</v>
      </c>
      <c r="J4506" s="3" t="str">
        <f>HYPERLINK("https://www.boe.es/gazeta/dias/1809/01/28/pdfs/GMD-1809-28.pdf#page=4","Abrir facsímil")</f>
        <v>Abrir facsímil</v>
      </c>
      <c r="K4506" s="3" t="s">
        <v>57</v>
      </c>
    </row>
    <row r="4507" spans="1:11" ht="42" customHeight="1">
      <c r="A4507" s="2" t="s">
        <v>11057</v>
      </c>
      <c r="B4507" s="2" t="s">
        <v>11058</v>
      </c>
      <c r="C4507" s="2" t="s">
        <v>17</v>
      </c>
      <c r="D4507" s="2" t="s">
        <v>18</v>
      </c>
      <c r="E4507" s="3" t="s">
        <v>60</v>
      </c>
      <c r="F4507" s="3" t="s">
        <v>61</v>
      </c>
      <c r="G4507" s="3" t="s">
        <v>29</v>
      </c>
      <c r="H4507" s="2" t="s">
        <v>55</v>
      </c>
      <c r="I4507" s="2" t="s">
        <v>11059</v>
      </c>
      <c r="J4507" s="3" t="str">
        <f>HYPERLINK("https://www.boe.es/gazeta/dias/1809/02/07/pdfs/GMD-1809-38.pdf#page=3","Abrir facsímil")</f>
        <v>Abrir facsímil</v>
      </c>
      <c r="K4507" s="3" t="s">
        <v>57</v>
      </c>
    </row>
    <row r="4508" spans="1:11" ht="42" customHeight="1">
      <c r="A4508" s="2" t="s">
        <v>11060</v>
      </c>
      <c r="B4508" s="2" t="s">
        <v>11060</v>
      </c>
      <c r="C4508" s="2" t="s">
        <v>25</v>
      </c>
      <c r="D4508" s="2" t="s">
        <v>107</v>
      </c>
      <c r="E4508" s="3" t="s">
        <v>237</v>
      </c>
      <c r="F4508" s="3" t="s">
        <v>238</v>
      </c>
      <c r="G4508" s="3" t="s">
        <v>239</v>
      </c>
      <c r="H4508" s="2" t="s">
        <v>55</v>
      </c>
      <c r="I4508" s="2" t="s">
        <v>11061</v>
      </c>
      <c r="J4508" s="3" t="str">
        <f>HYPERLINK("https://www.boe.es/gazeta/dias/1809/07/30/pdfs/GMD-1809-212.pdf#page=1","Abrir facsímil")</f>
        <v>Abrir facsímil</v>
      </c>
      <c r="K4508" s="3" t="s">
        <v>57</v>
      </c>
    </row>
    <row r="4509" spans="1:11" ht="42" customHeight="1">
      <c r="A4509" s="2" t="s">
        <v>11062</v>
      </c>
      <c r="B4509" s="2" t="s">
        <v>11063</v>
      </c>
      <c r="C4509" s="2" t="s">
        <v>25</v>
      </c>
      <c r="D4509" s="2" t="s">
        <v>26</v>
      </c>
      <c r="E4509" s="3" t="s">
        <v>322</v>
      </c>
      <c r="F4509" s="3" t="s">
        <v>435</v>
      </c>
      <c r="G4509" s="3" t="s">
        <v>129</v>
      </c>
      <c r="H4509" s="2" t="s">
        <v>55</v>
      </c>
      <c r="I4509" s="2" t="s">
        <v>11064</v>
      </c>
      <c r="J4509" s="3" t="str">
        <f>HYPERLINK("https://www.boe.es/gazeta/dias/1809/07/21/pdfs/GGB-1809-47.pdf#page=2","Abrir facsímil")</f>
        <v>Abrir facsímil</v>
      </c>
      <c r="K4509" s="3" t="s">
        <v>57</v>
      </c>
    </row>
    <row r="4510" spans="1:11" ht="42" customHeight="1">
      <c r="A4510" s="2" t="s">
        <v>11065</v>
      </c>
      <c r="B4510" s="2" t="s">
        <v>11065</v>
      </c>
      <c r="C4510" s="2" t="s">
        <v>25</v>
      </c>
      <c r="D4510" s="2" t="s">
        <v>18</v>
      </c>
      <c r="E4510" s="3" t="s">
        <v>1786</v>
      </c>
      <c r="F4510" s="3" t="s">
        <v>1787</v>
      </c>
      <c r="G4510" s="3" t="s">
        <v>1788</v>
      </c>
      <c r="H4510" s="2" t="s">
        <v>55</v>
      </c>
      <c r="I4510" s="2" t="s">
        <v>11066</v>
      </c>
      <c r="J4510" s="3" t="str">
        <f>HYPERLINK("https://www.boe.es/gazeta/dias/1809/08/24/pdfs/GMD-1809-237.pdf#page=1","Abrir facsímil")</f>
        <v>Abrir facsímil</v>
      </c>
      <c r="K4510" s="3" t="s">
        <v>57</v>
      </c>
    </row>
    <row r="4511" spans="1:11" ht="42" customHeight="1">
      <c r="A4511" s="2" t="s">
        <v>11065</v>
      </c>
      <c r="B4511" s="2" t="s">
        <v>11065</v>
      </c>
      <c r="C4511" s="2" t="s">
        <v>47</v>
      </c>
      <c r="D4511" s="2" t="s">
        <v>107</v>
      </c>
      <c r="E4511" s="3" t="s">
        <v>635</v>
      </c>
      <c r="F4511" s="3" t="s">
        <v>636</v>
      </c>
      <c r="G4511" s="3" t="s">
        <v>6078</v>
      </c>
      <c r="H4511" s="2" t="s">
        <v>55</v>
      </c>
      <c r="I4511" s="2" t="s">
        <v>11067</v>
      </c>
      <c r="J4511" s="3" t="str">
        <f>HYPERLINK("https://www.boe.es/gazeta/dias/1809/12/16/pdfs/GGB-1809-592.pdf#page=8","Abrir facsímil")</f>
        <v>Abrir facsímil</v>
      </c>
      <c r="K4511" s="3" t="s">
        <v>57</v>
      </c>
    </row>
    <row r="4512" spans="1:11" ht="42" customHeight="1">
      <c r="A4512" s="2" t="s">
        <v>11068</v>
      </c>
      <c r="B4512" s="2" t="s">
        <v>11068</v>
      </c>
      <c r="C4512" s="2" t="s">
        <v>25</v>
      </c>
      <c r="D4512" s="2" t="s">
        <v>18</v>
      </c>
      <c r="E4512" s="3" t="s">
        <v>263</v>
      </c>
      <c r="F4512" s="3" t="s">
        <v>264</v>
      </c>
      <c r="G4512" s="3" t="s">
        <v>914</v>
      </c>
      <c r="H4512" s="2" t="s">
        <v>55</v>
      </c>
      <c r="I4512" s="2" t="s">
        <v>11069</v>
      </c>
      <c r="J4512" s="3" t="str">
        <f>HYPERLINK("https://www.boe.es/gazeta/dias/1809/11/21/pdfs/GGB-1809-482.pdf#page=1","Abrir facsímil")</f>
        <v>Abrir facsímil</v>
      </c>
      <c r="K4512" s="3" t="s">
        <v>57</v>
      </c>
    </row>
    <row r="4513" spans="1:11" ht="42" customHeight="1">
      <c r="A4513" s="2" t="s">
        <v>11070</v>
      </c>
      <c r="B4513" s="2" t="s">
        <v>11071</v>
      </c>
      <c r="C4513" s="2" t="s">
        <v>79</v>
      </c>
      <c r="D4513" s="2" t="s">
        <v>18</v>
      </c>
      <c r="E4513" s="3" t="s">
        <v>3764</v>
      </c>
      <c r="F4513" s="3" t="s">
        <v>3765</v>
      </c>
      <c r="G4513" s="3" t="s">
        <v>7824</v>
      </c>
      <c r="H4513" s="2" t="s">
        <v>55</v>
      </c>
      <c r="I4513" s="2" t="s">
        <v>11072</v>
      </c>
      <c r="J4513" s="3" t="str">
        <f>HYPERLINK("https://www.boe.es/gazeta/dias/1809/03/28/pdfs/GMD-1809-87.pdf#page=4","Abrir facsímil")</f>
        <v>Abrir facsímil</v>
      </c>
      <c r="K4513" s="3" t="s">
        <v>57</v>
      </c>
    </row>
    <row r="4514" spans="1:11" ht="42" customHeight="1">
      <c r="A4514" s="2" t="s">
        <v>11073</v>
      </c>
      <c r="B4514" s="2" t="s">
        <v>11074</v>
      </c>
      <c r="C4514" s="2" t="s">
        <v>131</v>
      </c>
      <c r="D4514" s="2" t="s">
        <v>26</v>
      </c>
      <c r="E4514" s="3" t="s">
        <v>515</v>
      </c>
      <c r="F4514" s="3" t="s">
        <v>516</v>
      </c>
      <c r="G4514" s="3" t="s">
        <v>1380</v>
      </c>
      <c r="H4514" s="2" t="s">
        <v>55</v>
      </c>
      <c r="I4514" s="2" t="s">
        <v>11075</v>
      </c>
      <c r="J4514" s="3" t="str">
        <f>HYPERLINK("https://www.boe.es/gazeta/dias/1809/09/02/pdfs/GMD-1809-246.pdf#page=3","Abrir facsímil")</f>
        <v>Abrir facsímil</v>
      </c>
      <c r="K4514" s="3" t="s">
        <v>57</v>
      </c>
    </row>
    <row r="4515" spans="1:11" ht="42" customHeight="1">
      <c r="A4515" s="2" t="s">
        <v>11076</v>
      </c>
      <c r="B4515" s="2" t="s">
        <v>11076</v>
      </c>
      <c r="C4515" s="2" t="s">
        <v>47</v>
      </c>
      <c r="D4515" s="2" t="s">
        <v>18</v>
      </c>
      <c r="E4515" s="3" t="s">
        <v>322</v>
      </c>
      <c r="F4515" s="3" t="s">
        <v>435</v>
      </c>
      <c r="G4515" s="3" t="s">
        <v>270</v>
      </c>
      <c r="H4515" s="2" t="s">
        <v>55</v>
      </c>
      <c r="I4515" s="2" t="s">
        <v>11077</v>
      </c>
      <c r="J4515" s="3" t="str">
        <f>HYPERLINK("https://www.boe.es/gazeta/dias/1809/07/21/pdfs/GGB-1809-47.pdf#page=1","Abrir facsímil")</f>
        <v>Abrir facsímil</v>
      </c>
      <c r="K4515" s="3" t="s">
        <v>57</v>
      </c>
    </row>
    <row r="4516" spans="1:11" ht="42" customHeight="1">
      <c r="A4516" s="2" t="s">
        <v>11078</v>
      </c>
      <c r="B4516" s="2" t="s">
        <v>11079</v>
      </c>
      <c r="C4516" s="2" t="s">
        <v>131</v>
      </c>
      <c r="D4516" s="2" t="s">
        <v>18</v>
      </c>
      <c r="E4516" s="3" t="s">
        <v>305</v>
      </c>
      <c r="F4516" s="3" t="s">
        <v>306</v>
      </c>
      <c r="G4516" s="3" t="s">
        <v>29</v>
      </c>
      <c r="H4516" s="2" t="s">
        <v>55</v>
      </c>
      <c r="I4516" s="2" t="s">
        <v>11080</v>
      </c>
      <c r="J4516" s="3" t="str">
        <f>HYPERLINK("https://www.boe.es/gazeta/dias/1809/10/20/pdfs/GMD-1809-294.pdf#page=3","Abrir facsímil")</f>
        <v>Abrir facsímil</v>
      </c>
      <c r="K4516" s="3" t="s">
        <v>57</v>
      </c>
    </row>
    <row r="4517" spans="1:11" ht="42" customHeight="1">
      <c r="A4517" s="2" t="s">
        <v>11081</v>
      </c>
      <c r="B4517" s="2" t="s">
        <v>11081</v>
      </c>
      <c r="C4517" s="2" t="s">
        <v>25</v>
      </c>
      <c r="D4517" s="2" t="s">
        <v>107</v>
      </c>
      <c r="E4517" s="3" t="s">
        <v>1603</v>
      </c>
      <c r="F4517" s="3" t="s">
        <v>1604</v>
      </c>
      <c r="G4517" s="3" t="s">
        <v>62</v>
      </c>
      <c r="H4517" s="2" t="s">
        <v>55</v>
      </c>
      <c r="I4517" s="2" t="s">
        <v>11082</v>
      </c>
      <c r="J4517" s="3" t="str">
        <f>HYPERLINK("https://www.boe.es/gazeta/dias/1809/03/31/pdfs/GGB-1809-14.pdf#page=1","Abrir facsímil")</f>
        <v>Abrir facsímil</v>
      </c>
      <c r="K4517" s="3" t="s">
        <v>57</v>
      </c>
    </row>
    <row r="4518" spans="1:11" ht="42" customHeight="1">
      <c r="A4518" s="2" t="s">
        <v>11083</v>
      </c>
      <c r="B4518" s="2" t="s">
        <v>11084</v>
      </c>
      <c r="C4518" s="2" t="s">
        <v>131</v>
      </c>
      <c r="D4518" s="2" t="s">
        <v>18</v>
      </c>
      <c r="E4518" s="3" t="s">
        <v>833</v>
      </c>
      <c r="F4518" s="3" t="s">
        <v>834</v>
      </c>
      <c r="G4518" s="3" t="s">
        <v>62</v>
      </c>
      <c r="H4518" s="2" t="s">
        <v>55</v>
      </c>
      <c r="I4518" s="2" t="s">
        <v>11085</v>
      </c>
      <c r="J4518" s="3" t="str">
        <f>HYPERLINK("https://www.boe.es/gazeta/dias/1809/01/05/pdfs/GMD-1809-5.pdf#page=1","Abrir facsímil")</f>
        <v>Abrir facsímil</v>
      </c>
      <c r="K4518" s="3" t="s">
        <v>57</v>
      </c>
    </row>
    <row r="4519" spans="1:11" ht="42" customHeight="1">
      <c r="A4519" s="2" t="s">
        <v>11083</v>
      </c>
      <c r="B4519" s="2" t="s">
        <v>11084</v>
      </c>
      <c r="C4519" s="2" t="s">
        <v>131</v>
      </c>
      <c r="D4519" s="2" t="s">
        <v>18</v>
      </c>
      <c r="E4519" s="3" t="s">
        <v>833</v>
      </c>
      <c r="F4519" s="3" t="s">
        <v>834</v>
      </c>
      <c r="G4519" s="3" t="s">
        <v>239</v>
      </c>
      <c r="H4519" s="2" t="s">
        <v>55</v>
      </c>
      <c r="I4519" s="2" t="s">
        <v>11086</v>
      </c>
      <c r="J4519" s="3" t="str">
        <f>HYPERLINK("https://www.boe.es/gazeta/dias/1809/01/05/pdfs/GMD-1809-5.pdf#page=4","Abrir facsímil")</f>
        <v>Abrir facsímil</v>
      </c>
      <c r="K4519" s="3" t="s">
        <v>57</v>
      </c>
    </row>
    <row r="4520" spans="1:11" ht="42" customHeight="1">
      <c r="A4520" s="2" t="s">
        <v>11083</v>
      </c>
      <c r="B4520" s="2" t="s">
        <v>11084</v>
      </c>
      <c r="C4520" s="2" t="s">
        <v>131</v>
      </c>
      <c r="D4520" s="2" t="s">
        <v>18</v>
      </c>
      <c r="E4520" s="3" t="s">
        <v>1640</v>
      </c>
      <c r="F4520" s="3" t="s">
        <v>3725</v>
      </c>
      <c r="G4520" s="3" t="s">
        <v>29</v>
      </c>
      <c r="H4520" s="2" t="s">
        <v>55</v>
      </c>
      <c r="I4520" s="2" t="s">
        <v>11087</v>
      </c>
      <c r="J4520" s="3" t="str">
        <f>HYPERLINK("https://www.boe.es/gazeta/dias/1809/01/06/pdfs/GMD-1809-6.pdf#page=3","Abrir facsímil")</f>
        <v>Abrir facsímil</v>
      </c>
      <c r="K4520" s="3" t="s">
        <v>57</v>
      </c>
    </row>
    <row r="4521" spans="1:11" ht="42" customHeight="1">
      <c r="A4521" s="2" t="s">
        <v>11083</v>
      </c>
      <c r="B4521" s="2" t="s">
        <v>11084</v>
      </c>
      <c r="C4521" s="2" t="s">
        <v>131</v>
      </c>
      <c r="D4521" s="2" t="s">
        <v>18</v>
      </c>
      <c r="E4521" s="3" t="s">
        <v>1640</v>
      </c>
      <c r="F4521" s="3" t="s">
        <v>3725</v>
      </c>
      <c r="G4521" s="3" t="s">
        <v>316</v>
      </c>
      <c r="H4521" s="2" t="s">
        <v>55</v>
      </c>
      <c r="I4521" s="2" t="s">
        <v>11088</v>
      </c>
      <c r="J4521" s="3" t="str">
        <f>HYPERLINK("https://www.boe.es/gazeta/dias/1809/01/06/pdfs/GMD-1809-6.pdf#page=4","Abrir facsímil")</f>
        <v>Abrir facsímil</v>
      </c>
      <c r="K4521" s="3" t="s">
        <v>57</v>
      </c>
    </row>
    <row r="4522" spans="1:11" ht="42" customHeight="1">
      <c r="A4522" s="2" t="s">
        <v>11083</v>
      </c>
      <c r="B4522" s="2" t="s">
        <v>11084</v>
      </c>
      <c r="C4522" s="2" t="s">
        <v>131</v>
      </c>
      <c r="D4522" s="2" t="s">
        <v>72</v>
      </c>
      <c r="E4522" s="3" t="s">
        <v>184</v>
      </c>
      <c r="F4522" s="3" t="s">
        <v>185</v>
      </c>
      <c r="G4522" s="3" t="s">
        <v>186</v>
      </c>
      <c r="H4522" s="2" t="s">
        <v>55</v>
      </c>
      <c r="I4522" s="2" t="s">
        <v>11089</v>
      </c>
      <c r="J4522" s="3" t="str">
        <f>HYPERLINK("https://www.boe.es/gazeta/dias/1809/01/07/pdfs/GMD-E-1809-7.pdf#page=3","Abrir facsímil")</f>
        <v>Abrir facsímil</v>
      </c>
      <c r="K4522" s="3" t="s">
        <v>57</v>
      </c>
    </row>
    <row r="4523" spans="1:11" ht="42" customHeight="1">
      <c r="A4523" s="2" t="s">
        <v>11083</v>
      </c>
      <c r="B4523" s="2" t="s">
        <v>11084</v>
      </c>
      <c r="C4523" s="2" t="s">
        <v>79</v>
      </c>
      <c r="D4523" s="2" t="s">
        <v>72</v>
      </c>
      <c r="E4523" s="3" t="s">
        <v>787</v>
      </c>
      <c r="F4523" s="3" t="s">
        <v>788</v>
      </c>
      <c r="G4523" s="3" t="s">
        <v>416</v>
      </c>
      <c r="H4523" s="2" t="s">
        <v>55</v>
      </c>
      <c r="I4523" s="2" t="s">
        <v>11090</v>
      </c>
      <c r="J4523" s="3" t="str">
        <f>HYPERLINK("https://www.boe.es/gazeta/dias/1809/04/29/pdfs/GMD-E-1809-119.pdf#page=2","Abrir facsímil")</f>
        <v>Abrir facsímil</v>
      </c>
      <c r="K4523" s="3" t="s">
        <v>57</v>
      </c>
    </row>
    <row r="4524" spans="1:11" ht="42" customHeight="1">
      <c r="A4524" s="2" t="s">
        <v>11083</v>
      </c>
      <c r="B4524" s="2" t="s">
        <v>11084</v>
      </c>
      <c r="C4524" s="2" t="s">
        <v>131</v>
      </c>
      <c r="D4524" s="2" t="s">
        <v>72</v>
      </c>
      <c r="E4524" s="3" t="s">
        <v>2607</v>
      </c>
      <c r="F4524" s="3" t="s">
        <v>7682</v>
      </c>
      <c r="G4524" s="3" t="s">
        <v>141</v>
      </c>
      <c r="H4524" s="2" t="s">
        <v>55</v>
      </c>
      <c r="I4524" s="2" t="s">
        <v>11091</v>
      </c>
      <c r="J4524" s="3" t="str">
        <f>HYPERLINK("https://www.boe.es/gazeta/dias/1809/04/30/pdfs/GMD-E-1809-120.pdf#page=1","Abrir facsímil")</f>
        <v>Abrir facsímil</v>
      </c>
      <c r="K4524" s="3" t="s">
        <v>57</v>
      </c>
    </row>
    <row r="4525" spans="1:11" ht="42" customHeight="1">
      <c r="A4525" s="2" t="s">
        <v>11083</v>
      </c>
      <c r="B4525" s="2" t="s">
        <v>11084</v>
      </c>
      <c r="C4525" s="2" t="s">
        <v>131</v>
      </c>
      <c r="D4525" s="2" t="s">
        <v>72</v>
      </c>
      <c r="E4525" s="3" t="s">
        <v>1974</v>
      </c>
      <c r="F4525" s="3" t="s">
        <v>1975</v>
      </c>
      <c r="G4525" s="3" t="s">
        <v>239</v>
      </c>
      <c r="H4525" s="2" t="s">
        <v>55</v>
      </c>
      <c r="I4525" s="2" t="s">
        <v>11092</v>
      </c>
      <c r="J4525" s="3" t="str">
        <f>HYPERLINK("https://www.boe.es/gazeta/dias/1809/05/03/pdfs/GMD-E-1809-123.pdf#page=1","Abrir facsímil")</f>
        <v>Abrir facsímil</v>
      </c>
      <c r="K4525" s="3" t="s">
        <v>57</v>
      </c>
    </row>
    <row r="4526" spans="1:11" ht="42" customHeight="1">
      <c r="A4526" s="2" t="s">
        <v>11093</v>
      </c>
      <c r="B4526" s="2" t="s">
        <v>11094</v>
      </c>
      <c r="C4526" s="2" t="s">
        <v>17</v>
      </c>
      <c r="D4526" s="2" t="s">
        <v>18</v>
      </c>
      <c r="E4526" s="3" t="s">
        <v>173</v>
      </c>
      <c r="F4526" s="3" t="s">
        <v>7739</v>
      </c>
      <c r="G4526" s="3" t="s">
        <v>5828</v>
      </c>
      <c r="H4526" s="2" t="s">
        <v>55</v>
      </c>
      <c r="I4526" s="2" t="s">
        <v>11095</v>
      </c>
      <c r="J4526" s="3" t="str">
        <f>HYPERLINK("https://www.boe.es/gazeta/dias/1809/09/12/pdfs/GMD-1809-256.pdf#page=3","Abrir facsímil")</f>
        <v>Abrir facsímil</v>
      </c>
      <c r="K4526" s="3" t="s">
        <v>57</v>
      </c>
    </row>
    <row r="4527" spans="1:11" ht="42" customHeight="1">
      <c r="A4527" s="2" t="s">
        <v>11096</v>
      </c>
      <c r="B4527" s="2" t="s">
        <v>11097</v>
      </c>
      <c r="C4527" s="2" t="s">
        <v>17</v>
      </c>
      <c r="D4527" s="2" t="s">
        <v>18</v>
      </c>
      <c r="E4527" s="3" t="s">
        <v>305</v>
      </c>
      <c r="F4527" s="3" t="s">
        <v>306</v>
      </c>
      <c r="G4527" s="3" t="s">
        <v>5473</v>
      </c>
      <c r="H4527" s="2" t="s">
        <v>55</v>
      </c>
      <c r="I4527" s="2" t="s">
        <v>11098</v>
      </c>
      <c r="J4527" s="3" t="str">
        <f>HYPERLINK("https://www.boe.es/gazeta/dias/1809/10/20/pdfs/GMD-1809-294.pdf#page=2","Abrir facsímil")</f>
        <v>Abrir facsímil</v>
      </c>
      <c r="K4527" s="3" t="s">
        <v>57</v>
      </c>
    </row>
    <row r="4528" spans="1:11" ht="42" customHeight="1">
      <c r="A4528" s="2" t="s">
        <v>11099</v>
      </c>
      <c r="B4528" s="2" t="s">
        <v>11100</v>
      </c>
      <c r="C4528" s="2" t="s">
        <v>17</v>
      </c>
      <c r="D4528" s="2" t="s">
        <v>72</v>
      </c>
      <c r="E4528" s="3" t="s">
        <v>243</v>
      </c>
      <c r="F4528" s="3" t="s">
        <v>244</v>
      </c>
      <c r="G4528" s="3" t="s">
        <v>525</v>
      </c>
      <c r="H4528" s="2" t="s">
        <v>55</v>
      </c>
      <c r="I4528" s="2" t="s">
        <v>11101</v>
      </c>
      <c r="J4528" s="3" t="str">
        <f>HYPERLINK("https://www.boe.es/gazeta/dias/1809/02/17/pdfs/GGB-G-1809-8.pdf#page=4","Abrir facsímil")</f>
        <v>Abrir facsímil</v>
      </c>
      <c r="K4528" s="3" t="s">
        <v>57</v>
      </c>
    </row>
    <row r="4529" spans="1:11" ht="42" customHeight="1">
      <c r="A4529" s="2" t="s">
        <v>11102</v>
      </c>
      <c r="B4529" s="2" t="s">
        <v>11103</v>
      </c>
      <c r="C4529" s="2" t="s">
        <v>17</v>
      </c>
      <c r="D4529" s="2" t="s">
        <v>18</v>
      </c>
      <c r="E4529" s="3" t="s">
        <v>755</v>
      </c>
      <c r="F4529" s="3" t="s">
        <v>756</v>
      </c>
      <c r="G4529" s="3" t="s">
        <v>525</v>
      </c>
      <c r="H4529" s="2" t="s">
        <v>55</v>
      </c>
      <c r="I4529" s="2" t="s">
        <v>11104</v>
      </c>
      <c r="J4529" s="3" t="str">
        <f>HYPERLINK("https://www.boe.es/gazeta/dias/1809/05/20/pdfs/GMD-1809-140.pdf#page=4","Abrir facsímil")</f>
        <v>Abrir facsímil</v>
      </c>
      <c r="K4529" s="3" t="s">
        <v>57</v>
      </c>
    </row>
    <row r="4530" spans="1:11" ht="42" customHeight="1">
      <c r="A4530" s="2" t="s">
        <v>11105</v>
      </c>
      <c r="B4530" s="2" t="s">
        <v>11106</v>
      </c>
      <c r="C4530" s="2" t="s">
        <v>17</v>
      </c>
      <c r="D4530" s="2" t="s">
        <v>72</v>
      </c>
      <c r="E4530" s="3" t="s">
        <v>243</v>
      </c>
      <c r="F4530" s="3" t="s">
        <v>244</v>
      </c>
      <c r="G4530" s="3" t="s">
        <v>110</v>
      </c>
      <c r="H4530" s="2" t="s">
        <v>55</v>
      </c>
      <c r="I4530" s="2" t="s">
        <v>11107</v>
      </c>
      <c r="J4530" s="3" t="str">
        <f>HYPERLINK("https://www.boe.es/gazeta/dias/1809/02/17/pdfs/GGB-G-1809-8.pdf#page=5","Abrir facsímil")</f>
        <v>Abrir facsímil</v>
      </c>
      <c r="K4530" s="3" t="s">
        <v>57</v>
      </c>
    </row>
    <row r="4531" spans="1:11" ht="42" customHeight="1">
      <c r="A4531" s="2" t="s">
        <v>11108</v>
      </c>
      <c r="B4531" s="2" t="s">
        <v>11108</v>
      </c>
      <c r="C4531" s="2" t="s">
        <v>25</v>
      </c>
      <c r="D4531" s="2" t="s">
        <v>18</v>
      </c>
      <c r="E4531" s="3" t="s">
        <v>211</v>
      </c>
      <c r="F4531" s="3" t="s">
        <v>212</v>
      </c>
      <c r="G4531" s="3" t="s">
        <v>29</v>
      </c>
      <c r="H4531" s="2" t="s">
        <v>55</v>
      </c>
      <c r="I4531" s="2" t="s">
        <v>11109</v>
      </c>
      <c r="J4531" s="3" t="str">
        <f>HYPERLINK("https://www.boe.es/gazeta/dias/1809/10/27/pdfs/GMD-1809-301.pdf#page=3","Abrir facsímil")</f>
        <v>Abrir facsímil</v>
      </c>
      <c r="K4531" s="3" t="s">
        <v>57</v>
      </c>
    </row>
    <row r="4532" spans="1:11" ht="42" customHeight="1">
      <c r="A4532" s="2" t="s">
        <v>11108</v>
      </c>
      <c r="B4532" s="2" t="s">
        <v>11108</v>
      </c>
      <c r="C4532" s="2" t="s">
        <v>25</v>
      </c>
      <c r="D4532" s="2" t="s">
        <v>26</v>
      </c>
      <c r="E4532" s="3" t="s">
        <v>216</v>
      </c>
      <c r="F4532" s="3" t="s">
        <v>217</v>
      </c>
      <c r="G4532" s="3" t="s">
        <v>94</v>
      </c>
      <c r="H4532" s="2" t="s">
        <v>55</v>
      </c>
      <c r="I4532" s="2" t="s">
        <v>11110</v>
      </c>
      <c r="J4532" s="3" t="str">
        <f>HYPERLINK("https://www.boe.es/gazeta/dias/1809/12/05/pdfs/GGB-H-1809-542.pdf#page=5","Abrir facsímil")</f>
        <v>Abrir facsímil</v>
      </c>
      <c r="K4532" s="3" t="s">
        <v>57</v>
      </c>
    </row>
    <row r="4533" spans="1:11" ht="42" customHeight="1">
      <c r="A4533" s="2" t="s">
        <v>11111</v>
      </c>
      <c r="B4533" s="2" t="s">
        <v>11111</v>
      </c>
      <c r="C4533" s="2" t="s">
        <v>25</v>
      </c>
      <c r="D4533" s="2" t="s">
        <v>18</v>
      </c>
      <c r="E4533" s="3" t="s">
        <v>6946</v>
      </c>
      <c r="F4533" s="3" t="s">
        <v>6947</v>
      </c>
      <c r="G4533" s="3" t="s">
        <v>75</v>
      </c>
      <c r="H4533" s="2" t="s">
        <v>55</v>
      </c>
      <c r="I4533" s="2" t="s">
        <v>11112</v>
      </c>
      <c r="J4533" s="3" t="str">
        <f>HYPERLINK("https://www.boe.es/gazeta/dias/1809/01/17/pdfs/GMD-1809-17.pdf#page=4","Abrir facsímil")</f>
        <v>Abrir facsímil</v>
      </c>
      <c r="K4533" s="3" t="s">
        <v>57</v>
      </c>
    </row>
    <row r="4534" spans="1:11" ht="42" customHeight="1">
      <c r="A4534" s="2" t="s">
        <v>11113</v>
      </c>
      <c r="B4534" s="2" t="s">
        <v>11113</v>
      </c>
      <c r="C4534" s="2" t="s">
        <v>25</v>
      </c>
      <c r="D4534" s="2" t="s">
        <v>26</v>
      </c>
      <c r="E4534" s="3" t="s">
        <v>761</v>
      </c>
      <c r="F4534" s="3" t="s">
        <v>1218</v>
      </c>
      <c r="G4534" s="3" t="s">
        <v>1280</v>
      </c>
      <c r="H4534" s="2" t="s">
        <v>55</v>
      </c>
      <c r="I4534" s="2" t="s">
        <v>11114</v>
      </c>
      <c r="J4534" s="3" t="str">
        <f>HYPERLINK("https://www.boe.es/gazeta/dias/1809/06/02/pdfs/GGB-1809-33.pdf#page=11","Abrir facsímil")</f>
        <v>Abrir facsímil</v>
      </c>
      <c r="K4534" s="3" t="s">
        <v>57</v>
      </c>
    </row>
    <row r="4535" spans="1:11" ht="42" customHeight="1">
      <c r="A4535" s="2" t="s">
        <v>11115</v>
      </c>
      <c r="B4535" s="2" t="s">
        <v>11116</v>
      </c>
      <c r="C4535" s="2" t="s">
        <v>17</v>
      </c>
      <c r="D4535" s="2" t="s">
        <v>18</v>
      </c>
      <c r="E4535" s="3" t="s">
        <v>33</v>
      </c>
      <c r="F4535" s="3" t="s">
        <v>34</v>
      </c>
      <c r="G4535" s="3" t="s">
        <v>493</v>
      </c>
      <c r="H4535" s="2" t="s">
        <v>55</v>
      </c>
      <c r="I4535" s="2" t="s">
        <v>11117</v>
      </c>
      <c r="J4535" s="3" t="str">
        <f>HYPERLINK("https://www.boe.es/gazeta/dias/1809/12/19/pdfs/GGB-1809-602.pdf#page=6","Abrir facsímil")</f>
        <v>Abrir facsímil</v>
      </c>
      <c r="K4535" s="3" t="s">
        <v>57</v>
      </c>
    </row>
    <row r="4536" spans="1:11" ht="42" customHeight="1">
      <c r="A4536" s="2" t="s">
        <v>11118</v>
      </c>
      <c r="B4536" s="2" t="s">
        <v>11119</v>
      </c>
      <c r="C4536" s="2" t="s">
        <v>17</v>
      </c>
      <c r="D4536" s="2" t="s">
        <v>40</v>
      </c>
      <c r="E4536" s="3" t="s">
        <v>243</v>
      </c>
      <c r="F4536" s="3" t="s">
        <v>244</v>
      </c>
      <c r="G4536" s="3" t="s">
        <v>541</v>
      </c>
      <c r="H4536" s="2" t="s">
        <v>55</v>
      </c>
      <c r="I4536" s="2" t="s">
        <v>11120</v>
      </c>
      <c r="J4536" s="3" t="str">
        <f>HYPERLINK("https://www.boe.es/gazeta/dias/1809/02/17/pdfs/GGB-G-1809-8.pdf#page=8","Abrir facsímil")</f>
        <v>Abrir facsímil</v>
      </c>
      <c r="K4536" s="3" t="s">
        <v>57</v>
      </c>
    </row>
    <row r="4537" spans="1:11" ht="42" customHeight="1">
      <c r="A4537" s="2" t="s">
        <v>11121</v>
      </c>
      <c r="B4537" s="2" t="s">
        <v>11121</v>
      </c>
      <c r="C4537" s="2" t="s">
        <v>25</v>
      </c>
      <c r="D4537" s="2" t="s">
        <v>26</v>
      </c>
      <c r="E4537" s="3" t="s">
        <v>3031</v>
      </c>
      <c r="F4537" s="3" t="s">
        <v>3032</v>
      </c>
      <c r="G4537" s="3" t="s">
        <v>467</v>
      </c>
      <c r="H4537" s="2" t="s">
        <v>55</v>
      </c>
      <c r="I4537" s="2" t="s">
        <v>11122</v>
      </c>
      <c r="J4537" s="3" t="str">
        <f>HYPERLINK("https://www.boe.es/gazeta/dias/1809/08/18/pdfs/GMD-1809-231.pdf#page=3","Abrir facsímil")</f>
        <v>Abrir facsímil</v>
      </c>
      <c r="K4537" s="3" t="s">
        <v>57</v>
      </c>
    </row>
    <row r="4538" spans="1:11" ht="42" customHeight="1">
      <c r="A4538" s="2" t="s">
        <v>11123</v>
      </c>
      <c r="B4538" s="2" t="s">
        <v>11124</v>
      </c>
      <c r="C4538" s="2" t="s">
        <v>25</v>
      </c>
      <c r="D4538" s="2" t="s">
        <v>72</v>
      </c>
      <c r="E4538" s="3" t="s">
        <v>190</v>
      </c>
      <c r="F4538" s="3" t="s">
        <v>3505</v>
      </c>
      <c r="G4538" s="3" t="s">
        <v>120</v>
      </c>
      <c r="H4538" s="2" t="s">
        <v>55</v>
      </c>
      <c r="I4538" s="2" t="s">
        <v>11125</v>
      </c>
      <c r="J4538" s="3" t="str">
        <f>HYPERLINK("https://www.boe.es/gazeta/dias/1809/10/14/pdfs/GGB-H-1809-322.pdf#page=7","Abrir facsímil")</f>
        <v>Abrir facsímil</v>
      </c>
      <c r="K4538" s="3" t="s">
        <v>57</v>
      </c>
    </row>
    <row r="4539" spans="1:11" ht="42" customHeight="1">
      <c r="A4539" s="2" t="s">
        <v>11126</v>
      </c>
      <c r="B4539" s="2" t="s">
        <v>11127</v>
      </c>
      <c r="C4539" s="2" t="s">
        <v>25</v>
      </c>
      <c r="D4539" s="2" t="s">
        <v>72</v>
      </c>
      <c r="E4539" s="3" t="s">
        <v>143</v>
      </c>
      <c r="F4539" s="3" t="s">
        <v>705</v>
      </c>
      <c r="G4539" s="3" t="s">
        <v>110</v>
      </c>
      <c r="H4539" s="2" t="s">
        <v>55</v>
      </c>
      <c r="I4539" s="2" t="s">
        <v>11128</v>
      </c>
      <c r="J4539" s="3" t="str">
        <f>HYPERLINK("https://www.boe.es/gazeta/dias/1809/11/16/pdfs/GGB-H-1809-462.pdf#page=3","Abrir facsímil")</f>
        <v>Abrir facsímil</v>
      </c>
      <c r="K4539" s="3" t="s">
        <v>57</v>
      </c>
    </row>
    <row r="4540" spans="1:11" ht="42" customHeight="1">
      <c r="A4540" s="2" t="s">
        <v>11129</v>
      </c>
      <c r="B4540" s="2" t="s">
        <v>11129</v>
      </c>
      <c r="C4540" s="2" t="s">
        <v>131</v>
      </c>
      <c r="D4540" s="2" t="s">
        <v>40</v>
      </c>
      <c r="E4540" s="3" t="s">
        <v>1616</v>
      </c>
      <c r="F4540" s="3" t="s">
        <v>1617</v>
      </c>
      <c r="G4540" s="3" t="s">
        <v>75</v>
      </c>
      <c r="H4540" s="2" t="s">
        <v>55</v>
      </c>
      <c r="I4540" s="2" t="s">
        <v>11130</v>
      </c>
      <c r="J4540" s="3" t="str">
        <f>HYPERLINK("https://www.boe.es/gazeta/dias/1809/01/14/pdfs/GGB-1809-3.pdf#page=2","Abrir facsímil")</f>
        <v>Abrir facsímil</v>
      </c>
      <c r="K4540" s="3" t="s">
        <v>57</v>
      </c>
    </row>
    <row r="4541" spans="1:11" ht="42" customHeight="1">
      <c r="A4541" s="2" t="s">
        <v>11131</v>
      </c>
      <c r="B4541" s="2" t="s">
        <v>11131</v>
      </c>
      <c r="C4541" s="2" t="s">
        <v>25</v>
      </c>
      <c r="D4541" s="2" t="s">
        <v>18</v>
      </c>
      <c r="E4541" s="3" t="s">
        <v>2388</v>
      </c>
      <c r="F4541" s="3" t="s">
        <v>2389</v>
      </c>
      <c r="G4541" s="3" t="s">
        <v>4778</v>
      </c>
      <c r="H4541" s="2" t="s">
        <v>55</v>
      </c>
      <c r="I4541" s="2" t="s">
        <v>11132</v>
      </c>
      <c r="J4541" s="3" t="str">
        <f>HYPERLINK("https://www.boe.es/gazeta/dias/1809/06/11/pdfs/GMD-1809-162.pdf#page=2","Abrir facsímil")</f>
        <v>Abrir facsímil</v>
      </c>
      <c r="K4541" s="3" t="s">
        <v>57</v>
      </c>
    </row>
    <row r="4542" spans="1:11" ht="42" customHeight="1">
      <c r="A4542" s="2" t="s">
        <v>11133</v>
      </c>
      <c r="B4542" s="2" t="s">
        <v>11133</v>
      </c>
      <c r="C4542" s="2" t="s">
        <v>25</v>
      </c>
      <c r="D4542" s="2" t="s">
        <v>18</v>
      </c>
      <c r="E4542" s="3" t="s">
        <v>515</v>
      </c>
      <c r="F4542" s="3" t="s">
        <v>516</v>
      </c>
      <c r="G4542" s="3" t="s">
        <v>10266</v>
      </c>
      <c r="H4542" s="2" t="s">
        <v>55</v>
      </c>
      <c r="I4542" s="2" t="s">
        <v>11134</v>
      </c>
      <c r="J4542" s="3" t="str">
        <f>HYPERLINK("https://www.boe.es/gazeta/dias/1809/09/02/pdfs/GMD-1809-246.pdf#page=1","Abrir facsímil")</f>
        <v>Abrir facsímil</v>
      </c>
      <c r="K4542" s="3" t="s">
        <v>57</v>
      </c>
    </row>
    <row r="4543" spans="1:11" ht="42" customHeight="1">
      <c r="A4543" s="2" t="s">
        <v>11135</v>
      </c>
      <c r="B4543" s="2" t="s">
        <v>11136</v>
      </c>
      <c r="C4543" s="2" t="s">
        <v>17</v>
      </c>
      <c r="D4543" s="2" t="s">
        <v>18</v>
      </c>
      <c r="E4543" s="3" t="s">
        <v>27</v>
      </c>
      <c r="F4543" s="3" t="s">
        <v>254</v>
      </c>
      <c r="G4543" s="3" t="s">
        <v>255</v>
      </c>
      <c r="H4543" s="2" t="s">
        <v>55</v>
      </c>
      <c r="I4543" s="2" t="s">
        <v>11137</v>
      </c>
      <c r="J4543" s="3" t="str">
        <f>HYPERLINK("https://www.boe.es/gazeta/dias/1809/05/12/pdfs/GGB-1809-26.pdf#page=8","Abrir facsímil")</f>
        <v>Abrir facsímil</v>
      </c>
      <c r="K4543" s="3" t="s">
        <v>57</v>
      </c>
    </row>
    <row r="4544" spans="1:11" ht="42" customHeight="1">
      <c r="A4544" s="2" t="s">
        <v>11135</v>
      </c>
      <c r="B4544" s="2" t="s">
        <v>11136</v>
      </c>
      <c r="C4544" s="2" t="s">
        <v>17</v>
      </c>
      <c r="D4544" s="2" t="s">
        <v>18</v>
      </c>
      <c r="E4544" s="3" t="s">
        <v>294</v>
      </c>
      <c r="F4544" s="3" t="s">
        <v>1360</v>
      </c>
      <c r="G4544" s="3" t="s">
        <v>2517</v>
      </c>
      <c r="H4544" s="2" t="s">
        <v>55</v>
      </c>
      <c r="I4544" s="2" t="s">
        <v>11138</v>
      </c>
      <c r="J4544" s="3" t="str">
        <f>HYPERLINK("https://www.boe.es/gazeta/dias/1809/09/30/pdfs/GGB-1809-262.pdf#page=2","Abrir facsímil")</f>
        <v>Abrir facsímil</v>
      </c>
      <c r="K4544" s="3" t="s">
        <v>57</v>
      </c>
    </row>
    <row r="4545" spans="1:11" ht="42" customHeight="1">
      <c r="A4545" s="2" t="s">
        <v>11135</v>
      </c>
      <c r="B4545" s="2" t="s">
        <v>11136</v>
      </c>
      <c r="C4545" s="2" t="s">
        <v>25</v>
      </c>
      <c r="D4545" s="2" t="s">
        <v>18</v>
      </c>
      <c r="E4545" s="3" t="s">
        <v>294</v>
      </c>
      <c r="F4545" s="3" t="s">
        <v>1360</v>
      </c>
      <c r="G4545" s="3" t="s">
        <v>830</v>
      </c>
      <c r="H4545" s="2" t="s">
        <v>55</v>
      </c>
      <c r="I4545" s="2" t="s">
        <v>11139</v>
      </c>
      <c r="J4545" s="3" t="str">
        <f>HYPERLINK("https://www.boe.es/gazeta/dias/1809/09/30/pdfs/GGB-1809-262.pdf#page=4","Abrir facsímil")</f>
        <v>Abrir facsímil</v>
      </c>
      <c r="K4545" s="3" t="s">
        <v>57</v>
      </c>
    </row>
    <row r="4546" spans="1:11" ht="42" customHeight="1">
      <c r="A4546" s="2" t="s">
        <v>11140</v>
      </c>
      <c r="B4546" s="2" t="s">
        <v>11141</v>
      </c>
      <c r="C4546" s="2" t="s">
        <v>17</v>
      </c>
      <c r="D4546" s="2" t="s">
        <v>18</v>
      </c>
      <c r="E4546" s="3" t="s">
        <v>1468</v>
      </c>
      <c r="F4546" s="3" t="s">
        <v>1469</v>
      </c>
      <c r="G4546" s="3" t="s">
        <v>104</v>
      </c>
      <c r="H4546" s="2" t="s">
        <v>55</v>
      </c>
      <c r="I4546" s="2" t="s">
        <v>11142</v>
      </c>
      <c r="J4546" s="3" t="str">
        <f>HYPERLINK("https://www.boe.es/gazeta/dias/1809/02/12/pdfs/GMD-1809-43.pdf#page=6","Abrir facsímil")</f>
        <v>Abrir facsímil</v>
      </c>
      <c r="K4546" s="3" t="s">
        <v>57</v>
      </c>
    </row>
    <row r="4547" spans="1:11" ht="42" customHeight="1">
      <c r="A4547" s="2" t="s">
        <v>11143</v>
      </c>
      <c r="B4547" s="2" t="s">
        <v>11144</v>
      </c>
      <c r="C4547" s="2" t="s">
        <v>47</v>
      </c>
      <c r="D4547" s="2" t="s">
        <v>18</v>
      </c>
      <c r="E4547" s="3" t="s">
        <v>305</v>
      </c>
      <c r="F4547" s="3" t="s">
        <v>306</v>
      </c>
      <c r="G4547" s="3" t="s">
        <v>29</v>
      </c>
      <c r="H4547" s="2" t="s">
        <v>55</v>
      </c>
      <c r="I4547" s="2" t="s">
        <v>11145</v>
      </c>
      <c r="J4547" s="3" t="str">
        <f>HYPERLINK("https://www.boe.es/gazeta/dias/1809/10/20/pdfs/GMD-1809-294.pdf#page=3","Abrir facsímil")</f>
        <v>Abrir facsímil</v>
      </c>
      <c r="K4547" s="3" t="s">
        <v>57</v>
      </c>
    </row>
    <row r="4548" spans="1:11" ht="42" customHeight="1">
      <c r="A4548" s="2" t="s">
        <v>11146</v>
      </c>
      <c r="B4548" s="2" t="s">
        <v>11146</v>
      </c>
      <c r="C4548" s="2" t="s">
        <v>25</v>
      </c>
      <c r="D4548" s="2" t="s">
        <v>26</v>
      </c>
      <c r="E4548" s="3" t="s">
        <v>1156</v>
      </c>
      <c r="F4548" s="3" t="s">
        <v>1157</v>
      </c>
      <c r="G4548" s="3" t="s">
        <v>316</v>
      </c>
      <c r="H4548" s="2" t="s">
        <v>55</v>
      </c>
      <c r="I4548" s="2" t="s">
        <v>11147</v>
      </c>
      <c r="J4548" s="3" t="str">
        <f>HYPERLINK("https://www.boe.es/gazeta/dias/1809/06/17/pdfs/GMD-1809-168.pdf#page=1","Abrir facsímil")</f>
        <v>Abrir facsímil</v>
      </c>
      <c r="K4548" s="3" t="s">
        <v>57</v>
      </c>
    </row>
    <row r="4549" spans="1:11" ht="42" customHeight="1">
      <c r="A4549" s="2" t="s">
        <v>11148</v>
      </c>
      <c r="B4549" s="2" t="s">
        <v>11148</v>
      </c>
      <c r="C4549" s="2" t="s">
        <v>25</v>
      </c>
      <c r="D4549" s="2" t="s">
        <v>26</v>
      </c>
      <c r="E4549" s="3" t="s">
        <v>5145</v>
      </c>
      <c r="F4549" s="3" t="s">
        <v>5146</v>
      </c>
      <c r="G4549" s="3" t="s">
        <v>1138</v>
      </c>
      <c r="H4549" s="2" t="s">
        <v>55</v>
      </c>
      <c r="I4549" s="2" t="s">
        <v>11149</v>
      </c>
      <c r="J4549" s="3" t="str">
        <f>HYPERLINK("https://www.boe.es/gazeta/dias/1809/06/22/pdfs/GMD-1809-173.pdf#page=1","Abrir facsímil")</f>
        <v>Abrir facsímil</v>
      </c>
      <c r="K4549" s="3" t="s">
        <v>57</v>
      </c>
    </row>
    <row r="4550" spans="1:11" ht="42" customHeight="1">
      <c r="A4550" s="2" t="s">
        <v>11150</v>
      </c>
      <c r="B4550" s="2" t="s">
        <v>11151</v>
      </c>
      <c r="C4550" s="2" t="s">
        <v>17</v>
      </c>
      <c r="D4550" s="2" t="s">
        <v>72</v>
      </c>
      <c r="E4550" s="3" t="s">
        <v>243</v>
      </c>
      <c r="F4550" s="3" t="s">
        <v>244</v>
      </c>
      <c r="G4550" s="3" t="s">
        <v>582</v>
      </c>
      <c r="H4550" s="2" t="s">
        <v>55</v>
      </c>
      <c r="I4550" s="2" t="s">
        <v>11152</v>
      </c>
      <c r="J4550" s="3" t="str">
        <f>HYPERLINK("https://www.boe.es/gazeta/dias/1809/02/17/pdfs/GGB-G-1809-8.pdf#page=7","Abrir facsímil")</f>
        <v>Abrir facsímil</v>
      </c>
      <c r="K4550" s="3" t="s">
        <v>57</v>
      </c>
    </row>
    <row r="4551" spans="1:11" ht="42" customHeight="1">
      <c r="A4551" s="2" t="s">
        <v>11153</v>
      </c>
      <c r="B4551" s="2" t="s">
        <v>11154</v>
      </c>
      <c r="C4551" s="2" t="s">
        <v>17</v>
      </c>
      <c r="D4551" s="2" t="s">
        <v>80</v>
      </c>
      <c r="E4551" s="3" t="s">
        <v>81</v>
      </c>
      <c r="F4551" s="3" t="s">
        <v>82</v>
      </c>
      <c r="G4551" s="3" t="s">
        <v>120</v>
      </c>
      <c r="H4551" s="2" t="s">
        <v>22</v>
      </c>
      <c r="I4551" s="2" t="s">
        <v>11155</v>
      </c>
      <c r="J4551" s="3" t="str">
        <f>HYPERLINK("https://www.boe.es/gazeta/dias/1809/04/11/pdfs/GGB-1809-16E.pdf#page=5","Abrir facsímil")</f>
        <v>Abrir facsímil</v>
      </c>
      <c r="K4551" s="3" t="s">
        <v>24</v>
      </c>
    </row>
    <row r="4552" spans="1:11" ht="42" customHeight="1">
      <c r="A4552" s="2" t="s">
        <v>11156</v>
      </c>
      <c r="B4552" s="2" t="s">
        <v>11157</v>
      </c>
      <c r="C4552" s="2" t="s">
        <v>25</v>
      </c>
      <c r="D4552" s="2" t="s">
        <v>26</v>
      </c>
      <c r="E4552" s="3" t="s">
        <v>1468</v>
      </c>
      <c r="F4552" s="3" t="s">
        <v>1469</v>
      </c>
      <c r="G4552" s="3" t="s">
        <v>830</v>
      </c>
      <c r="H4552" s="2" t="s">
        <v>55</v>
      </c>
      <c r="I4552" s="2" t="s">
        <v>11158</v>
      </c>
      <c r="J4552" s="3" t="str">
        <f>HYPERLINK("https://www.boe.es/gazeta/dias/1809/02/12/pdfs/GMD-1809-43.pdf#page=5","Abrir facsímil")</f>
        <v>Abrir facsímil</v>
      </c>
      <c r="K4552" s="3" t="s">
        <v>57</v>
      </c>
    </row>
    <row r="4553" spans="1:11" ht="42" customHeight="1">
      <c r="A4553" s="2" t="s">
        <v>11159</v>
      </c>
      <c r="B4553" s="2" t="s">
        <v>11160</v>
      </c>
      <c r="C4553" s="2" t="s">
        <v>17</v>
      </c>
      <c r="D4553" s="2" t="s">
        <v>18</v>
      </c>
      <c r="E4553" s="3" t="s">
        <v>599</v>
      </c>
      <c r="F4553" s="3" t="s">
        <v>600</v>
      </c>
      <c r="G4553" s="3" t="s">
        <v>601</v>
      </c>
      <c r="H4553" s="2" t="s">
        <v>55</v>
      </c>
      <c r="I4553" s="2" t="s">
        <v>11161</v>
      </c>
      <c r="J4553" s="3" t="str">
        <f>HYPERLINK("https://www.boe.es/gazeta/dias/1809/01/19/pdfs/GMD-1809-19.pdf#page=4","Abrir facsímil")</f>
        <v>Abrir facsímil</v>
      </c>
      <c r="K4553" s="3" t="s">
        <v>57</v>
      </c>
    </row>
    <row r="4554" spans="1:11" ht="42" customHeight="1">
      <c r="A4554" s="2" t="s">
        <v>11162</v>
      </c>
      <c r="B4554" s="2" t="s">
        <v>11162</v>
      </c>
      <c r="C4554" s="2" t="s">
        <v>17</v>
      </c>
      <c r="D4554" s="2" t="s">
        <v>107</v>
      </c>
      <c r="E4554" s="3" t="s">
        <v>3880</v>
      </c>
      <c r="F4554" s="3" t="s">
        <v>5444</v>
      </c>
      <c r="G4554" s="3" t="s">
        <v>6127</v>
      </c>
      <c r="H4554" s="2" t="s">
        <v>55</v>
      </c>
      <c r="I4554" s="2" t="s">
        <v>11163</v>
      </c>
      <c r="J4554" s="3" t="str">
        <f>HYPERLINK("https://www.boe.es/gazeta/dias/1809/03/25/pdfs/GMD-1809-84.pdf#page=1","Abrir facsímil")</f>
        <v>Abrir facsímil</v>
      </c>
      <c r="K4554" s="3" t="s">
        <v>57</v>
      </c>
    </row>
    <row r="4555" spans="1:11" ht="42" customHeight="1">
      <c r="A4555" s="2" t="s">
        <v>11164</v>
      </c>
      <c r="B4555" s="2" t="s">
        <v>11164</v>
      </c>
      <c r="C4555" s="2" t="s">
        <v>25</v>
      </c>
      <c r="D4555" s="2" t="s">
        <v>18</v>
      </c>
      <c r="E4555" s="3" t="s">
        <v>283</v>
      </c>
      <c r="F4555" s="3" t="s">
        <v>284</v>
      </c>
      <c r="G4555" s="3" t="s">
        <v>21</v>
      </c>
      <c r="H4555" s="2" t="s">
        <v>55</v>
      </c>
      <c r="I4555" s="2" t="s">
        <v>11165</v>
      </c>
      <c r="J4555" s="3" t="str">
        <f>HYPERLINK("https://www.boe.es/gazeta/dias/1809/02/09/pdfs/GMD-1809-40.pdf#page=1","Abrir facsímil")</f>
        <v>Abrir facsímil</v>
      </c>
      <c r="K4555" s="3" t="s">
        <v>57</v>
      </c>
    </row>
    <row r="4556" spans="1:11" ht="42" customHeight="1">
      <c r="A4556" s="2" t="s">
        <v>11166</v>
      </c>
      <c r="B4556" s="2" t="s">
        <v>11166</v>
      </c>
      <c r="C4556" s="2" t="s">
        <v>25</v>
      </c>
      <c r="D4556" s="2" t="s">
        <v>18</v>
      </c>
      <c r="E4556" s="3" t="s">
        <v>283</v>
      </c>
      <c r="F4556" s="3" t="s">
        <v>284</v>
      </c>
      <c r="G4556" s="3" t="s">
        <v>21</v>
      </c>
      <c r="H4556" s="2" t="s">
        <v>55</v>
      </c>
      <c r="I4556" s="2" t="s">
        <v>11167</v>
      </c>
      <c r="J4556" s="3" t="str">
        <f>HYPERLINK("https://www.boe.es/gazeta/dias/1809/02/09/pdfs/GMD-1809-40.pdf#page=1","Abrir facsímil")</f>
        <v>Abrir facsímil</v>
      </c>
      <c r="K4556" s="3" t="s">
        <v>57</v>
      </c>
    </row>
    <row r="4557" spans="1:11" ht="42" customHeight="1">
      <c r="A4557" s="2" t="s">
        <v>11168</v>
      </c>
      <c r="B4557" s="2" t="s">
        <v>11168</v>
      </c>
      <c r="C4557" s="2" t="s">
        <v>25</v>
      </c>
      <c r="D4557" s="2" t="s">
        <v>18</v>
      </c>
      <c r="E4557" s="3" t="s">
        <v>1921</v>
      </c>
      <c r="F4557" s="3" t="s">
        <v>1922</v>
      </c>
      <c r="G4557" s="3" t="s">
        <v>1302</v>
      </c>
      <c r="H4557" s="2" t="s">
        <v>55</v>
      </c>
      <c r="I4557" s="2" t="s">
        <v>11169</v>
      </c>
      <c r="J4557" s="3" t="str">
        <f>HYPERLINK("https://www.boe.es/gazeta/dias/1809/11/05/pdfs/GMD-1809-310.pdf#page=3","Abrir facsímil")</f>
        <v>Abrir facsímil</v>
      </c>
      <c r="K4557" s="3" t="s">
        <v>57</v>
      </c>
    </row>
    <row r="4558" spans="1:11" ht="42" customHeight="1">
      <c r="A4558" s="2" t="s">
        <v>11170</v>
      </c>
      <c r="B4558" s="2" t="s">
        <v>11171</v>
      </c>
      <c r="C4558" s="2" t="s">
        <v>17</v>
      </c>
      <c r="D4558" s="2" t="s">
        <v>72</v>
      </c>
      <c r="E4558" s="3" t="s">
        <v>243</v>
      </c>
      <c r="F4558" s="3" t="s">
        <v>244</v>
      </c>
      <c r="G4558" s="3" t="s">
        <v>110</v>
      </c>
      <c r="H4558" s="2" t="s">
        <v>55</v>
      </c>
      <c r="I4558" s="2" t="s">
        <v>11172</v>
      </c>
      <c r="J4558" s="3" t="str">
        <f>HYPERLINK("https://www.boe.es/gazeta/dias/1809/02/17/pdfs/GGB-G-1809-8.pdf#page=5","Abrir facsímil")</f>
        <v>Abrir facsímil</v>
      </c>
      <c r="K4558" s="3" t="s">
        <v>57</v>
      </c>
    </row>
    <row r="4559" spans="1:11" ht="42" customHeight="1">
      <c r="A4559" s="2" t="s">
        <v>11173</v>
      </c>
      <c r="B4559" s="2" t="s">
        <v>11174</v>
      </c>
      <c r="C4559" s="2" t="s">
        <v>17</v>
      </c>
      <c r="D4559" s="2" t="s">
        <v>18</v>
      </c>
      <c r="E4559" s="3" t="s">
        <v>33</v>
      </c>
      <c r="F4559" s="3" t="s">
        <v>34</v>
      </c>
      <c r="G4559" s="3" t="s">
        <v>595</v>
      </c>
      <c r="H4559" s="2" t="s">
        <v>55</v>
      </c>
      <c r="I4559" s="2" t="s">
        <v>11175</v>
      </c>
      <c r="J4559" s="3" t="str">
        <f>HYPERLINK("https://www.boe.es/gazeta/dias/1809/12/19/pdfs/GGB-1809-602.pdf#page=7","Abrir facsímil")</f>
        <v>Abrir facsímil</v>
      </c>
      <c r="K4559" s="3" t="s">
        <v>57</v>
      </c>
    </row>
    <row r="4560" spans="1:11" ht="42" customHeight="1">
      <c r="A4560" s="2" t="s">
        <v>11176</v>
      </c>
      <c r="B4560" s="2" t="s">
        <v>11177</v>
      </c>
      <c r="C4560" s="2" t="s">
        <v>17</v>
      </c>
      <c r="D4560" s="2" t="s">
        <v>72</v>
      </c>
      <c r="E4560" s="3" t="s">
        <v>243</v>
      </c>
      <c r="F4560" s="3" t="s">
        <v>244</v>
      </c>
      <c r="G4560" s="3" t="s">
        <v>29</v>
      </c>
      <c r="H4560" s="2" t="s">
        <v>55</v>
      </c>
      <c r="I4560" s="2" t="s">
        <v>11178</v>
      </c>
      <c r="J4560" s="3" t="str">
        <f>HYPERLINK("https://www.boe.es/gazeta/dias/1809/02/17/pdfs/GGB-G-1809-8.pdf#page=3","Abrir facsímil")</f>
        <v>Abrir facsímil</v>
      </c>
      <c r="K4560" s="3" t="s">
        <v>57</v>
      </c>
    </row>
    <row r="4561" spans="1:11" ht="42" customHeight="1">
      <c r="A4561" s="2" t="s">
        <v>11176</v>
      </c>
      <c r="B4561" s="2" t="s">
        <v>11177</v>
      </c>
      <c r="C4561" s="2" t="s">
        <v>17</v>
      </c>
      <c r="D4561" s="2" t="s">
        <v>72</v>
      </c>
      <c r="E4561" s="3" t="s">
        <v>243</v>
      </c>
      <c r="F4561" s="3" t="s">
        <v>244</v>
      </c>
      <c r="G4561" s="3" t="s">
        <v>525</v>
      </c>
      <c r="H4561" s="2" t="s">
        <v>55</v>
      </c>
      <c r="I4561" s="2" t="s">
        <v>11179</v>
      </c>
      <c r="J4561" s="3" t="str">
        <f>HYPERLINK("https://www.boe.es/gazeta/dias/1809/02/17/pdfs/GGB-G-1809-8.pdf#page=4","Abrir facsímil")</f>
        <v>Abrir facsímil</v>
      </c>
      <c r="K4561" s="3" t="s">
        <v>57</v>
      </c>
    </row>
    <row r="4562" spans="1:11" ht="42" customHeight="1">
      <c r="A4562" s="2" t="s">
        <v>11180</v>
      </c>
      <c r="B4562" s="2" t="s">
        <v>11181</v>
      </c>
      <c r="C4562" s="2" t="s">
        <v>288</v>
      </c>
      <c r="D4562" s="2" t="s">
        <v>80</v>
      </c>
      <c r="E4562" s="3" t="s">
        <v>179</v>
      </c>
      <c r="F4562" s="3" t="s">
        <v>180</v>
      </c>
      <c r="G4562" s="3" t="s">
        <v>2814</v>
      </c>
      <c r="H4562" s="2" t="s">
        <v>55</v>
      </c>
      <c r="I4562" s="2" t="s">
        <v>11182</v>
      </c>
      <c r="J4562" s="3" t="str">
        <f>HYPERLINK("https://www.boe.es/gazeta/dias/1809/12/08/pdfs/GGB-1809-552E.pdf#page=4","Abrir facsímil")</f>
        <v>Abrir facsímil</v>
      </c>
      <c r="K4562" s="3" t="s">
        <v>57</v>
      </c>
    </row>
    <row r="4563" spans="1:11" ht="42" customHeight="1">
      <c r="A4563" s="2" t="s">
        <v>11183</v>
      </c>
      <c r="B4563" s="2" t="s">
        <v>11184</v>
      </c>
      <c r="C4563" s="2" t="s">
        <v>17</v>
      </c>
      <c r="D4563" s="2" t="s">
        <v>72</v>
      </c>
      <c r="E4563" s="3" t="s">
        <v>243</v>
      </c>
      <c r="F4563" s="3" t="s">
        <v>244</v>
      </c>
      <c r="G4563" s="3" t="s">
        <v>582</v>
      </c>
      <c r="H4563" s="2" t="s">
        <v>55</v>
      </c>
      <c r="I4563" s="2" t="s">
        <v>11185</v>
      </c>
      <c r="J4563" s="3" t="str">
        <f>HYPERLINK("https://www.boe.es/gazeta/dias/1809/02/17/pdfs/GGB-G-1809-8.pdf#page=7","Abrir facsímil")</f>
        <v>Abrir facsímil</v>
      </c>
      <c r="K4563" s="3" t="s">
        <v>57</v>
      </c>
    </row>
    <row r="4564" spans="1:11" ht="42" customHeight="1">
      <c r="A4564" s="2" t="s">
        <v>11186</v>
      </c>
      <c r="B4564" s="2" t="s">
        <v>11187</v>
      </c>
      <c r="C4564" s="2" t="s">
        <v>17</v>
      </c>
      <c r="D4564" s="2" t="s">
        <v>72</v>
      </c>
      <c r="E4564" s="3" t="s">
        <v>243</v>
      </c>
      <c r="F4564" s="3" t="s">
        <v>244</v>
      </c>
      <c r="G4564" s="3" t="s">
        <v>110</v>
      </c>
      <c r="H4564" s="2" t="s">
        <v>55</v>
      </c>
      <c r="I4564" s="2" t="s">
        <v>11188</v>
      </c>
      <c r="J4564" s="3" t="str">
        <f>HYPERLINK("https://www.boe.es/gazeta/dias/1809/02/17/pdfs/GGB-G-1809-8.pdf#page=5","Abrir facsímil")</f>
        <v>Abrir facsímil</v>
      </c>
      <c r="K4564" s="3" t="s">
        <v>57</v>
      </c>
    </row>
    <row r="4565" spans="1:11" ht="42" customHeight="1">
      <c r="A4565" s="2" t="s">
        <v>11189</v>
      </c>
      <c r="B4565" s="2" t="s">
        <v>11189</v>
      </c>
      <c r="C4565" s="2" t="s">
        <v>25</v>
      </c>
      <c r="D4565" s="2" t="s">
        <v>18</v>
      </c>
      <c r="E4565" s="3" t="s">
        <v>656</v>
      </c>
      <c r="F4565" s="3" t="s">
        <v>657</v>
      </c>
      <c r="G4565" s="3" t="s">
        <v>658</v>
      </c>
      <c r="H4565" s="2" t="s">
        <v>55</v>
      </c>
      <c r="I4565" s="2" t="s">
        <v>11190</v>
      </c>
      <c r="J4565" s="3" t="str">
        <f>HYPERLINK("https://www.boe.es/gazeta/dias/1809/07/22/pdfs/GMD-1809-203.pdf#page=3","Abrir facsímil")</f>
        <v>Abrir facsímil</v>
      </c>
      <c r="K4565" s="3" t="s">
        <v>57</v>
      </c>
    </row>
    <row r="4566" spans="1:11" ht="42" customHeight="1">
      <c r="A4566" s="2" t="s">
        <v>11189</v>
      </c>
      <c r="B4566" s="2" t="s">
        <v>11189</v>
      </c>
      <c r="C4566" s="2" t="s">
        <v>25</v>
      </c>
      <c r="D4566" s="2" t="s">
        <v>26</v>
      </c>
      <c r="E4566" s="3" t="s">
        <v>2002</v>
      </c>
      <c r="F4566" s="3" t="s">
        <v>2003</v>
      </c>
      <c r="G4566" s="3" t="s">
        <v>62</v>
      </c>
      <c r="H4566" s="2" t="s">
        <v>55</v>
      </c>
      <c r="I4566" s="2" t="s">
        <v>11191</v>
      </c>
      <c r="J4566" s="3" t="str">
        <f>HYPERLINK("https://www.boe.es/gazeta/dias/1809/08/07/pdfs/GMD-1809-220.pdf#page=1","Abrir facsímil")</f>
        <v>Abrir facsímil</v>
      </c>
      <c r="K4566" s="3" t="s">
        <v>57</v>
      </c>
    </row>
    <row r="4567" spans="1:11" ht="42" customHeight="1">
      <c r="A4567" s="2" t="s">
        <v>11189</v>
      </c>
      <c r="B4567" s="2" t="s">
        <v>11189</v>
      </c>
      <c r="C4567" s="2" t="s">
        <v>25</v>
      </c>
      <c r="D4567" s="2" t="s">
        <v>18</v>
      </c>
      <c r="E4567" s="3" t="s">
        <v>327</v>
      </c>
      <c r="F4567" s="3" t="s">
        <v>328</v>
      </c>
      <c r="G4567" s="3" t="s">
        <v>21</v>
      </c>
      <c r="H4567" s="2" t="s">
        <v>55</v>
      </c>
      <c r="I4567" s="2" t="s">
        <v>11192</v>
      </c>
      <c r="J4567" s="3" t="str">
        <f>HYPERLINK("https://www.boe.es/gazeta/dias/1809/09/14/pdfs/GGB-1809-192.pdf#page=2","Abrir facsímil")</f>
        <v>Abrir facsímil</v>
      </c>
      <c r="K4567" s="3" t="s">
        <v>57</v>
      </c>
    </row>
    <row r="4568" spans="1:11" ht="42" customHeight="1">
      <c r="A4568" s="2" t="s">
        <v>11189</v>
      </c>
      <c r="B4568" s="2" t="s">
        <v>11189</v>
      </c>
      <c r="C4568" s="2" t="s">
        <v>25</v>
      </c>
      <c r="D4568" s="2" t="s">
        <v>107</v>
      </c>
      <c r="E4568" s="3" t="s">
        <v>1226</v>
      </c>
      <c r="F4568" s="3" t="s">
        <v>1566</v>
      </c>
      <c r="G4568" s="3" t="s">
        <v>3550</v>
      </c>
      <c r="H4568" s="2" t="s">
        <v>55</v>
      </c>
      <c r="I4568" s="2" t="s">
        <v>11193</v>
      </c>
      <c r="J4568" s="3" t="str">
        <f>HYPERLINK("https://www.boe.es/gazeta/dias/1809/11/09/pdfs/GGB-1809-432.pdf#page=1","Abrir facsímil")</f>
        <v>Abrir facsímil</v>
      </c>
      <c r="K4568" s="3" t="s">
        <v>57</v>
      </c>
    </row>
    <row r="4569" spans="1:11" ht="42" customHeight="1">
      <c r="A4569" s="2" t="s">
        <v>11194</v>
      </c>
      <c r="B4569" s="2" t="s">
        <v>11194</v>
      </c>
      <c r="C4569" s="2" t="s">
        <v>25</v>
      </c>
      <c r="D4569" s="2" t="s">
        <v>18</v>
      </c>
      <c r="E4569" s="3" t="s">
        <v>663</v>
      </c>
      <c r="F4569" s="3" t="s">
        <v>664</v>
      </c>
      <c r="G4569" s="3" t="s">
        <v>11195</v>
      </c>
      <c r="H4569" s="2" t="s">
        <v>55</v>
      </c>
      <c r="I4569" s="2" t="s">
        <v>11196</v>
      </c>
      <c r="J4569" s="3" t="str">
        <f>HYPERLINK("https://www.boe.es/gazeta/dias/1809/08/21/pdfs/GMD-1809-234.pdf#page=3","Abrir facsímil")</f>
        <v>Abrir facsímil</v>
      </c>
      <c r="K4569" s="3" t="s">
        <v>57</v>
      </c>
    </row>
    <row r="4570" spans="1:11" ht="42" customHeight="1">
      <c r="A4570" s="2" t="s">
        <v>11197</v>
      </c>
      <c r="B4570" s="2" t="s">
        <v>11198</v>
      </c>
      <c r="C4570" s="2" t="s">
        <v>131</v>
      </c>
      <c r="D4570" s="2" t="s">
        <v>26</v>
      </c>
      <c r="E4570" s="3" t="s">
        <v>515</v>
      </c>
      <c r="F4570" s="3" t="s">
        <v>516</v>
      </c>
      <c r="G4570" s="3" t="s">
        <v>1380</v>
      </c>
      <c r="H4570" s="2" t="s">
        <v>55</v>
      </c>
      <c r="I4570" s="2" t="s">
        <v>11199</v>
      </c>
      <c r="J4570" s="3" t="str">
        <f>HYPERLINK("https://www.boe.es/gazeta/dias/1809/09/02/pdfs/GMD-1809-246.pdf#page=3","Abrir facsímil")</f>
        <v>Abrir facsímil</v>
      </c>
      <c r="K4570" s="3" t="s">
        <v>57</v>
      </c>
    </row>
    <row r="4571" spans="1:11" ht="42" customHeight="1">
      <c r="A4571" s="2" t="s">
        <v>11200</v>
      </c>
      <c r="B4571" s="2" t="s">
        <v>11201</v>
      </c>
      <c r="C4571" s="2" t="s">
        <v>47</v>
      </c>
      <c r="D4571" s="2" t="s">
        <v>18</v>
      </c>
      <c r="E4571" s="3" t="s">
        <v>627</v>
      </c>
      <c r="F4571" s="3" t="s">
        <v>628</v>
      </c>
      <c r="G4571" s="3" t="s">
        <v>270</v>
      </c>
      <c r="H4571" s="2" t="s">
        <v>22</v>
      </c>
      <c r="I4571" s="2" t="s">
        <v>11202</v>
      </c>
      <c r="J4571" s="3" t="str">
        <f>HYPERLINK("https://www.boe.es/gazeta/dias/1809/08/28/pdfs/GMD-1809-241.pdf#page=3","Abrir facsímil")</f>
        <v>Abrir facsímil</v>
      </c>
      <c r="K4571" s="3" t="s">
        <v>24</v>
      </c>
    </row>
    <row r="4572" spans="1:11" ht="42" customHeight="1">
      <c r="A4572" s="2" t="s">
        <v>11203</v>
      </c>
      <c r="B4572" s="2" t="s">
        <v>11204</v>
      </c>
      <c r="C4572" s="2" t="s">
        <v>131</v>
      </c>
      <c r="D4572" s="2" t="s">
        <v>18</v>
      </c>
      <c r="E4572" s="3" t="s">
        <v>1954</v>
      </c>
      <c r="F4572" s="3" t="s">
        <v>1955</v>
      </c>
      <c r="G4572" s="3" t="s">
        <v>1956</v>
      </c>
      <c r="H4572" s="2" t="s">
        <v>22</v>
      </c>
      <c r="I4572" s="2" t="s">
        <v>11205</v>
      </c>
      <c r="J4572" s="3" t="str">
        <f>HYPERLINK("https://www.boe.es/gazeta/dias/1809/11/08/pdfs/GMD-1809-313.pdf#page=4","Abrir facsímil")</f>
        <v>Abrir facsímil</v>
      </c>
      <c r="K4572" s="3" t="s">
        <v>24</v>
      </c>
    </row>
    <row r="4573" spans="1:11" ht="42" customHeight="1">
      <c r="A4573" s="2" t="s">
        <v>11206</v>
      </c>
      <c r="B4573" s="2" t="s">
        <v>11207</v>
      </c>
      <c r="C4573" s="2" t="s">
        <v>47</v>
      </c>
      <c r="D4573" s="2" t="s">
        <v>40</v>
      </c>
      <c r="E4573" s="3" t="s">
        <v>548</v>
      </c>
      <c r="F4573" s="3" t="s">
        <v>549</v>
      </c>
      <c r="G4573" s="3" t="s">
        <v>120</v>
      </c>
      <c r="H4573" s="2" t="s">
        <v>22</v>
      </c>
      <c r="I4573" s="2" t="s">
        <v>11208</v>
      </c>
      <c r="J4573" s="3" t="str">
        <f>HYPERLINK("https://www.boe.es/gazeta/dias/1809/03/12/pdfs/GMD-1809-71.pdf#page=3","Abrir facsímil")</f>
        <v>Abrir facsímil</v>
      </c>
      <c r="K4573" s="3" t="s">
        <v>24</v>
      </c>
    </row>
    <row r="4574" spans="1:11" ht="42" customHeight="1">
      <c r="A4574" s="2" t="s">
        <v>11209</v>
      </c>
      <c r="B4574" s="2" t="s">
        <v>11210</v>
      </c>
      <c r="C4574" s="2" t="s">
        <v>25</v>
      </c>
      <c r="D4574" s="2" t="s">
        <v>18</v>
      </c>
      <c r="E4574" s="3" t="s">
        <v>755</v>
      </c>
      <c r="F4574" s="3" t="s">
        <v>756</v>
      </c>
      <c r="G4574" s="3" t="s">
        <v>525</v>
      </c>
      <c r="H4574" s="2" t="s">
        <v>22</v>
      </c>
      <c r="I4574" s="2" t="s">
        <v>11211</v>
      </c>
      <c r="J4574" s="3" t="str">
        <f>HYPERLINK("https://www.boe.es/gazeta/dias/1809/05/20/pdfs/GMD-1809-140.pdf#page=4","Abrir facsímil")</f>
        <v>Abrir facsímil</v>
      </c>
      <c r="K4574" s="3" t="s">
        <v>24</v>
      </c>
    </row>
    <row r="4575" spans="1:11" ht="42" customHeight="1">
      <c r="A4575" s="2" t="s">
        <v>11212</v>
      </c>
      <c r="B4575" s="2" t="s">
        <v>11213</v>
      </c>
      <c r="C4575" s="2" t="s">
        <v>25</v>
      </c>
      <c r="D4575" s="2" t="s">
        <v>18</v>
      </c>
      <c r="E4575" s="3" t="s">
        <v>201</v>
      </c>
      <c r="F4575" s="3" t="s">
        <v>202</v>
      </c>
      <c r="G4575" s="3" t="s">
        <v>595</v>
      </c>
      <c r="H4575" s="2" t="s">
        <v>22</v>
      </c>
      <c r="I4575" s="2" t="s">
        <v>11214</v>
      </c>
      <c r="J4575" s="3" t="str">
        <f>HYPERLINK("https://www.boe.es/gazeta/dias/1809/08/15/pdfs/GGB-1809-62.pdf#page=7","Abrir facsímil")</f>
        <v>Abrir facsímil</v>
      </c>
      <c r="K4575" s="3" t="s">
        <v>24</v>
      </c>
    </row>
    <row r="4576" spans="1:11" ht="42" customHeight="1">
      <c r="A4576" s="2" t="s">
        <v>11215</v>
      </c>
      <c r="B4576" s="2" t="s">
        <v>11216</v>
      </c>
      <c r="C4576" s="2" t="s">
        <v>17</v>
      </c>
      <c r="D4576" s="2" t="s">
        <v>72</v>
      </c>
      <c r="E4576" s="3" t="s">
        <v>557</v>
      </c>
      <c r="F4576" s="3" t="s">
        <v>558</v>
      </c>
      <c r="G4576" s="3" t="s">
        <v>21</v>
      </c>
      <c r="H4576" s="2" t="s">
        <v>22</v>
      </c>
      <c r="I4576" s="2" t="s">
        <v>11217</v>
      </c>
      <c r="J4576" s="3" t="str">
        <f>HYPERLINK("https://www.boe.es/gazeta/dias/1809/04/19/pdfs/GMD-E-1809-109.pdf#page=1","Abrir facsímil")</f>
        <v>Abrir facsímil</v>
      </c>
      <c r="K4576" s="3" t="s">
        <v>24</v>
      </c>
    </row>
    <row r="4577" spans="1:11" ht="42" customHeight="1">
      <c r="A4577" s="2" t="s">
        <v>11218</v>
      </c>
      <c r="B4577" s="2" t="s">
        <v>11219</v>
      </c>
      <c r="C4577" s="2" t="s">
        <v>17</v>
      </c>
      <c r="D4577" s="2" t="s">
        <v>107</v>
      </c>
      <c r="E4577" s="3" t="s">
        <v>893</v>
      </c>
      <c r="F4577" s="3" t="s">
        <v>1348</v>
      </c>
      <c r="G4577" s="3" t="s">
        <v>11220</v>
      </c>
      <c r="H4577" s="2" t="s">
        <v>22</v>
      </c>
      <c r="I4577" s="2" t="s">
        <v>11221</v>
      </c>
      <c r="J4577" s="3" t="str">
        <f>HYPERLINK("https://www.boe.es/gazeta/dias/1809/11/02/pdfs/GGB-1809-402.pdf#page=2","Abrir facsímil")</f>
        <v>Abrir facsímil</v>
      </c>
      <c r="K4577" s="3" t="s">
        <v>24</v>
      </c>
    </row>
    <row r="4578" spans="1:11" ht="42" customHeight="1">
      <c r="A4578" s="2" t="s">
        <v>11222</v>
      </c>
      <c r="B4578" s="2" t="s">
        <v>11223</v>
      </c>
      <c r="C4578" s="2" t="s">
        <v>17</v>
      </c>
      <c r="D4578" s="2" t="s">
        <v>72</v>
      </c>
      <c r="E4578" s="3" t="s">
        <v>1080</v>
      </c>
      <c r="F4578" s="3" t="s">
        <v>1722</v>
      </c>
      <c r="G4578" s="3" t="s">
        <v>110</v>
      </c>
      <c r="H4578" s="2" t="s">
        <v>22</v>
      </c>
      <c r="I4578" s="2" t="s">
        <v>11224</v>
      </c>
      <c r="J4578" s="3" t="str">
        <f>HYPERLINK("https://www.boe.es/gazeta/dias/1809/10/23/pdfs/GMD-E-1809-297.pdf#page=4","Abrir facsímil")</f>
        <v>Abrir facsímil</v>
      </c>
      <c r="K4578" s="3" t="s">
        <v>24</v>
      </c>
    </row>
    <row r="4579" spans="1:11" ht="42" customHeight="1">
      <c r="A4579" s="2" t="s">
        <v>11225</v>
      </c>
      <c r="B4579" s="2" t="s">
        <v>11226</v>
      </c>
      <c r="C4579" s="2" t="s">
        <v>25</v>
      </c>
      <c r="D4579" s="2" t="s">
        <v>18</v>
      </c>
      <c r="E4579" s="3" t="s">
        <v>123</v>
      </c>
      <c r="F4579" s="3" t="s">
        <v>124</v>
      </c>
      <c r="G4579" s="3" t="s">
        <v>125</v>
      </c>
      <c r="H4579" s="2" t="s">
        <v>22</v>
      </c>
      <c r="I4579" s="2" t="s">
        <v>11227</v>
      </c>
      <c r="J4579" s="3" t="str">
        <f>HYPERLINK("https://www.boe.es/gazeta/dias/1809/04/21/pdfs/GMD-1809-111.pdf#page=1","Abrir facsímil")</f>
        <v>Abrir facsímil</v>
      </c>
      <c r="K4579" s="3" t="s">
        <v>24</v>
      </c>
    </row>
    <row r="4580" spans="1:11" ht="42" customHeight="1">
      <c r="A4580" s="2" t="s">
        <v>11228</v>
      </c>
      <c r="B4580" s="2" t="s">
        <v>11229</v>
      </c>
      <c r="C4580" s="2" t="s">
        <v>39</v>
      </c>
      <c r="D4580" s="2" t="s">
        <v>18</v>
      </c>
      <c r="E4580" s="3" t="s">
        <v>305</v>
      </c>
      <c r="F4580" s="3" t="s">
        <v>306</v>
      </c>
      <c r="G4580" s="3" t="s">
        <v>29</v>
      </c>
      <c r="H4580" s="2" t="s">
        <v>22</v>
      </c>
      <c r="I4580" s="2" t="s">
        <v>11230</v>
      </c>
      <c r="J4580" s="3" t="str">
        <f>HYPERLINK("https://www.boe.es/gazeta/dias/1809/10/20/pdfs/GMD-1809-294.pdf#page=3","Abrir facsímil")</f>
        <v>Abrir facsímil</v>
      </c>
      <c r="K4580" s="3" t="s">
        <v>24</v>
      </c>
    </row>
    <row r="4581" spans="1:11" ht="42" customHeight="1">
      <c r="A4581" s="2" t="s">
        <v>11231</v>
      </c>
      <c r="B4581" s="2" t="s">
        <v>11232</v>
      </c>
      <c r="C4581" s="2" t="s">
        <v>17</v>
      </c>
      <c r="D4581" s="2" t="s">
        <v>18</v>
      </c>
      <c r="E4581" s="3" t="s">
        <v>761</v>
      </c>
      <c r="F4581" s="3" t="s">
        <v>1218</v>
      </c>
      <c r="G4581" s="3" t="s">
        <v>154</v>
      </c>
      <c r="H4581" s="2" t="s">
        <v>55</v>
      </c>
      <c r="I4581" s="2" t="s">
        <v>11233</v>
      </c>
      <c r="J4581" s="3" t="str">
        <f>HYPERLINK("https://www.boe.es/gazeta/dias/1809/06/02/pdfs/GGB-1809-33.pdf#page=12","Abrir facsímil")</f>
        <v>Abrir facsímil</v>
      </c>
      <c r="K4581" s="3" t="s">
        <v>57</v>
      </c>
    </row>
    <row r="4582" spans="1:11" ht="42" customHeight="1">
      <c r="A4582" s="2" t="s">
        <v>11234</v>
      </c>
      <c r="B4582" s="2" t="s">
        <v>11235</v>
      </c>
      <c r="C4582" s="2" t="s">
        <v>25</v>
      </c>
      <c r="D4582" s="2" t="s">
        <v>26</v>
      </c>
      <c r="E4582" s="3" t="s">
        <v>147</v>
      </c>
      <c r="F4582" s="3" t="s">
        <v>562</v>
      </c>
      <c r="G4582" s="3" t="s">
        <v>563</v>
      </c>
      <c r="H4582" s="2" t="s">
        <v>55</v>
      </c>
      <c r="I4582" s="2" t="s">
        <v>11236</v>
      </c>
      <c r="J4582" s="3" t="str">
        <f>HYPERLINK("https://www.boe.es/gazeta/dias/1809/10/07/pdfs/GGB-H-1809-292.pdf#page=8","Abrir facsímil")</f>
        <v>Abrir facsímil</v>
      </c>
      <c r="K4582" s="3" t="s">
        <v>57</v>
      </c>
    </row>
    <row r="4583" spans="1:11" ht="42" customHeight="1">
      <c r="A4583" s="2" t="s">
        <v>11237</v>
      </c>
      <c r="B4583" s="2" t="s">
        <v>11237</v>
      </c>
      <c r="C4583" s="2" t="s">
        <v>25</v>
      </c>
      <c r="D4583" s="2" t="s">
        <v>26</v>
      </c>
      <c r="E4583" s="3" t="s">
        <v>969</v>
      </c>
      <c r="F4583" s="3" t="s">
        <v>6921</v>
      </c>
      <c r="G4583" s="3" t="s">
        <v>11238</v>
      </c>
      <c r="H4583" s="2" t="s">
        <v>55</v>
      </c>
      <c r="I4583" s="2" t="s">
        <v>11239</v>
      </c>
      <c r="J4583" s="3" t="str">
        <f>HYPERLINK("https://www.boe.es/gazeta/dias/1809/09/19/pdfs/GMD-1809-263.pdf#page=1","Abrir facsímil")</f>
        <v>Abrir facsímil</v>
      </c>
      <c r="K4583" s="3" t="s">
        <v>57</v>
      </c>
    </row>
    <row r="4584" spans="1:11" ht="42" customHeight="1">
      <c r="A4584" s="2" t="s">
        <v>11240</v>
      </c>
      <c r="B4584" s="2" t="s">
        <v>11241</v>
      </c>
      <c r="C4584" s="2" t="s">
        <v>131</v>
      </c>
      <c r="D4584" s="2" t="s">
        <v>18</v>
      </c>
      <c r="E4584" s="3" t="s">
        <v>33</v>
      </c>
      <c r="F4584" s="3" t="s">
        <v>34</v>
      </c>
      <c r="G4584" s="3" t="s">
        <v>98</v>
      </c>
      <c r="H4584" s="2" t="s">
        <v>55</v>
      </c>
      <c r="I4584" s="2" t="s">
        <v>11242</v>
      </c>
      <c r="J4584" s="3" t="str">
        <f>HYPERLINK("https://www.boe.es/gazeta/dias/1809/12/19/pdfs/GGB-1809-602.pdf#page=2","Abrir facsímil")</f>
        <v>Abrir facsímil</v>
      </c>
      <c r="K4584" s="3" t="s">
        <v>57</v>
      </c>
    </row>
    <row r="4585" spans="1:11" ht="42" customHeight="1">
      <c r="A4585" s="2" t="s">
        <v>11243</v>
      </c>
      <c r="B4585" s="2" t="s">
        <v>11244</v>
      </c>
      <c r="C4585" s="2" t="s">
        <v>39</v>
      </c>
      <c r="D4585" s="2" t="s">
        <v>72</v>
      </c>
      <c r="E4585" s="3" t="s">
        <v>557</v>
      </c>
      <c r="F4585" s="3" t="s">
        <v>558</v>
      </c>
      <c r="G4585" s="3" t="s">
        <v>265</v>
      </c>
      <c r="H4585" s="2" t="s">
        <v>55</v>
      </c>
      <c r="I4585" s="2" t="s">
        <v>11245</v>
      </c>
      <c r="J4585" s="3" t="str">
        <f>HYPERLINK("https://www.boe.es/gazeta/dias/1809/04/19/pdfs/GMD-E-1809-109.pdf#page=2","Abrir facsímil")</f>
        <v>Abrir facsímil</v>
      </c>
      <c r="K4585" s="3" t="s">
        <v>57</v>
      </c>
    </row>
    <row r="4586" spans="1:11" ht="42" customHeight="1">
      <c r="A4586" s="2" t="s">
        <v>11243</v>
      </c>
      <c r="B4586" s="2" t="s">
        <v>11244</v>
      </c>
      <c r="C4586" s="2" t="s">
        <v>39</v>
      </c>
      <c r="D4586" s="2" t="s">
        <v>72</v>
      </c>
      <c r="E4586" s="3" t="s">
        <v>1974</v>
      </c>
      <c r="F4586" s="3" t="s">
        <v>1975</v>
      </c>
      <c r="G4586" s="3" t="s">
        <v>239</v>
      </c>
      <c r="H4586" s="2" t="s">
        <v>55</v>
      </c>
      <c r="I4586" s="2" t="s">
        <v>11246</v>
      </c>
      <c r="J4586" s="3" t="str">
        <f>HYPERLINK("https://www.boe.es/gazeta/dias/1809/05/03/pdfs/GMD-E-1809-123.pdf#page=1","Abrir facsímil")</f>
        <v>Abrir facsímil</v>
      </c>
      <c r="K4586" s="3" t="s">
        <v>57</v>
      </c>
    </row>
    <row r="4587" spans="1:11" ht="42" customHeight="1">
      <c r="A4587" s="2" t="s">
        <v>11243</v>
      </c>
      <c r="B4587" s="2" t="s">
        <v>11244</v>
      </c>
      <c r="C4587" s="2" t="s">
        <v>369</v>
      </c>
      <c r="D4587" s="2" t="s">
        <v>72</v>
      </c>
      <c r="E4587" s="3" t="s">
        <v>776</v>
      </c>
      <c r="F4587" s="3" t="s">
        <v>777</v>
      </c>
      <c r="G4587" s="3" t="s">
        <v>736</v>
      </c>
      <c r="H4587" s="2" t="s">
        <v>55</v>
      </c>
      <c r="I4587" s="2" t="s">
        <v>11247</v>
      </c>
      <c r="J4587" s="3" t="str">
        <f>HYPERLINK("https://www.boe.es/gazeta/dias/1809/05/28/pdfs/GMD-E-1809-148.pdf#page=1","Abrir facsímil")</f>
        <v>Abrir facsímil</v>
      </c>
      <c r="K4587" s="3" t="s">
        <v>57</v>
      </c>
    </row>
    <row r="4588" spans="1:11" ht="42" customHeight="1">
      <c r="A4588" s="2" t="s">
        <v>11243</v>
      </c>
      <c r="B4588" s="2" t="s">
        <v>11244</v>
      </c>
      <c r="C4588" s="2" t="s">
        <v>17</v>
      </c>
      <c r="D4588" s="2" t="s">
        <v>40</v>
      </c>
      <c r="E4588" s="3" t="s">
        <v>1080</v>
      </c>
      <c r="F4588" s="3" t="s">
        <v>1722</v>
      </c>
      <c r="G4588" s="3" t="s">
        <v>110</v>
      </c>
      <c r="H4588" s="2" t="s">
        <v>55</v>
      </c>
      <c r="I4588" s="2" t="s">
        <v>11248</v>
      </c>
      <c r="J4588" s="3" t="str">
        <f>HYPERLINK("https://www.boe.es/gazeta/dias/1809/10/23/pdfs/GMD-E-1809-297.pdf#page=4","Abrir facsímil")</f>
        <v>Abrir facsímil</v>
      </c>
      <c r="K4588" s="3" t="s">
        <v>57</v>
      </c>
    </row>
    <row r="4589" spans="1:11" ht="42" customHeight="1">
      <c r="A4589" s="2" t="s">
        <v>11249</v>
      </c>
      <c r="B4589" s="2" t="s">
        <v>11250</v>
      </c>
      <c r="C4589" s="2" t="s">
        <v>17</v>
      </c>
      <c r="D4589" s="2" t="s">
        <v>40</v>
      </c>
      <c r="E4589" s="3" t="s">
        <v>599</v>
      </c>
      <c r="F4589" s="3" t="s">
        <v>600</v>
      </c>
      <c r="G4589" s="3" t="s">
        <v>601</v>
      </c>
      <c r="H4589" s="2" t="s">
        <v>55</v>
      </c>
      <c r="I4589" s="2" t="s">
        <v>11251</v>
      </c>
      <c r="J4589" s="3" t="str">
        <f>HYPERLINK("https://www.boe.es/gazeta/dias/1809/01/19/pdfs/GMD-1809-19.pdf#page=4","Abrir facsímil")</f>
        <v>Abrir facsímil</v>
      </c>
      <c r="K4589" s="3" t="s">
        <v>57</v>
      </c>
    </row>
    <row r="4590" spans="1:11" ht="42" customHeight="1">
      <c r="A4590" s="2" t="s">
        <v>11252</v>
      </c>
      <c r="B4590" s="2" t="s">
        <v>11253</v>
      </c>
      <c r="C4590" s="2" t="s">
        <v>17</v>
      </c>
      <c r="D4590" s="2" t="s">
        <v>72</v>
      </c>
      <c r="E4590" s="3" t="s">
        <v>557</v>
      </c>
      <c r="F4590" s="3" t="s">
        <v>558</v>
      </c>
      <c r="G4590" s="3" t="s">
        <v>21</v>
      </c>
      <c r="H4590" s="2" t="s">
        <v>55</v>
      </c>
      <c r="I4590" s="2" t="s">
        <v>11254</v>
      </c>
      <c r="J4590" s="3" t="str">
        <f>HYPERLINK("https://www.boe.es/gazeta/dias/1809/04/19/pdfs/GMD-E-1809-109.pdf#page=1","Abrir facsímil")</f>
        <v>Abrir facsímil</v>
      </c>
      <c r="K4590" s="3" t="s">
        <v>57</v>
      </c>
    </row>
    <row r="4591" spans="1:11" ht="42" customHeight="1">
      <c r="A4591" s="2" t="s">
        <v>11255</v>
      </c>
      <c r="B4591" s="2" t="s">
        <v>11255</v>
      </c>
      <c r="C4591" s="2" t="s">
        <v>25</v>
      </c>
      <c r="D4591" s="2" t="s">
        <v>26</v>
      </c>
      <c r="E4591" s="3" t="s">
        <v>621</v>
      </c>
      <c r="F4591" s="3" t="s">
        <v>913</v>
      </c>
      <c r="G4591" s="3" t="s">
        <v>192</v>
      </c>
      <c r="H4591" s="2" t="s">
        <v>55</v>
      </c>
      <c r="I4591" s="2" t="s">
        <v>11256</v>
      </c>
      <c r="J4591" s="3" t="str">
        <f>HYPERLINK("https://www.boe.es/gazeta/dias/1809/07/04/pdfs/GMD-1809-185.pdf#page=3","Abrir facsímil")</f>
        <v>Abrir facsímil</v>
      </c>
      <c r="K4591" s="3" t="s">
        <v>57</v>
      </c>
    </row>
    <row r="4592" spans="1:11" ht="42" customHeight="1">
      <c r="A4592" s="2" t="s">
        <v>11257</v>
      </c>
      <c r="B4592" s="2" t="s">
        <v>11258</v>
      </c>
      <c r="C4592" s="2" t="s">
        <v>17</v>
      </c>
      <c r="D4592" s="2" t="s">
        <v>18</v>
      </c>
      <c r="E4592" s="3" t="s">
        <v>216</v>
      </c>
      <c r="F4592" s="3" t="s">
        <v>2440</v>
      </c>
      <c r="G4592" s="3" t="s">
        <v>11259</v>
      </c>
      <c r="H4592" s="2" t="s">
        <v>55</v>
      </c>
      <c r="I4592" s="2" t="s">
        <v>11260</v>
      </c>
      <c r="J4592" s="3" t="str">
        <f>HYPERLINK("https://www.boe.es/gazeta/dias/1809/12/05/pdfs/GGB-1809-542.pdf#page=5","Abrir facsímil")</f>
        <v>Abrir facsímil</v>
      </c>
      <c r="K4592" s="3" t="s">
        <v>57</v>
      </c>
    </row>
    <row r="4593" spans="1:11" ht="42" customHeight="1">
      <c r="A4593" s="2" t="s">
        <v>11261</v>
      </c>
      <c r="B4593" s="2" t="s">
        <v>11262</v>
      </c>
      <c r="C4593" s="2" t="s">
        <v>288</v>
      </c>
      <c r="D4593" s="2" t="s">
        <v>18</v>
      </c>
      <c r="E4593" s="3" t="s">
        <v>2473</v>
      </c>
      <c r="F4593" s="3" t="s">
        <v>2474</v>
      </c>
      <c r="G4593" s="3" t="s">
        <v>29</v>
      </c>
      <c r="H4593" s="2" t="s">
        <v>55</v>
      </c>
      <c r="I4593" s="2" t="s">
        <v>11263</v>
      </c>
      <c r="J4593" s="3" t="str">
        <f>HYPERLINK("https://www.boe.es/gazeta/dias/1809/02/16/pdfs/GMD-1809-47.pdf#page=3","Abrir facsímil")</f>
        <v>Abrir facsímil</v>
      </c>
      <c r="K4593" s="3" t="s">
        <v>57</v>
      </c>
    </row>
    <row r="4594" spans="1:11" ht="42" customHeight="1">
      <c r="A4594" s="2" t="s">
        <v>11264</v>
      </c>
      <c r="B4594" s="2" t="s">
        <v>11264</v>
      </c>
      <c r="C4594" s="2" t="s">
        <v>25</v>
      </c>
      <c r="D4594" s="2" t="s">
        <v>26</v>
      </c>
      <c r="E4594" s="3" t="s">
        <v>11265</v>
      </c>
      <c r="F4594" s="3" t="s">
        <v>11266</v>
      </c>
      <c r="G4594" s="3" t="s">
        <v>75</v>
      </c>
      <c r="H4594" s="2" t="s">
        <v>55</v>
      </c>
      <c r="I4594" s="2" t="s">
        <v>11267</v>
      </c>
      <c r="J4594" s="3" t="str">
        <f>HYPERLINK("https://www.boe.es/gazeta/dias/1809/02/04/pdfs/GMD-1809-35.pdf#page=3","Abrir facsímil")</f>
        <v>Abrir facsímil</v>
      </c>
      <c r="K4594" s="3" t="s">
        <v>57</v>
      </c>
    </row>
    <row r="4595" spans="1:11" ht="42" customHeight="1">
      <c r="A4595" s="2" t="s">
        <v>11268</v>
      </c>
      <c r="B4595" s="2" t="s">
        <v>11268</v>
      </c>
      <c r="C4595" s="2" t="s">
        <v>25</v>
      </c>
      <c r="D4595" s="2" t="s">
        <v>18</v>
      </c>
      <c r="E4595" s="3" t="s">
        <v>27</v>
      </c>
      <c r="F4595" s="3" t="s">
        <v>254</v>
      </c>
      <c r="G4595" s="3" t="s">
        <v>693</v>
      </c>
      <c r="H4595" s="2" t="s">
        <v>55</v>
      </c>
      <c r="I4595" s="2" t="s">
        <v>11269</v>
      </c>
      <c r="J4595" s="3" t="str">
        <f>HYPERLINK("https://www.boe.es/gazeta/dias/1809/05/12/pdfs/GGB-1809-26.pdf#page=9","Abrir facsímil")</f>
        <v>Abrir facsímil</v>
      </c>
      <c r="K4595" s="3" t="s">
        <v>57</v>
      </c>
    </row>
    <row r="4596" spans="1:11" ht="42" customHeight="1">
      <c r="A4596" s="2" t="s">
        <v>11270</v>
      </c>
      <c r="B4596" s="2" t="s">
        <v>11270</v>
      </c>
      <c r="C4596" s="2" t="s">
        <v>25</v>
      </c>
      <c r="D4596" s="2" t="s">
        <v>26</v>
      </c>
      <c r="E4596" s="3" t="s">
        <v>1807</v>
      </c>
      <c r="F4596" s="3" t="s">
        <v>1808</v>
      </c>
      <c r="G4596" s="3" t="s">
        <v>2093</v>
      </c>
      <c r="H4596" s="2" t="s">
        <v>55</v>
      </c>
      <c r="I4596" s="2" t="s">
        <v>11271</v>
      </c>
      <c r="J4596" s="3" t="str">
        <f>HYPERLINK("https://www.boe.es/gazeta/dias/1809/01/22/pdfs/GMD-1809-22.pdf#page=2","Abrir facsímil")</f>
        <v>Abrir facsímil</v>
      </c>
      <c r="K4596" s="3" t="s">
        <v>57</v>
      </c>
    </row>
    <row r="4597" spans="1:11" ht="42" customHeight="1">
      <c r="A4597" s="2" t="s">
        <v>11270</v>
      </c>
      <c r="B4597" s="2" t="s">
        <v>11270</v>
      </c>
      <c r="C4597" s="2" t="s">
        <v>25</v>
      </c>
      <c r="D4597" s="2" t="s">
        <v>26</v>
      </c>
      <c r="E4597" s="3" t="s">
        <v>4389</v>
      </c>
      <c r="F4597" s="3" t="s">
        <v>4390</v>
      </c>
      <c r="G4597" s="3" t="s">
        <v>3536</v>
      </c>
      <c r="H4597" s="2" t="s">
        <v>55</v>
      </c>
      <c r="I4597" s="2" t="s">
        <v>11272</v>
      </c>
      <c r="J4597" s="3" t="str">
        <f>HYPERLINK("https://www.boe.es/gazeta/dias/1809/02/06/pdfs/GMD-1809-37.pdf#page=2","Abrir facsímil")</f>
        <v>Abrir facsímil</v>
      </c>
      <c r="K4597" s="3" t="s">
        <v>57</v>
      </c>
    </row>
    <row r="4598" spans="1:11" ht="42" customHeight="1">
      <c r="A4598" s="2" t="s">
        <v>11270</v>
      </c>
      <c r="B4598" s="2" t="s">
        <v>11270</v>
      </c>
      <c r="C4598" s="2" t="s">
        <v>25</v>
      </c>
      <c r="D4598" s="2" t="s">
        <v>26</v>
      </c>
      <c r="E4598" s="3" t="s">
        <v>4389</v>
      </c>
      <c r="F4598" s="3" t="s">
        <v>4390</v>
      </c>
      <c r="G4598" s="3" t="s">
        <v>239</v>
      </c>
      <c r="H4598" s="2" t="s">
        <v>55</v>
      </c>
      <c r="I4598" s="2" t="s">
        <v>11273</v>
      </c>
      <c r="J4598" s="3" t="str">
        <f>HYPERLINK("https://www.boe.es/gazeta/dias/1809/02/06/pdfs/GMD-1809-37.pdf#page=3","Abrir facsímil")</f>
        <v>Abrir facsímil</v>
      </c>
      <c r="K4598" s="3" t="s">
        <v>57</v>
      </c>
    </row>
    <row r="4599" spans="1:11" ht="42" customHeight="1">
      <c r="A4599" s="2" t="s">
        <v>11270</v>
      </c>
      <c r="B4599" s="2" t="s">
        <v>11270</v>
      </c>
      <c r="C4599" s="2" t="s">
        <v>25</v>
      </c>
      <c r="D4599" s="2" t="s">
        <v>18</v>
      </c>
      <c r="E4599" s="3" t="s">
        <v>60</v>
      </c>
      <c r="F4599" s="3" t="s">
        <v>61</v>
      </c>
      <c r="G4599" s="3" t="s">
        <v>396</v>
      </c>
      <c r="H4599" s="2" t="s">
        <v>55</v>
      </c>
      <c r="I4599" s="2" t="s">
        <v>11274</v>
      </c>
      <c r="J4599" s="3" t="str">
        <f>HYPERLINK("https://www.boe.es/gazeta/dias/1809/02/07/pdfs/GMD-1809-38.pdf#page=1","Abrir facsímil")</f>
        <v>Abrir facsímil</v>
      </c>
      <c r="K4599" s="3" t="s">
        <v>57</v>
      </c>
    </row>
    <row r="4600" spans="1:11" ht="42" customHeight="1">
      <c r="A4600" s="2" t="s">
        <v>11275</v>
      </c>
      <c r="B4600" s="2" t="s">
        <v>11275</v>
      </c>
      <c r="C4600" s="2" t="s">
        <v>25</v>
      </c>
      <c r="D4600" s="2" t="s">
        <v>40</v>
      </c>
      <c r="E4600" s="3" t="s">
        <v>163</v>
      </c>
      <c r="F4600" s="3" t="s">
        <v>7818</v>
      </c>
      <c r="G4600" s="3" t="s">
        <v>129</v>
      </c>
      <c r="H4600" s="2" t="s">
        <v>55</v>
      </c>
      <c r="I4600" s="2" t="s">
        <v>11276</v>
      </c>
      <c r="J4600" s="3" t="str">
        <f>HYPERLINK("https://www.boe.es/gazeta/dias/1809/03/10/pdfs/GMD-1809-69.pdf#page=2","Abrir facsímil")</f>
        <v>Abrir facsímil</v>
      </c>
      <c r="K4600" s="3" t="s">
        <v>57</v>
      </c>
    </row>
    <row r="4601" spans="1:11" ht="42" customHeight="1">
      <c r="A4601" s="2" t="s">
        <v>11270</v>
      </c>
      <c r="B4601" s="2" t="s">
        <v>11270</v>
      </c>
      <c r="C4601" s="2" t="s">
        <v>25</v>
      </c>
      <c r="D4601" s="2" t="s">
        <v>26</v>
      </c>
      <c r="E4601" s="3" t="s">
        <v>487</v>
      </c>
      <c r="F4601" s="3" t="s">
        <v>5579</v>
      </c>
      <c r="G4601" s="3" t="s">
        <v>120</v>
      </c>
      <c r="H4601" s="2" t="s">
        <v>55</v>
      </c>
      <c r="I4601" s="2" t="s">
        <v>11277</v>
      </c>
      <c r="J4601" s="3" t="str">
        <f>HYPERLINK("https://www.boe.es/gazeta/dias/1809/10/21/pdfs/GMD-1809-295.pdf#page=1","Abrir facsímil")</f>
        <v>Abrir facsímil</v>
      </c>
      <c r="K4601" s="3" t="s">
        <v>57</v>
      </c>
    </row>
    <row r="4602" spans="1:11" ht="42" customHeight="1">
      <c r="A4602" s="2" t="s">
        <v>11270</v>
      </c>
      <c r="B4602" s="2" t="s">
        <v>11270</v>
      </c>
      <c r="C4602" s="2" t="s">
        <v>25</v>
      </c>
      <c r="D4602" s="2" t="s">
        <v>26</v>
      </c>
      <c r="E4602" s="3" t="s">
        <v>814</v>
      </c>
      <c r="F4602" s="3" t="s">
        <v>2095</v>
      </c>
      <c r="G4602" s="3" t="s">
        <v>62</v>
      </c>
      <c r="H4602" s="2" t="s">
        <v>55</v>
      </c>
      <c r="I4602" s="2" t="s">
        <v>11278</v>
      </c>
      <c r="J4602" s="3" t="str">
        <f>HYPERLINK("https://www.boe.es/gazeta/dias/1809/12/09/pdfs/GMD-1809-344.pdf#page=4","Abrir facsímil")</f>
        <v>Abrir facsímil</v>
      </c>
      <c r="K4602" s="3" t="s">
        <v>57</v>
      </c>
    </row>
    <row r="4603" spans="1:11" ht="42" customHeight="1">
      <c r="A4603" s="2" t="s">
        <v>11279</v>
      </c>
      <c r="B4603" s="2" t="s">
        <v>11280</v>
      </c>
      <c r="C4603" s="2" t="s">
        <v>25</v>
      </c>
      <c r="D4603" s="2" t="s">
        <v>26</v>
      </c>
      <c r="E4603" s="3" t="s">
        <v>1570</v>
      </c>
      <c r="F4603" s="3" t="s">
        <v>1571</v>
      </c>
      <c r="G4603" s="3" t="s">
        <v>154</v>
      </c>
      <c r="H4603" s="2" t="s">
        <v>55</v>
      </c>
      <c r="I4603" s="2" t="s">
        <v>11281</v>
      </c>
      <c r="J4603" s="3" t="str">
        <f>HYPERLINK("https://www.boe.es/gazeta/dias/1809/11/24/pdfs/GMD-1809-329.pdf#page=2","Abrir facsímil")</f>
        <v>Abrir facsímil</v>
      </c>
      <c r="K4603" s="3" t="s">
        <v>57</v>
      </c>
    </row>
    <row r="4604" spans="1:11" ht="42" customHeight="1">
      <c r="A4604" s="2" t="s">
        <v>11282</v>
      </c>
      <c r="B4604" s="2" t="s">
        <v>11283</v>
      </c>
      <c r="C4604" s="2" t="s">
        <v>25</v>
      </c>
      <c r="D4604" s="2" t="s">
        <v>18</v>
      </c>
      <c r="E4604" s="3" t="s">
        <v>2691</v>
      </c>
      <c r="F4604" s="3" t="s">
        <v>2692</v>
      </c>
      <c r="G4604" s="3" t="s">
        <v>75</v>
      </c>
      <c r="H4604" s="2" t="s">
        <v>55</v>
      </c>
      <c r="I4604" s="2" t="s">
        <v>11284</v>
      </c>
      <c r="J4604" s="3" t="str">
        <f>HYPERLINK("https://www.boe.es/gazeta/dias/1809/08/27/pdfs/GMD-1809-240.pdf#page=2","Abrir facsímil")</f>
        <v>Abrir facsímil</v>
      </c>
      <c r="K4604" s="3" t="s">
        <v>57</v>
      </c>
    </row>
    <row r="4605" spans="1:11" ht="42" customHeight="1">
      <c r="A4605" s="2" t="s">
        <v>11285</v>
      </c>
      <c r="B4605" s="2" t="s">
        <v>11286</v>
      </c>
      <c r="C4605" s="2" t="s">
        <v>25</v>
      </c>
      <c r="D4605" s="2" t="s">
        <v>18</v>
      </c>
      <c r="E4605" s="3" t="s">
        <v>1011</v>
      </c>
      <c r="F4605" s="3" t="s">
        <v>1511</v>
      </c>
      <c r="G4605" s="3" t="s">
        <v>154</v>
      </c>
      <c r="H4605" s="2" t="s">
        <v>55</v>
      </c>
      <c r="I4605" s="2" t="s">
        <v>11287</v>
      </c>
      <c r="J4605" s="3" t="str">
        <f>HYPERLINK("https://www.boe.es/gazeta/dias/1809/08/01/pdfs/GMD-1809-214.pdf#page=4","Abrir facsímil")</f>
        <v>Abrir facsímil</v>
      </c>
      <c r="K4605" s="3" t="s">
        <v>57</v>
      </c>
    </row>
    <row r="4606" spans="1:11" ht="42" customHeight="1">
      <c r="A4606" s="2" t="s">
        <v>11288</v>
      </c>
      <c r="B4606" s="2" t="s">
        <v>11288</v>
      </c>
      <c r="C4606" s="2" t="s">
        <v>25</v>
      </c>
      <c r="D4606" s="2" t="s">
        <v>18</v>
      </c>
      <c r="E4606" s="3" t="s">
        <v>123</v>
      </c>
      <c r="F4606" s="3" t="s">
        <v>310</v>
      </c>
      <c r="G4606" s="3" t="s">
        <v>239</v>
      </c>
      <c r="H4606" s="2" t="s">
        <v>55</v>
      </c>
      <c r="I4606" s="2" t="s">
        <v>11289</v>
      </c>
      <c r="J4606" s="3" t="str">
        <f>HYPERLINK("https://www.boe.es/gazeta/dias/1809/04/21/pdfs/GGB-1809-20.pdf#page=6","Abrir facsímil")</f>
        <v>Abrir facsímil</v>
      </c>
      <c r="K4606" s="3" t="s">
        <v>57</v>
      </c>
    </row>
    <row r="4607" spans="1:11" ht="42" customHeight="1">
      <c r="A4607" s="2" t="s">
        <v>11290</v>
      </c>
      <c r="B4607" s="2" t="s">
        <v>11290</v>
      </c>
      <c r="C4607" s="2" t="s">
        <v>25</v>
      </c>
      <c r="D4607" s="2" t="s">
        <v>18</v>
      </c>
      <c r="E4607" s="3" t="s">
        <v>2976</v>
      </c>
      <c r="F4607" s="3" t="s">
        <v>2977</v>
      </c>
      <c r="G4607" s="3" t="s">
        <v>1680</v>
      </c>
      <c r="H4607" s="2" t="s">
        <v>55</v>
      </c>
      <c r="I4607" s="2" t="s">
        <v>11291</v>
      </c>
      <c r="J4607" s="3" t="str">
        <f>HYPERLINK("https://www.boe.es/gazeta/dias/1809/05/05/pdfs/GGB-1809-24.pdf#page=5","Abrir facsímil")</f>
        <v>Abrir facsímil</v>
      </c>
      <c r="K4607" s="3" t="s">
        <v>57</v>
      </c>
    </row>
    <row r="4608" spans="1:11" ht="42" customHeight="1">
      <c r="A4608" s="2" t="s">
        <v>11292</v>
      </c>
      <c r="B4608" s="2" t="s">
        <v>11292</v>
      </c>
      <c r="C4608" s="2" t="s">
        <v>25</v>
      </c>
      <c r="D4608" s="2" t="s">
        <v>18</v>
      </c>
      <c r="E4608" s="3" t="s">
        <v>2111</v>
      </c>
      <c r="F4608" s="3" t="s">
        <v>2112</v>
      </c>
      <c r="G4608" s="3" t="s">
        <v>29</v>
      </c>
      <c r="H4608" s="2" t="s">
        <v>55</v>
      </c>
      <c r="I4608" s="2" t="s">
        <v>11293</v>
      </c>
      <c r="J4608" s="3" t="str">
        <f>HYPERLINK("https://www.boe.es/gazeta/dias/1809/03/05/pdfs/GMD-1809-64.pdf#page=3","Abrir facsímil")</f>
        <v>Abrir facsímil</v>
      </c>
      <c r="K4608" s="3" t="s">
        <v>57</v>
      </c>
    </row>
    <row r="4609" spans="1:11" ht="42" customHeight="1">
      <c r="A4609" s="2" t="s">
        <v>11294</v>
      </c>
      <c r="B4609" s="2" t="s">
        <v>11294</v>
      </c>
      <c r="C4609" s="2" t="s">
        <v>25</v>
      </c>
      <c r="D4609" s="2" t="s">
        <v>26</v>
      </c>
      <c r="E4609" s="3" t="s">
        <v>1073</v>
      </c>
      <c r="F4609" s="3" t="s">
        <v>1074</v>
      </c>
      <c r="G4609" s="3" t="s">
        <v>3888</v>
      </c>
      <c r="H4609" s="2" t="s">
        <v>55</v>
      </c>
      <c r="I4609" s="2" t="s">
        <v>11295</v>
      </c>
      <c r="J4609" s="3" t="str">
        <f>HYPERLINK("https://www.boe.es/gazeta/dias/1809/01/13/pdfs/GMD-1809-13.pdf#page=2","Abrir facsímil")</f>
        <v>Abrir facsímil</v>
      </c>
      <c r="K4609" s="3" t="s">
        <v>57</v>
      </c>
    </row>
    <row r="4610" spans="1:11" ht="42" customHeight="1">
      <c r="A4610" s="2" t="s">
        <v>11294</v>
      </c>
      <c r="B4610" s="2" t="s">
        <v>11294</v>
      </c>
      <c r="C4610" s="2" t="s">
        <v>25</v>
      </c>
      <c r="D4610" s="2" t="s">
        <v>26</v>
      </c>
      <c r="E4610" s="3" t="s">
        <v>1076</v>
      </c>
      <c r="F4610" s="3" t="s">
        <v>1074</v>
      </c>
      <c r="G4610" s="3" t="s">
        <v>3888</v>
      </c>
      <c r="H4610" s="2" t="s">
        <v>55</v>
      </c>
      <c r="I4610" s="2" t="s">
        <v>11295</v>
      </c>
      <c r="J4610" s="3" t="str">
        <f>HYPERLINK("https://www.boe.es/gazeta/dias/1809/04/13/pdfs/GMD-1809-13.pdf#page=2","Abrir facsímil")</f>
        <v>Abrir facsímil</v>
      </c>
      <c r="K4610" s="3" t="s">
        <v>57</v>
      </c>
    </row>
    <row r="4611" spans="1:11" ht="42" customHeight="1">
      <c r="A4611" s="2" t="s">
        <v>11294</v>
      </c>
      <c r="B4611" s="2" t="s">
        <v>11294</v>
      </c>
      <c r="C4611" s="2" t="s">
        <v>25</v>
      </c>
      <c r="D4611" s="2" t="s">
        <v>18</v>
      </c>
      <c r="E4611" s="3" t="s">
        <v>2038</v>
      </c>
      <c r="F4611" s="3" t="s">
        <v>2039</v>
      </c>
      <c r="G4611" s="3" t="s">
        <v>110</v>
      </c>
      <c r="H4611" s="2" t="s">
        <v>55</v>
      </c>
      <c r="I4611" s="2" t="s">
        <v>11296</v>
      </c>
      <c r="J4611" s="3" t="str">
        <f>HYPERLINK("https://www.boe.es/gazeta/dias/1809/05/07/pdfs/GMD-1809-127.pdf#page=2","Abrir facsímil")</f>
        <v>Abrir facsímil</v>
      </c>
      <c r="K4611" s="3" t="s">
        <v>57</v>
      </c>
    </row>
    <row r="4612" spans="1:11" ht="42" customHeight="1">
      <c r="A4612" s="2" t="s">
        <v>11297</v>
      </c>
      <c r="B4612" s="2" t="s">
        <v>11297</v>
      </c>
      <c r="C4612" s="2" t="s">
        <v>25</v>
      </c>
      <c r="D4612" s="2" t="s">
        <v>18</v>
      </c>
      <c r="E4612" s="3" t="s">
        <v>429</v>
      </c>
      <c r="F4612" s="3" t="s">
        <v>1544</v>
      </c>
      <c r="G4612" s="3" t="s">
        <v>1545</v>
      </c>
      <c r="H4612" s="2" t="s">
        <v>55</v>
      </c>
      <c r="I4612" s="2" t="s">
        <v>11298</v>
      </c>
      <c r="J4612" s="3" t="str">
        <f>HYPERLINK("https://www.boe.es/gazeta/dias/1809/06/09/pdfs/GMD-1809-160.pdf#page=2","Abrir facsímil")</f>
        <v>Abrir facsímil</v>
      </c>
      <c r="K4612" s="3" t="s">
        <v>57</v>
      </c>
    </row>
    <row r="4613" spans="1:11" ht="42" customHeight="1">
      <c r="A4613" s="2" t="s">
        <v>11297</v>
      </c>
      <c r="B4613" s="2" t="s">
        <v>11297</v>
      </c>
      <c r="C4613" s="2" t="s">
        <v>25</v>
      </c>
      <c r="D4613" s="2" t="s">
        <v>26</v>
      </c>
      <c r="E4613" s="3" t="s">
        <v>1865</v>
      </c>
      <c r="F4613" s="3" t="s">
        <v>1866</v>
      </c>
      <c r="G4613" s="3" t="s">
        <v>587</v>
      </c>
      <c r="H4613" s="2" t="s">
        <v>55</v>
      </c>
      <c r="I4613" s="2" t="s">
        <v>11299</v>
      </c>
      <c r="J4613" s="3" t="str">
        <f>HYPERLINK("https://www.boe.es/gazeta/dias/1809/08/08/pdfs/GGB-1809-32.pdf#page=2","Abrir facsímil")</f>
        <v>Abrir facsímil</v>
      </c>
      <c r="K4613" s="3" t="s">
        <v>57</v>
      </c>
    </row>
    <row r="4614" spans="1:11" ht="42" customHeight="1">
      <c r="A4614" s="2" t="s">
        <v>11300</v>
      </c>
      <c r="B4614" s="2" t="s">
        <v>11300</v>
      </c>
      <c r="C4614" s="2" t="s">
        <v>25</v>
      </c>
      <c r="D4614" s="2" t="s">
        <v>18</v>
      </c>
      <c r="E4614" s="3" t="s">
        <v>123</v>
      </c>
      <c r="F4614" s="3" t="s">
        <v>310</v>
      </c>
      <c r="G4614" s="3" t="s">
        <v>239</v>
      </c>
      <c r="H4614" s="2" t="s">
        <v>55</v>
      </c>
      <c r="I4614" s="2" t="s">
        <v>11301</v>
      </c>
      <c r="J4614" s="3" t="str">
        <f>HYPERLINK("https://www.boe.es/gazeta/dias/1809/04/21/pdfs/GGB-1809-20.pdf#page=5","Abrir facsímil")</f>
        <v>Abrir facsímil</v>
      </c>
      <c r="K4614" s="3" t="s">
        <v>57</v>
      </c>
    </row>
    <row r="4615" spans="1:11" ht="42" customHeight="1">
      <c r="A4615" s="2" t="s">
        <v>11302</v>
      </c>
      <c r="B4615" s="2" t="s">
        <v>11302</v>
      </c>
      <c r="C4615" s="2" t="s">
        <v>17</v>
      </c>
      <c r="D4615" s="2" t="s">
        <v>18</v>
      </c>
      <c r="E4615" s="3" t="s">
        <v>27</v>
      </c>
      <c r="F4615" s="3" t="s">
        <v>254</v>
      </c>
      <c r="G4615" s="3" t="s">
        <v>239</v>
      </c>
      <c r="H4615" s="2" t="s">
        <v>55</v>
      </c>
      <c r="I4615" s="2" t="s">
        <v>11303</v>
      </c>
      <c r="J4615" s="3" t="str">
        <f>HYPERLINK("https://www.boe.es/gazeta/dias/1809/05/12/pdfs/GGB-1809-26.pdf#page=11","Abrir facsímil")</f>
        <v>Abrir facsímil</v>
      </c>
      <c r="K4615" s="3" t="s">
        <v>57</v>
      </c>
    </row>
    <row r="4616" spans="1:11" ht="42" customHeight="1">
      <c r="A4616" s="2" t="s">
        <v>11304</v>
      </c>
      <c r="B4616" s="2" t="s">
        <v>11305</v>
      </c>
      <c r="C4616" s="2" t="s">
        <v>25</v>
      </c>
      <c r="D4616" s="2" t="s">
        <v>18</v>
      </c>
      <c r="E4616" s="3" t="s">
        <v>548</v>
      </c>
      <c r="F4616" s="3" t="s">
        <v>549</v>
      </c>
      <c r="G4616" s="3" t="s">
        <v>687</v>
      </c>
      <c r="H4616" s="2" t="s">
        <v>55</v>
      </c>
      <c r="I4616" s="2" t="s">
        <v>11306</v>
      </c>
      <c r="J4616" s="3" t="str">
        <f>HYPERLINK("https://www.boe.es/gazeta/dias/1809/03/12/pdfs/GMD-1809-71.pdf#page=2","Abrir facsímil")</f>
        <v>Abrir facsímil</v>
      </c>
      <c r="K4616" s="3" t="s">
        <v>57</v>
      </c>
    </row>
    <row r="4617" spans="1:11" ht="42" customHeight="1">
      <c r="A4617" s="2" t="s">
        <v>11307</v>
      </c>
      <c r="B4617" s="2" t="s">
        <v>11308</v>
      </c>
      <c r="C4617" s="2" t="s">
        <v>25</v>
      </c>
      <c r="D4617" s="2" t="s">
        <v>18</v>
      </c>
      <c r="E4617" s="3" t="s">
        <v>482</v>
      </c>
      <c r="F4617" s="3" t="s">
        <v>483</v>
      </c>
      <c r="G4617" s="3" t="s">
        <v>484</v>
      </c>
      <c r="H4617" s="2" t="s">
        <v>55</v>
      </c>
      <c r="I4617" s="2" t="s">
        <v>11309</v>
      </c>
      <c r="J4617" s="3" t="str">
        <f>HYPERLINK("https://www.boe.es/gazeta/dias/1809/06/15/pdfs/GMD-1809-166.pdf#page=3","Abrir facsímil")</f>
        <v>Abrir facsímil</v>
      </c>
      <c r="K4617" s="3" t="s">
        <v>57</v>
      </c>
    </row>
    <row r="4618" spans="1:11" ht="42" customHeight="1">
      <c r="A4618" s="2" t="s">
        <v>11310</v>
      </c>
      <c r="B4618" s="2" t="s">
        <v>11311</v>
      </c>
      <c r="C4618" s="2" t="s">
        <v>25</v>
      </c>
      <c r="D4618" s="2" t="s">
        <v>18</v>
      </c>
      <c r="E4618" s="3" t="s">
        <v>893</v>
      </c>
      <c r="F4618" s="3" t="s">
        <v>1348</v>
      </c>
      <c r="G4618" s="3" t="s">
        <v>120</v>
      </c>
      <c r="H4618" s="2" t="s">
        <v>55</v>
      </c>
      <c r="I4618" s="2" t="s">
        <v>11312</v>
      </c>
      <c r="J4618" s="3" t="str">
        <f>HYPERLINK("https://www.boe.es/gazeta/dias/1809/11/02/pdfs/GGB-1809-402.pdf#page=3","Abrir facsímil")</f>
        <v>Abrir facsímil</v>
      </c>
      <c r="K4618" s="3" t="s">
        <v>57</v>
      </c>
    </row>
    <row r="4619" spans="1:11" ht="42" customHeight="1">
      <c r="A4619" s="2" t="s">
        <v>11313</v>
      </c>
      <c r="B4619" s="2" t="s">
        <v>11314</v>
      </c>
      <c r="C4619" s="2" t="s">
        <v>47</v>
      </c>
      <c r="D4619" s="2" t="s">
        <v>18</v>
      </c>
      <c r="E4619" s="3" t="s">
        <v>229</v>
      </c>
      <c r="F4619" s="3" t="s">
        <v>230</v>
      </c>
      <c r="G4619" s="3" t="s">
        <v>154</v>
      </c>
      <c r="H4619" s="2" t="s">
        <v>55</v>
      </c>
      <c r="I4619" s="2" t="s">
        <v>11315</v>
      </c>
      <c r="J4619" s="3" t="str">
        <f>HYPERLINK("https://www.boe.es/gazeta/dias/1809/02/26/pdfs/GMD-1809-57.pdf#page=3","Abrir facsímil")</f>
        <v>Abrir facsímil</v>
      </c>
      <c r="K4619" s="3" t="s">
        <v>57</v>
      </c>
    </row>
    <row r="4620" spans="1:11" ht="42" customHeight="1">
      <c r="A4620" s="2" t="s">
        <v>11316</v>
      </c>
      <c r="B4620" s="2" t="s">
        <v>11316</v>
      </c>
      <c r="C4620" s="2" t="s">
        <v>25</v>
      </c>
      <c r="D4620" s="2" t="s">
        <v>80</v>
      </c>
      <c r="E4620" s="3" t="s">
        <v>755</v>
      </c>
      <c r="F4620" s="3" t="s">
        <v>2335</v>
      </c>
      <c r="G4620" s="3" t="s">
        <v>2337</v>
      </c>
      <c r="H4620" s="2" t="s">
        <v>55</v>
      </c>
      <c r="I4620" s="2" t="s">
        <v>11317</v>
      </c>
      <c r="J4620" s="3" t="str">
        <f>HYPERLINK("https://www.boe.es/gazeta/dias/1809/05/20/pdfs/GGB-1809-29E2.pdf#page=2","Abrir facsímil")</f>
        <v>Abrir facsímil</v>
      </c>
      <c r="K4620" s="3" t="s">
        <v>57</v>
      </c>
    </row>
    <row r="4621" spans="1:11" ht="42" customHeight="1">
      <c r="A4621" s="2" t="s">
        <v>11316</v>
      </c>
      <c r="B4621" s="2" t="s">
        <v>11316</v>
      </c>
      <c r="C4621" s="2" t="s">
        <v>17</v>
      </c>
      <c r="D4621" s="2" t="s">
        <v>72</v>
      </c>
      <c r="E4621" s="3" t="s">
        <v>190</v>
      </c>
      <c r="F4621" s="3" t="s">
        <v>3505</v>
      </c>
      <c r="G4621" s="3" t="s">
        <v>1278</v>
      </c>
      <c r="H4621" s="2" t="s">
        <v>55</v>
      </c>
      <c r="I4621" s="2" t="s">
        <v>11318</v>
      </c>
      <c r="J4621" s="3" t="str">
        <f>HYPERLINK("https://www.boe.es/gazeta/dias/1809/10/14/pdfs/GGB-H-1809-322.pdf#page=6","Abrir facsímil")</f>
        <v>Abrir facsímil</v>
      </c>
      <c r="K4621" s="3" t="s">
        <v>57</v>
      </c>
    </row>
    <row r="4622" spans="1:11" ht="42" customHeight="1">
      <c r="A4622" s="2" t="s">
        <v>11319</v>
      </c>
      <c r="B4622" s="2" t="s">
        <v>11320</v>
      </c>
      <c r="C4622" s="2" t="s">
        <v>17</v>
      </c>
      <c r="D4622" s="2" t="s">
        <v>18</v>
      </c>
      <c r="E4622" s="3" t="s">
        <v>1551</v>
      </c>
      <c r="F4622" s="3" t="s">
        <v>1552</v>
      </c>
      <c r="G4622" s="3" t="s">
        <v>169</v>
      </c>
      <c r="H4622" s="2" t="s">
        <v>55</v>
      </c>
      <c r="I4622" s="2" t="s">
        <v>11321</v>
      </c>
      <c r="J4622" s="3" t="str">
        <f>HYPERLINK("https://www.boe.es/gazeta/dias/1809/06/12/pdfs/GGB-1809-36.pdf#page=11","Abrir facsímil")</f>
        <v>Abrir facsímil</v>
      </c>
      <c r="K4622" s="3" t="s">
        <v>57</v>
      </c>
    </row>
    <row r="4623" spans="1:11" ht="42" customHeight="1">
      <c r="A4623" s="2" t="s">
        <v>11322</v>
      </c>
      <c r="B4623" s="2" t="s">
        <v>11323</v>
      </c>
      <c r="C4623" s="2" t="s">
        <v>17</v>
      </c>
      <c r="D4623" s="2" t="s">
        <v>72</v>
      </c>
      <c r="E4623" s="3" t="s">
        <v>243</v>
      </c>
      <c r="F4623" s="3" t="s">
        <v>244</v>
      </c>
      <c r="G4623" s="3" t="s">
        <v>541</v>
      </c>
      <c r="H4623" s="2" t="s">
        <v>55</v>
      </c>
      <c r="I4623" s="2" t="s">
        <v>11324</v>
      </c>
      <c r="J4623" s="3" t="str">
        <f>HYPERLINK("https://www.boe.es/gazeta/dias/1809/02/17/pdfs/GGB-G-1809-8.pdf#page=8","Abrir facsímil")</f>
        <v>Abrir facsímil</v>
      </c>
      <c r="K4623" s="3" t="s">
        <v>57</v>
      </c>
    </row>
    <row r="4624" spans="1:11" ht="42" customHeight="1">
      <c r="A4624" s="2" t="s">
        <v>11325</v>
      </c>
      <c r="B4624" s="2" t="s">
        <v>11326</v>
      </c>
      <c r="C4624" s="2" t="s">
        <v>131</v>
      </c>
      <c r="D4624" s="2" t="s">
        <v>40</v>
      </c>
      <c r="E4624" s="3" t="s">
        <v>294</v>
      </c>
      <c r="F4624" s="3" t="s">
        <v>295</v>
      </c>
      <c r="G4624" s="3" t="s">
        <v>998</v>
      </c>
      <c r="H4624" s="2" t="s">
        <v>55</v>
      </c>
      <c r="I4624" s="2" t="s">
        <v>11327</v>
      </c>
      <c r="J4624" s="3" t="str">
        <f>HYPERLINK("https://www.boe.es/gazeta/dias/1809/09/30/pdfs/GGB-H-1809-262.pdf#page=4","Abrir facsímil")</f>
        <v>Abrir facsímil</v>
      </c>
      <c r="K4624" s="3" t="s">
        <v>57</v>
      </c>
    </row>
    <row r="4625" spans="1:11" ht="42" customHeight="1">
      <c r="A4625" s="2" t="s">
        <v>11328</v>
      </c>
      <c r="B4625" s="2" t="s">
        <v>11329</v>
      </c>
      <c r="C4625" s="2" t="s">
        <v>25</v>
      </c>
      <c r="D4625" s="2" t="s">
        <v>80</v>
      </c>
      <c r="E4625" s="3" t="s">
        <v>179</v>
      </c>
      <c r="F4625" s="3" t="s">
        <v>180</v>
      </c>
      <c r="G4625" s="3" t="s">
        <v>966</v>
      </c>
      <c r="H4625" s="2" t="s">
        <v>55</v>
      </c>
      <c r="I4625" s="2" t="s">
        <v>11330</v>
      </c>
      <c r="J4625" s="3" t="str">
        <f>HYPERLINK("https://www.boe.es/gazeta/dias/1809/12/08/pdfs/GGB-1809-552E.pdf#page=3","Abrir facsímil")</f>
        <v>Abrir facsímil</v>
      </c>
      <c r="K4625" s="3" t="s">
        <v>57</v>
      </c>
    </row>
    <row r="4626" spans="1:11" ht="42" customHeight="1">
      <c r="A4626" s="2" t="s">
        <v>11331</v>
      </c>
      <c r="B4626" s="2" t="s">
        <v>11331</v>
      </c>
      <c r="C4626" s="2" t="s">
        <v>25</v>
      </c>
      <c r="D4626" s="2" t="s">
        <v>26</v>
      </c>
      <c r="E4626" s="3" t="s">
        <v>211</v>
      </c>
      <c r="F4626" s="3" t="s">
        <v>212</v>
      </c>
      <c r="G4626" s="3" t="s">
        <v>213</v>
      </c>
      <c r="H4626" s="2" t="s">
        <v>55</v>
      </c>
      <c r="I4626" s="2" t="s">
        <v>11332</v>
      </c>
      <c r="J4626" s="3" t="str">
        <f>HYPERLINK("https://www.boe.es/gazeta/dias/1809/10/27/pdfs/GMD-1809-301.pdf#page=4","Abrir facsímil")</f>
        <v>Abrir facsímil</v>
      </c>
      <c r="K4626" s="3" t="s">
        <v>57</v>
      </c>
    </row>
    <row r="4627" spans="1:11" ht="42" customHeight="1">
      <c r="A4627" s="2" t="s">
        <v>11333</v>
      </c>
      <c r="B4627" s="2" t="s">
        <v>11334</v>
      </c>
      <c r="C4627" s="2" t="s">
        <v>17</v>
      </c>
      <c r="D4627" s="2" t="s">
        <v>18</v>
      </c>
      <c r="E4627" s="3" t="s">
        <v>755</v>
      </c>
      <c r="F4627" s="3" t="s">
        <v>756</v>
      </c>
      <c r="G4627" s="3" t="s">
        <v>525</v>
      </c>
      <c r="H4627" s="2" t="s">
        <v>55</v>
      </c>
      <c r="I4627" s="2" t="s">
        <v>11335</v>
      </c>
      <c r="J4627" s="3" t="str">
        <f>HYPERLINK("https://www.boe.es/gazeta/dias/1809/05/20/pdfs/GMD-1809-140.pdf#page=4","Abrir facsímil")</f>
        <v>Abrir facsímil</v>
      </c>
      <c r="K4627" s="3" t="s">
        <v>57</v>
      </c>
    </row>
    <row r="4628" spans="1:11" ht="42" customHeight="1">
      <c r="A4628" s="2" t="s">
        <v>11336</v>
      </c>
      <c r="B4628" s="2" t="s">
        <v>11337</v>
      </c>
      <c r="C4628" s="2" t="s">
        <v>25</v>
      </c>
      <c r="D4628" s="2" t="s">
        <v>26</v>
      </c>
      <c r="E4628" s="3" t="s">
        <v>143</v>
      </c>
      <c r="F4628" s="3" t="s">
        <v>705</v>
      </c>
      <c r="G4628" s="3" t="s">
        <v>110</v>
      </c>
      <c r="H4628" s="2" t="s">
        <v>55</v>
      </c>
      <c r="I4628" s="2" t="s">
        <v>11338</v>
      </c>
      <c r="J4628" s="3" t="str">
        <f>HYPERLINK("https://www.boe.es/gazeta/dias/1809/11/16/pdfs/GGB-H-1809-462.pdf#page=3","Abrir facsímil")</f>
        <v>Abrir facsímil</v>
      </c>
      <c r="K4628" s="3" t="s">
        <v>57</v>
      </c>
    </row>
    <row r="4629" spans="1:11" ht="42" customHeight="1">
      <c r="A4629" s="2" t="s">
        <v>11339</v>
      </c>
      <c r="B4629" s="2" t="s">
        <v>11340</v>
      </c>
      <c r="C4629" s="2" t="s">
        <v>131</v>
      </c>
      <c r="D4629" s="2" t="s">
        <v>26</v>
      </c>
      <c r="E4629" s="3" t="s">
        <v>1468</v>
      </c>
      <c r="F4629" s="3" t="s">
        <v>1469</v>
      </c>
      <c r="G4629" s="3" t="s">
        <v>1516</v>
      </c>
      <c r="H4629" s="2" t="s">
        <v>55</v>
      </c>
      <c r="I4629" s="2" t="s">
        <v>11341</v>
      </c>
      <c r="J4629" s="3" t="str">
        <f>HYPERLINK("https://www.boe.es/gazeta/dias/1809/02/12/pdfs/GMD-1809-43.pdf#page=2","Abrir facsímil")</f>
        <v>Abrir facsímil</v>
      </c>
      <c r="K4629" s="3" t="s">
        <v>57</v>
      </c>
    </row>
    <row r="4630" spans="1:11" ht="42" customHeight="1">
      <c r="A4630" s="2" t="s">
        <v>11342</v>
      </c>
      <c r="B4630" s="2" t="s">
        <v>11342</v>
      </c>
      <c r="C4630" s="2" t="s">
        <v>25</v>
      </c>
      <c r="D4630" s="2" t="s">
        <v>26</v>
      </c>
      <c r="E4630" s="3" t="s">
        <v>1269</v>
      </c>
      <c r="F4630" s="3" t="s">
        <v>3272</v>
      </c>
      <c r="G4630" s="3" t="s">
        <v>89</v>
      </c>
      <c r="H4630" s="2" t="s">
        <v>55</v>
      </c>
      <c r="I4630" s="2" t="s">
        <v>11343</v>
      </c>
      <c r="J4630" s="3" t="str">
        <f>HYPERLINK("https://www.boe.es/gazeta/dias/1809/08/12/pdfs/GMD-1809-225.pdf#page=2","Abrir facsímil")</f>
        <v>Abrir facsímil</v>
      </c>
      <c r="K4630" s="3" t="s">
        <v>57</v>
      </c>
    </row>
    <row r="4631" spans="1:11" ht="42" customHeight="1">
      <c r="A4631" s="2" t="s">
        <v>11344</v>
      </c>
      <c r="B4631" s="2" t="s">
        <v>11345</v>
      </c>
      <c r="C4631" s="2" t="s">
        <v>131</v>
      </c>
      <c r="D4631" s="2" t="s">
        <v>18</v>
      </c>
      <c r="E4631" s="3" t="s">
        <v>102</v>
      </c>
      <c r="F4631" s="3" t="s">
        <v>103</v>
      </c>
      <c r="G4631" s="3" t="s">
        <v>1706</v>
      </c>
      <c r="H4631" s="2" t="s">
        <v>55</v>
      </c>
      <c r="I4631" s="2" t="s">
        <v>11346</v>
      </c>
      <c r="J4631" s="3" t="str">
        <f>HYPERLINK("https://www.boe.es/gazeta/dias/1809/09/28/pdfs/GGB-1809-252.pdf#page=5","Abrir facsímil")</f>
        <v>Abrir facsímil</v>
      </c>
      <c r="K4631" s="3" t="s">
        <v>57</v>
      </c>
    </row>
    <row r="4632" spans="1:11" ht="42" customHeight="1">
      <c r="A4632" s="2" t="s">
        <v>11347</v>
      </c>
      <c r="B4632" s="2" t="s">
        <v>11348</v>
      </c>
      <c r="C4632" s="2" t="s">
        <v>25</v>
      </c>
      <c r="D4632" s="2" t="s">
        <v>26</v>
      </c>
      <c r="E4632" s="3" t="s">
        <v>1954</v>
      </c>
      <c r="F4632" s="3" t="s">
        <v>1955</v>
      </c>
      <c r="G4632" s="3" t="s">
        <v>1956</v>
      </c>
      <c r="H4632" s="2" t="s">
        <v>55</v>
      </c>
      <c r="I4632" s="2" t="s">
        <v>11349</v>
      </c>
      <c r="J4632" s="3" t="str">
        <f>HYPERLINK("https://www.boe.es/gazeta/dias/1809/11/08/pdfs/GMD-1809-313.pdf#page=4","Abrir facsímil")</f>
        <v>Abrir facsímil</v>
      </c>
      <c r="K4632" s="3" t="s">
        <v>57</v>
      </c>
    </row>
    <row r="4633" spans="1:11" ht="42" customHeight="1">
      <c r="A4633" s="2" t="s">
        <v>11350</v>
      </c>
      <c r="B4633" s="2" t="s">
        <v>11351</v>
      </c>
      <c r="C4633" s="2" t="s">
        <v>17</v>
      </c>
      <c r="D4633" s="2" t="s">
        <v>18</v>
      </c>
      <c r="E4633" s="3" t="s">
        <v>1468</v>
      </c>
      <c r="F4633" s="3" t="s">
        <v>1469</v>
      </c>
      <c r="G4633" s="3" t="s">
        <v>104</v>
      </c>
      <c r="H4633" s="2" t="s">
        <v>55</v>
      </c>
      <c r="I4633" s="2" t="s">
        <v>11352</v>
      </c>
      <c r="J4633" s="3" t="str">
        <f>HYPERLINK("https://www.boe.es/gazeta/dias/1809/02/12/pdfs/GMD-1809-43.pdf#page=6","Abrir facsímil")</f>
        <v>Abrir facsímil</v>
      </c>
      <c r="K4633" s="3" t="s">
        <v>57</v>
      </c>
    </row>
    <row r="4634" spans="1:11" ht="42" customHeight="1">
      <c r="A4634" s="2" t="s">
        <v>11353</v>
      </c>
      <c r="B4634" s="2" t="s">
        <v>11353</v>
      </c>
      <c r="C4634" s="2" t="s">
        <v>25</v>
      </c>
      <c r="D4634" s="2" t="s">
        <v>18</v>
      </c>
      <c r="E4634" s="3" t="s">
        <v>473</v>
      </c>
      <c r="F4634" s="3" t="s">
        <v>474</v>
      </c>
      <c r="G4634" s="3" t="s">
        <v>234</v>
      </c>
      <c r="H4634" s="2" t="s">
        <v>55</v>
      </c>
      <c r="I4634" s="2" t="s">
        <v>11354</v>
      </c>
      <c r="J4634" s="3" t="str">
        <f>HYPERLINK("https://www.boe.es/gazeta/dias/1809/12/28/pdfs/GMD-1809-363.pdf#page=3","Abrir facsímil")</f>
        <v>Abrir facsímil</v>
      </c>
      <c r="K4634" s="3" t="s">
        <v>57</v>
      </c>
    </row>
    <row r="4635" spans="1:11" ht="42" customHeight="1">
      <c r="A4635" s="2" t="s">
        <v>11355</v>
      </c>
      <c r="B4635" s="2" t="s">
        <v>11356</v>
      </c>
      <c r="C4635" s="2" t="s">
        <v>25</v>
      </c>
      <c r="D4635" s="2" t="s">
        <v>72</v>
      </c>
      <c r="E4635" s="3" t="s">
        <v>143</v>
      </c>
      <c r="F4635" s="3" t="s">
        <v>705</v>
      </c>
      <c r="G4635" s="3" t="s">
        <v>225</v>
      </c>
      <c r="H4635" s="2" t="s">
        <v>55</v>
      </c>
      <c r="I4635" s="2" t="s">
        <v>11357</v>
      </c>
      <c r="J4635" s="3" t="str">
        <f>HYPERLINK("https://www.boe.es/gazeta/dias/1809/11/16/pdfs/GGB-H-1809-462.pdf#page=4","Abrir facsímil")</f>
        <v>Abrir facsímil</v>
      </c>
      <c r="K4635" s="3" t="s">
        <v>57</v>
      </c>
    </row>
    <row r="4636" spans="1:11" ht="42" customHeight="1">
      <c r="A4636" s="2" t="s">
        <v>11358</v>
      </c>
      <c r="B4636" s="2" t="s">
        <v>11359</v>
      </c>
      <c r="C4636" s="2" t="s">
        <v>25</v>
      </c>
      <c r="D4636" s="2" t="s">
        <v>40</v>
      </c>
      <c r="E4636" s="3" t="s">
        <v>216</v>
      </c>
      <c r="F4636" s="3" t="s">
        <v>217</v>
      </c>
      <c r="G4636" s="3" t="s">
        <v>439</v>
      </c>
      <c r="H4636" s="2" t="s">
        <v>55</v>
      </c>
      <c r="I4636" s="2" t="s">
        <v>11360</v>
      </c>
      <c r="J4636" s="3" t="str">
        <f>HYPERLINK("https://www.boe.es/gazeta/dias/1809/12/05/pdfs/GGB-H-1809-542.pdf#page=7","Abrir facsímil")</f>
        <v>Abrir facsímil</v>
      </c>
      <c r="K4636" s="3" t="s">
        <v>57</v>
      </c>
    </row>
    <row r="4637" spans="1:11" ht="42" customHeight="1">
      <c r="A4637" s="2" t="s">
        <v>11361</v>
      </c>
      <c r="B4637" s="2" t="s">
        <v>11362</v>
      </c>
      <c r="C4637" s="2" t="s">
        <v>17</v>
      </c>
      <c r="D4637" s="2" t="s">
        <v>18</v>
      </c>
      <c r="E4637" s="3" t="s">
        <v>567</v>
      </c>
      <c r="F4637" s="3" t="s">
        <v>568</v>
      </c>
      <c r="G4637" s="3" t="s">
        <v>225</v>
      </c>
      <c r="H4637" s="2" t="s">
        <v>55</v>
      </c>
      <c r="I4637" s="2" t="s">
        <v>11363</v>
      </c>
      <c r="J4637" s="3" t="str">
        <f>HYPERLINK("https://www.boe.es/gazeta/dias/1809/06/03/pdfs/GMD-1809-154.pdf#page=4","Abrir facsímil")</f>
        <v>Abrir facsímil</v>
      </c>
      <c r="K4637" s="3" t="s">
        <v>57</v>
      </c>
    </row>
    <row r="4638" spans="1:11" ht="42" customHeight="1">
      <c r="A4638" s="2" t="s">
        <v>11361</v>
      </c>
      <c r="B4638" s="2" t="s">
        <v>11362</v>
      </c>
      <c r="C4638" s="2" t="s">
        <v>17</v>
      </c>
      <c r="D4638" s="2" t="s">
        <v>18</v>
      </c>
      <c r="E4638" s="3" t="s">
        <v>232</v>
      </c>
      <c r="F4638" s="3" t="s">
        <v>233</v>
      </c>
      <c r="G4638" s="3" t="s">
        <v>234</v>
      </c>
      <c r="H4638" s="2" t="s">
        <v>55</v>
      </c>
      <c r="I4638" s="2" t="s">
        <v>11364</v>
      </c>
      <c r="J4638" s="3" t="str">
        <f>HYPERLINK("https://www.boe.es/gazeta/dias/1809/06/04/pdfs/GMD-1809-155.pdf#page=4","Abrir facsímil")</f>
        <v>Abrir facsímil</v>
      </c>
      <c r="K4638" s="3" t="s">
        <v>57</v>
      </c>
    </row>
    <row r="4639" spans="1:11" ht="42" customHeight="1">
      <c r="A4639" s="2" t="s">
        <v>11365</v>
      </c>
      <c r="B4639" s="2" t="s">
        <v>11366</v>
      </c>
      <c r="C4639" s="2" t="s">
        <v>17</v>
      </c>
      <c r="D4639" s="2" t="s">
        <v>18</v>
      </c>
      <c r="E4639" s="3" t="s">
        <v>33</v>
      </c>
      <c r="F4639" s="3" t="s">
        <v>34</v>
      </c>
      <c r="G4639" s="3" t="s">
        <v>35</v>
      </c>
      <c r="H4639" s="2" t="s">
        <v>55</v>
      </c>
      <c r="I4639" s="2" t="s">
        <v>11367</v>
      </c>
      <c r="J4639" s="3" t="str">
        <f>HYPERLINK("https://www.boe.es/gazeta/dias/1809/12/19/pdfs/GGB-1809-602.pdf#page=5","Abrir facsímil")</f>
        <v>Abrir facsímil</v>
      </c>
      <c r="K4639" s="3" t="s">
        <v>57</v>
      </c>
    </row>
    <row r="4640" spans="1:11" ht="42" customHeight="1">
      <c r="A4640" s="2" t="s">
        <v>11368</v>
      </c>
      <c r="B4640" s="2" t="s">
        <v>11368</v>
      </c>
      <c r="C4640" s="2" t="s">
        <v>17</v>
      </c>
      <c r="D4640" s="2" t="s">
        <v>18</v>
      </c>
      <c r="E4640" s="3" t="s">
        <v>207</v>
      </c>
      <c r="F4640" s="3" t="s">
        <v>2864</v>
      </c>
      <c r="G4640" s="3" t="s">
        <v>6383</v>
      </c>
      <c r="H4640" s="2" t="s">
        <v>55</v>
      </c>
      <c r="I4640" s="2" t="s">
        <v>11369</v>
      </c>
      <c r="J4640" s="3" t="str">
        <f>HYPERLINK("https://www.boe.es/gazeta/dias/1809/09/16/pdfs/GGB-1809-202.pdf#page=7","Abrir facsímil")</f>
        <v>Abrir facsímil</v>
      </c>
      <c r="K4640" s="3" t="s">
        <v>57</v>
      </c>
    </row>
    <row r="4641" spans="1:11" ht="42" customHeight="1">
      <c r="A4641" s="2" t="s">
        <v>11370</v>
      </c>
      <c r="B4641" s="2" t="s">
        <v>11371</v>
      </c>
      <c r="C4641" s="2" t="s">
        <v>17</v>
      </c>
      <c r="D4641" s="2" t="s">
        <v>18</v>
      </c>
      <c r="E4641" s="3" t="s">
        <v>3714</v>
      </c>
      <c r="F4641" s="3" t="s">
        <v>4205</v>
      </c>
      <c r="G4641" s="3" t="s">
        <v>623</v>
      </c>
      <c r="H4641" s="2" t="s">
        <v>55</v>
      </c>
      <c r="I4641" s="2" t="s">
        <v>11372</v>
      </c>
      <c r="J4641" s="3" t="str">
        <f>HYPERLINK("https://www.boe.es/gazeta/dias/1809/12/07/pdfs/GGB-1809-552.pdf#page=6","Abrir facsímil")</f>
        <v>Abrir facsímil</v>
      </c>
      <c r="K4641" s="3" t="s">
        <v>57</v>
      </c>
    </row>
    <row r="4642" spans="1:11" ht="42" customHeight="1">
      <c r="A4642" s="2" t="s">
        <v>11373</v>
      </c>
      <c r="B4642" s="2" t="s">
        <v>11374</v>
      </c>
      <c r="C4642" s="2" t="s">
        <v>17</v>
      </c>
      <c r="D4642" s="2" t="s">
        <v>18</v>
      </c>
      <c r="E4642" s="3" t="s">
        <v>442</v>
      </c>
      <c r="F4642" s="3" t="s">
        <v>2171</v>
      </c>
      <c r="G4642" s="3" t="s">
        <v>2172</v>
      </c>
      <c r="H4642" s="2" t="s">
        <v>55</v>
      </c>
      <c r="I4642" s="2" t="s">
        <v>11375</v>
      </c>
      <c r="J4642" s="3" t="str">
        <f>HYPERLINK("https://www.boe.es/gazeta/dias/1809/09/05/pdfs/GMD-1809-249.pdf#page=4","Abrir facsímil")</f>
        <v>Abrir facsímil</v>
      </c>
      <c r="K4642" s="3" t="s">
        <v>57</v>
      </c>
    </row>
    <row r="4643" spans="1:11" ht="42" customHeight="1">
      <c r="A4643" s="2" t="s">
        <v>11376</v>
      </c>
      <c r="B4643" s="2" t="s">
        <v>11377</v>
      </c>
      <c r="C4643" s="2" t="s">
        <v>17</v>
      </c>
      <c r="D4643" s="2" t="s">
        <v>18</v>
      </c>
      <c r="E4643" s="3" t="s">
        <v>87</v>
      </c>
      <c r="F4643" s="3" t="s">
        <v>88</v>
      </c>
      <c r="G4643" s="3" t="s">
        <v>239</v>
      </c>
      <c r="H4643" s="2" t="s">
        <v>55</v>
      </c>
      <c r="I4643" s="2" t="s">
        <v>11378</v>
      </c>
      <c r="J4643" s="3" t="str">
        <f>HYPERLINK("https://www.boe.es/gazeta/dias/1809/02/15/pdfs/GMD-1809-46.pdf#page=3","Abrir facsímil")</f>
        <v>Abrir facsímil</v>
      </c>
      <c r="K4643" s="3" t="s">
        <v>57</v>
      </c>
    </row>
    <row r="4644" spans="1:11" ht="42" customHeight="1">
      <c r="A4644" s="2" t="s">
        <v>11379</v>
      </c>
      <c r="B4644" s="2" t="s">
        <v>11379</v>
      </c>
      <c r="C4644" s="2" t="s">
        <v>25</v>
      </c>
      <c r="D4644" s="2" t="s">
        <v>26</v>
      </c>
      <c r="E4644" s="3" t="s">
        <v>33</v>
      </c>
      <c r="F4644" s="3" t="s">
        <v>34</v>
      </c>
      <c r="G4644" s="3" t="s">
        <v>6838</v>
      </c>
      <c r="H4644" s="2" t="s">
        <v>55</v>
      </c>
      <c r="I4644" s="2" t="s">
        <v>11380</v>
      </c>
      <c r="J4644" s="3" t="str">
        <f>HYPERLINK("https://www.boe.es/gazeta/dias/1809/12/19/pdfs/GGB-1809-602.pdf#page=4","Abrir facsímil")</f>
        <v>Abrir facsímil</v>
      </c>
      <c r="K4644" s="3" t="s">
        <v>57</v>
      </c>
    </row>
    <row r="4645" spans="1:11" ht="42" customHeight="1">
      <c r="A4645" s="2" t="s">
        <v>11381</v>
      </c>
      <c r="B4645" s="2" t="s">
        <v>11381</v>
      </c>
      <c r="C4645" s="2" t="s">
        <v>25</v>
      </c>
      <c r="D4645" s="2" t="s">
        <v>18</v>
      </c>
      <c r="E4645" s="3" t="s">
        <v>749</v>
      </c>
      <c r="F4645" s="3" t="s">
        <v>750</v>
      </c>
      <c r="G4645" s="3" t="s">
        <v>2181</v>
      </c>
      <c r="H4645" s="2" t="s">
        <v>55</v>
      </c>
      <c r="I4645" s="2" t="s">
        <v>11382</v>
      </c>
      <c r="J4645" s="3" t="str">
        <f>HYPERLINK("https://www.boe.es/gazeta/dias/1809/05/19/pdfs/GGB-1809-29.pdf#page=1","Abrir facsímil")</f>
        <v>Abrir facsímil</v>
      </c>
      <c r="K4645" s="3" t="s">
        <v>57</v>
      </c>
    </row>
    <row r="4646" spans="1:11" ht="42" customHeight="1">
      <c r="A4646" s="2" t="s">
        <v>11381</v>
      </c>
      <c r="B4646" s="2" t="s">
        <v>11381</v>
      </c>
      <c r="C4646" s="2" t="s">
        <v>25</v>
      </c>
      <c r="D4646" s="2" t="s">
        <v>18</v>
      </c>
      <c r="E4646" s="3" t="s">
        <v>814</v>
      </c>
      <c r="F4646" s="3" t="s">
        <v>815</v>
      </c>
      <c r="G4646" s="3" t="s">
        <v>11383</v>
      </c>
      <c r="H4646" s="2" t="s">
        <v>55</v>
      </c>
      <c r="I4646" s="2" t="s">
        <v>11384</v>
      </c>
      <c r="J4646" s="3" t="str">
        <f>HYPERLINK("https://www.boe.es/gazeta/dias/1809/12/09/pdfs/GGB-1809-562.pdf#page=8","Abrir facsímil")</f>
        <v>Abrir facsímil</v>
      </c>
      <c r="K4646" s="3" t="s">
        <v>57</v>
      </c>
    </row>
    <row r="4647" spans="1:11" ht="42" customHeight="1">
      <c r="A4647" s="2" t="s">
        <v>11385</v>
      </c>
      <c r="B4647" s="2" t="s">
        <v>11386</v>
      </c>
      <c r="C4647" s="2" t="s">
        <v>17</v>
      </c>
      <c r="D4647" s="2" t="s">
        <v>72</v>
      </c>
      <c r="E4647" s="3" t="s">
        <v>243</v>
      </c>
      <c r="F4647" s="3" t="s">
        <v>244</v>
      </c>
      <c r="G4647" s="3" t="s">
        <v>110</v>
      </c>
      <c r="H4647" s="2" t="s">
        <v>55</v>
      </c>
      <c r="I4647" s="2" t="s">
        <v>11387</v>
      </c>
      <c r="J4647" s="3" t="str">
        <f>HYPERLINK("https://www.boe.es/gazeta/dias/1809/02/17/pdfs/GGB-G-1809-8.pdf#page=6","Abrir facsímil")</f>
        <v>Abrir facsímil</v>
      </c>
      <c r="K4647" s="3" t="s">
        <v>57</v>
      </c>
    </row>
    <row r="4648" spans="1:11" ht="42" customHeight="1">
      <c r="A4648" s="2" t="s">
        <v>11388</v>
      </c>
      <c r="B4648" s="2" t="s">
        <v>11389</v>
      </c>
      <c r="C4648" s="2" t="s">
        <v>17</v>
      </c>
      <c r="D4648" s="2" t="s">
        <v>18</v>
      </c>
      <c r="E4648" s="3" t="s">
        <v>33</v>
      </c>
      <c r="F4648" s="3" t="s">
        <v>34</v>
      </c>
      <c r="G4648" s="3" t="s">
        <v>493</v>
      </c>
      <c r="H4648" s="2" t="s">
        <v>55</v>
      </c>
      <c r="I4648" s="2" t="s">
        <v>11390</v>
      </c>
      <c r="J4648" s="3" t="str">
        <f>HYPERLINK("https://www.boe.es/gazeta/dias/1809/12/19/pdfs/GGB-1809-602.pdf#page=6","Abrir facsímil")</f>
        <v>Abrir facsímil</v>
      </c>
      <c r="K4648" s="3" t="s">
        <v>57</v>
      </c>
    </row>
    <row r="4649" spans="1:11" ht="42" customHeight="1">
      <c r="A4649" s="2" t="s">
        <v>11391</v>
      </c>
      <c r="B4649" s="2" t="s">
        <v>11392</v>
      </c>
      <c r="C4649" s="2" t="s">
        <v>79</v>
      </c>
      <c r="D4649" s="2" t="s">
        <v>18</v>
      </c>
      <c r="E4649" s="3" t="s">
        <v>102</v>
      </c>
      <c r="F4649" s="3" t="s">
        <v>103</v>
      </c>
      <c r="G4649" s="3" t="s">
        <v>104</v>
      </c>
      <c r="H4649" s="2" t="s">
        <v>55</v>
      </c>
      <c r="I4649" s="2" t="s">
        <v>11393</v>
      </c>
      <c r="J4649" s="3" t="str">
        <f>HYPERLINK("https://www.boe.es/gazeta/dias/1809/09/28/pdfs/GGB-1809-252.pdf#page=8","Abrir facsímil")</f>
        <v>Abrir facsímil</v>
      </c>
      <c r="K4649" s="3" t="s">
        <v>57</v>
      </c>
    </row>
    <row r="4650" spans="1:11" ht="42" customHeight="1">
      <c r="A4650" s="2" t="s">
        <v>11394</v>
      </c>
      <c r="B4650" s="2" t="s">
        <v>11395</v>
      </c>
      <c r="C4650" s="2" t="s">
        <v>17</v>
      </c>
      <c r="D4650" s="2" t="s">
        <v>18</v>
      </c>
      <c r="E4650" s="3" t="s">
        <v>258</v>
      </c>
      <c r="F4650" s="3" t="s">
        <v>910</v>
      </c>
      <c r="G4650" s="3" t="s">
        <v>1152</v>
      </c>
      <c r="H4650" s="2" t="s">
        <v>55</v>
      </c>
      <c r="I4650" s="2" t="s">
        <v>11396</v>
      </c>
      <c r="J4650" s="3" t="str">
        <f>HYPERLINK("https://www.boe.es/gazeta/dias/1809/03/17/pdfs/GGB-1809-12.pdf#page=11","Abrir facsímil")</f>
        <v>Abrir facsímil</v>
      </c>
      <c r="K4650" s="3" t="s">
        <v>57</v>
      </c>
    </row>
    <row r="4651" spans="1:11" ht="42" customHeight="1">
      <c r="A4651" s="2" t="s">
        <v>11397</v>
      </c>
      <c r="B4651" s="2" t="s">
        <v>11398</v>
      </c>
      <c r="C4651" s="2" t="s">
        <v>131</v>
      </c>
      <c r="D4651" s="2" t="s">
        <v>18</v>
      </c>
      <c r="E4651" s="3" t="s">
        <v>2473</v>
      </c>
      <c r="F4651" s="3" t="s">
        <v>2474</v>
      </c>
      <c r="G4651" s="3" t="s">
        <v>29</v>
      </c>
      <c r="H4651" s="2" t="s">
        <v>55</v>
      </c>
      <c r="I4651" s="2" t="s">
        <v>11399</v>
      </c>
      <c r="J4651" s="3" t="str">
        <f>HYPERLINK("https://www.boe.es/gazeta/dias/1809/02/16/pdfs/GMD-1809-47.pdf#page=3","Abrir facsímil")</f>
        <v>Abrir facsímil</v>
      </c>
      <c r="K4651" s="3" t="s">
        <v>57</v>
      </c>
    </row>
    <row r="4652" spans="1:11" ht="42" customHeight="1">
      <c r="A4652" s="2" t="s">
        <v>11400</v>
      </c>
      <c r="B4652" s="2" t="s">
        <v>11401</v>
      </c>
      <c r="C4652" s="2" t="s">
        <v>17</v>
      </c>
      <c r="D4652" s="2" t="s">
        <v>18</v>
      </c>
      <c r="E4652" s="3" t="s">
        <v>102</v>
      </c>
      <c r="F4652" s="3" t="s">
        <v>1095</v>
      </c>
      <c r="G4652" s="3" t="s">
        <v>29</v>
      </c>
      <c r="H4652" s="2" t="s">
        <v>55</v>
      </c>
      <c r="I4652" s="2" t="s">
        <v>11402</v>
      </c>
      <c r="J4652" s="3" t="str">
        <f>HYPERLINK("https://www.boe.es/gazeta/dias/1809/09/28/pdfs/GMD-1809-272.pdf#page=3","Abrir facsímil")</f>
        <v>Abrir facsímil</v>
      </c>
      <c r="K4652" s="3" t="s">
        <v>57</v>
      </c>
    </row>
    <row r="4653" spans="1:11" ht="42" customHeight="1">
      <c r="A4653" s="2" t="s">
        <v>11400</v>
      </c>
      <c r="B4653" s="2" t="s">
        <v>11401</v>
      </c>
      <c r="C4653" s="2" t="s">
        <v>17</v>
      </c>
      <c r="D4653" s="2" t="s">
        <v>18</v>
      </c>
      <c r="E4653" s="3" t="s">
        <v>3714</v>
      </c>
      <c r="F4653" s="3" t="s">
        <v>4205</v>
      </c>
      <c r="G4653" s="3" t="s">
        <v>789</v>
      </c>
      <c r="H4653" s="2" t="s">
        <v>55</v>
      </c>
      <c r="I4653" s="2" t="s">
        <v>11403</v>
      </c>
      <c r="J4653" s="3" t="str">
        <f>HYPERLINK("https://www.boe.es/gazeta/dias/1809/12/07/pdfs/GGB-1809-552.pdf#page=8","Abrir facsímil")</f>
        <v>Abrir facsímil</v>
      </c>
      <c r="K4653" s="3" t="s">
        <v>57</v>
      </c>
    </row>
    <row r="4654" spans="1:11" ht="42" customHeight="1">
      <c r="A4654" s="2" t="s">
        <v>11400</v>
      </c>
      <c r="B4654" s="2" t="s">
        <v>11401</v>
      </c>
      <c r="C4654" s="2" t="s">
        <v>25</v>
      </c>
      <c r="D4654" s="2" t="s">
        <v>18</v>
      </c>
      <c r="E4654" s="3" t="s">
        <v>814</v>
      </c>
      <c r="F4654" s="3" t="s">
        <v>815</v>
      </c>
      <c r="G4654" s="3" t="s">
        <v>948</v>
      </c>
      <c r="H4654" s="2" t="s">
        <v>55</v>
      </c>
      <c r="I4654" s="2" t="s">
        <v>11404</v>
      </c>
      <c r="J4654" s="3" t="str">
        <f>HYPERLINK("https://www.boe.es/gazeta/dias/1809/12/09/pdfs/GGB-1809-562.pdf#page=7","Abrir facsímil")</f>
        <v>Abrir facsímil</v>
      </c>
      <c r="K4654" s="3" t="s">
        <v>57</v>
      </c>
    </row>
    <row r="4655" spans="1:11" ht="42" customHeight="1">
      <c r="A4655" s="2" t="s">
        <v>11405</v>
      </c>
      <c r="B4655" s="2" t="s">
        <v>11406</v>
      </c>
      <c r="C4655" s="2" t="s">
        <v>25</v>
      </c>
      <c r="D4655" s="2" t="s">
        <v>18</v>
      </c>
      <c r="E4655" s="3" t="s">
        <v>589</v>
      </c>
      <c r="F4655" s="3" t="s">
        <v>590</v>
      </c>
      <c r="G4655" s="3" t="s">
        <v>3670</v>
      </c>
      <c r="H4655" s="2" t="s">
        <v>55</v>
      </c>
      <c r="I4655" s="2" t="s">
        <v>11407</v>
      </c>
      <c r="J4655" s="3" t="str">
        <f>HYPERLINK("https://www.boe.es/gazeta/dias/1809/10/05/pdfs/GGB-1809-282.pdf#page=7","Abrir facsímil")</f>
        <v>Abrir facsímil</v>
      </c>
      <c r="K4655" s="3" t="s">
        <v>57</v>
      </c>
    </row>
    <row r="4656" spans="1:11" ht="42" customHeight="1">
      <c r="A4656" s="2" t="s">
        <v>11408</v>
      </c>
      <c r="B4656" s="2" t="s">
        <v>11409</v>
      </c>
      <c r="C4656" s="2" t="s">
        <v>17</v>
      </c>
      <c r="D4656" s="2" t="s">
        <v>72</v>
      </c>
      <c r="E4656" s="3" t="s">
        <v>243</v>
      </c>
      <c r="F4656" s="3" t="s">
        <v>244</v>
      </c>
      <c r="G4656" s="3" t="s">
        <v>110</v>
      </c>
      <c r="H4656" s="2" t="s">
        <v>55</v>
      </c>
      <c r="I4656" s="2" t="s">
        <v>11410</v>
      </c>
      <c r="J4656" s="3" t="str">
        <f>HYPERLINK("https://www.boe.es/gazeta/dias/1809/02/17/pdfs/GGB-G-1809-8.pdf#page=6","Abrir facsímil")</f>
        <v>Abrir facsímil</v>
      </c>
      <c r="K4656" s="3" t="s">
        <v>57</v>
      </c>
    </row>
    <row r="4657" spans="1:11" ht="42" customHeight="1">
      <c r="A4657" s="2" t="s">
        <v>11411</v>
      </c>
      <c r="B4657" s="2" t="s">
        <v>11412</v>
      </c>
      <c r="C4657" s="2" t="s">
        <v>17</v>
      </c>
      <c r="D4657" s="2" t="s">
        <v>18</v>
      </c>
      <c r="E4657" s="3" t="s">
        <v>1898</v>
      </c>
      <c r="F4657" s="3" t="s">
        <v>1970</v>
      </c>
      <c r="G4657" s="3" t="s">
        <v>154</v>
      </c>
      <c r="H4657" s="2" t="s">
        <v>55</v>
      </c>
      <c r="I4657" s="2" t="s">
        <v>11413</v>
      </c>
      <c r="J4657" s="3" t="str">
        <f>HYPERLINK("https://www.boe.es/gazeta/dias/1809/12/02/pdfs/GMD-1809-337.pdf#page=4","Abrir facsímil")</f>
        <v>Abrir facsímil</v>
      </c>
      <c r="K4657" s="3" t="s">
        <v>57</v>
      </c>
    </row>
    <row r="4658" spans="1:11" ht="42" customHeight="1">
      <c r="A4658" s="2" t="s">
        <v>11414</v>
      </c>
      <c r="B4658" s="2" t="s">
        <v>11415</v>
      </c>
      <c r="C4658" s="2" t="s">
        <v>17</v>
      </c>
      <c r="D4658" s="2" t="s">
        <v>18</v>
      </c>
      <c r="E4658" s="3" t="s">
        <v>1468</v>
      </c>
      <c r="F4658" s="3" t="s">
        <v>1469</v>
      </c>
      <c r="G4658" s="3" t="s">
        <v>104</v>
      </c>
      <c r="H4658" s="2" t="s">
        <v>55</v>
      </c>
      <c r="I4658" s="2" t="s">
        <v>11416</v>
      </c>
      <c r="J4658" s="3" t="str">
        <f>HYPERLINK("https://www.boe.es/gazeta/dias/1809/02/12/pdfs/GMD-1809-43.pdf#page=6","Abrir facsímil")</f>
        <v>Abrir facsímil</v>
      </c>
      <c r="K4658" s="3" t="s">
        <v>57</v>
      </c>
    </row>
    <row r="4659" spans="1:11" ht="42" customHeight="1">
      <c r="A4659" s="2" t="s">
        <v>11417</v>
      </c>
      <c r="B4659" s="2" t="s">
        <v>11418</v>
      </c>
      <c r="C4659" s="2" t="s">
        <v>25</v>
      </c>
      <c r="D4659" s="2" t="s">
        <v>26</v>
      </c>
      <c r="E4659" s="3" t="s">
        <v>143</v>
      </c>
      <c r="F4659" s="3" t="s">
        <v>705</v>
      </c>
      <c r="G4659" s="3" t="s">
        <v>110</v>
      </c>
      <c r="H4659" s="2" t="s">
        <v>55</v>
      </c>
      <c r="I4659" s="2" t="s">
        <v>11419</v>
      </c>
      <c r="J4659" s="3" t="str">
        <f>HYPERLINK("https://www.boe.es/gazeta/dias/1809/11/16/pdfs/GGB-H-1809-462.pdf#page=3","Abrir facsímil")</f>
        <v>Abrir facsímil</v>
      </c>
      <c r="K4659" s="3" t="s">
        <v>57</v>
      </c>
    </row>
    <row r="4660" spans="1:11" ht="42" customHeight="1">
      <c r="A4660" s="2" t="s">
        <v>11420</v>
      </c>
      <c r="B4660" s="2" t="s">
        <v>11420</v>
      </c>
      <c r="C4660" s="2" t="s">
        <v>25</v>
      </c>
      <c r="D4660" s="2" t="s">
        <v>18</v>
      </c>
      <c r="E4660" s="3" t="s">
        <v>2269</v>
      </c>
      <c r="F4660" s="3" t="s">
        <v>2270</v>
      </c>
      <c r="G4660" s="3" t="s">
        <v>154</v>
      </c>
      <c r="H4660" s="2" t="s">
        <v>55</v>
      </c>
      <c r="I4660" s="2" t="s">
        <v>11421</v>
      </c>
      <c r="J4660" s="3" t="str">
        <f>HYPERLINK("https://www.boe.es/gazeta/dias/1809/04/12/pdfs/GMD-1809-102.pdf#page=4","Abrir facsímil")</f>
        <v>Abrir facsímil</v>
      </c>
      <c r="K4660" s="3" t="s">
        <v>57</v>
      </c>
    </row>
    <row r="4661" spans="1:11" ht="42" customHeight="1">
      <c r="A4661" s="2" t="s">
        <v>11422</v>
      </c>
      <c r="B4661" s="2" t="s">
        <v>11422</v>
      </c>
      <c r="C4661" s="2" t="s">
        <v>17</v>
      </c>
      <c r="D4661" s="2" t="s">
        <v>18</v>
      </c>
      <c r="E4661" s="3" t="s">
        <v>211</v>
      </c>
      <c r="F4661" s="3" t="s">
        <v>212</v>
      </c>
      <c r="G4661" s="3" t="s">
        <v>872</v>
      </c>
      <c r="H4661" s="2" t="s">
        <v>55</v>
      </c>
      <c r="I4661" s="2" t="s">
        <v>11423</v>
      </c>
      <c r="J4661" s="3" t="str">
        <f>HYPERLINK("https://www.boe.es/gazeta/dias/1809/10/27/pdfs/GMD-1809-301.pdf#page=1","Abrir facsímil")</f>
        <v>Abrir facsímil</v>
      </c>
      <c r="K4661" s="3" t="s">
        <v>57</v>
      </c>
    </row>
    <row r="4662" spans="1:11" ht="42" customHeight="1">
      <c r="A4662" s="2" t="s">
        <v>11424</v>
      </c>
      <c r="B4662" s="2" t="s">
        <v>11424</v>
      </c>
      <c r="C4662" s="2" t="s">
        <v>25</v>
      </c>
      <c r="D4662" s="2" t="s">
        <v>26</v>
      </c>
      <c r="E4662" s="3" t="s">
        <v>627</v>
      </c>
      <c r="F4662" s="3" t="s">
        <v>628</v>
      </c>
      <c r="G4662" s="3" t="s">
        <v>75</v>
      </c>
      <c r="H4662" s="2" t="s">
        <v>55</v>
      </c>
      <c r="I4662" s="2" t="s">
        <v>11425</v>
      </c>
      <c r="J4662" s="3" t="str">
        <f>HYPERLINK("https://www.boe.es/gazeta/dias/1809/08/28/pdfs/GMD-1809-241.pdf#page=1","Abrir facsímil")</f>
        <v>Abrir facsímil</v>
      </c>
      <c r="K4662" s="3" t="s">
        <v>57</v>
      </c>
    </row>
    <row r="4663" spans="1:11" ht="42" customHeight="1">
      <c r="A4663" s="2" t="s">
        <v>11426</v>
      </c>
      <c r="B4663" s="2" t="s">
        <v>11426</v>
      </c>
      <c r="C4663" s="2" t="s">
        <v>25</v>
      </c>
      <c r="D4663" s="2" t="s">
        <v>26</v>
      </c>
      <c r="E4663" s="3" t="s">
        <v>1276</v>
      </c>
      <c r="F4663" s="3" t="s">
        <v>1277</v>
      </c>
      <c r="G4663" s="3" t="s">
        <v>154</v>
      </c>
      <c r="H4663" s="2" t="s">
        <v>55</v>
      </c>
      <c r="I4663" s="2" t="s">
        <v>11427</v>
      </c>
      <c r="J4663" s="3" t="str">
        <f>HYPERLINK("https://www.boe.es/gazeta/dias/1809/01/03/pdfs/GMS-1809-63.pdf#page=1","Abrir facsímil")</f>
        <v>Abrir facsímil</v>
      </c>
      <c r="K4663" s="3" t="s">
        <v>57</v>
      </c>
    </row>
    <row r="4664" spans="1:11" ht="42" customHeight="1">
      <c r="A4664" s="2" t="s">
        <v>11428</v>
      </c>
      <c r="B4664" s="2" t="s">
        <v>11429</v>
      </c>
      <c r="C4664" s="2" t="s">
        <v>17</v>
      </c>
      <c r="D4664" s="2" t="s">
        <v>72</v>
      </c>
      <c r="E4664" s="3" t="s">
        <v>1396</v>
      </c>
      <c r="F4664" s="3" t="s">
        <v>2370</v>
      </c>
      <c r="G4664" s="3" t="s">
        <v>239</v>
      </c>
      <c r="H4664" s="2" t="s">
        <v>55</v>
      </c>
      <c r="I4664" s="2" t="s">
        <v>11430</v>
      </c>
      <c r="J4664" s="3" t="str">
        <f>HYPERLINK("https://www.boe.es/gazeta/dias/1809/11/28/pdfs/GGB-H-1809-512.pdf#page=6","Abrir facsímil")</f>
        <v>Abrir facsímil</v>
      </c>
      <c r="K4664" s="3" t="s">
        <v>57</v>
      </c>
    </row>
    <row r="4665" spans="1:11" ht="42" customHeight="1">
      <c r="A4665" s="2" t="s">
        <v>11431</v>
      </c>
      <c r="B4665" s="2" t="s">
        <v>11432</v>
      </c>
      <c r="C4665" s="2" t="s">
        <v>17</v>
      </c>
      <c r="D4665" s="2" t="s">
        <v>18</v>
      </c>
      <c r="E4665" s="3" t="s">
        <v>299</v>
      </c>
      <c r="F4665" s="3" t="s">
        <v>300</v>
      </c>
      <c r="G4665" s="3" t="s">
        <v>693</v>
      </c>
      <c r="H4665" s="2" t="s">
        <v>55</v>
      </c>
      <c r="I4665" s="2" t="s">
        <v>11433</v>
      </c>
      <c r="J4665" s="3" t="str">
        <f>HYPERLINK("https://www.boe.es/gazeta/dias/1809/05/26/pdfs/GGB-1809-31.pdf#page=9","Abrir facsímil")</f>
        <v>Abrir facsímil</v>
      </c>
      <c r="K4665" s="3" t="s">
        <v>57</v>
      </c>
    </row>
    <row r="4666" spans="1:11" ht="42" customHeight="1">
      <c r="A4666" s="2" t="s">
        <v>11434</v>
      </c>
      <c r="B4666" s="2" t="s">
        <v>11435</v>
      </c>
      <c r="C4666" s="2" t="s">
        <v>17</v>
      </c>
      <c r="D4666" s="2" t="s">
        <v>18</v>
      </c>
      <c r="E4666" s="3" t="s">
        <v>19</v>
      </c>
      <c r="F4666" s="3" t="s">
        <v>20</v>
      </c>
      <c r="G4666" s="3" t="s">
        <v>270</v>
      </c>
      <c r="H4666" s="2" t="s">
        <v>55</v>
      </c>
      <c r="I4666" s="2" t="s">
        <v>11436</v>
      </c>
      <c r="J4666" s="3" t="str">
        <f>HYPERLINK("https://www.boe.es/gazeta/dias/1809/02/11/pdfs/GMD-1809-42.pdf#page=3","Abrir facsímil")</f>
        <v>Abrir facsímil</v>
      </c>
      <c r="K4666" s="3" t="s">
        <v>57</v>
      </c>
    </row>
    <row r="4667" spans="1:11" ht="42" customHeight="1">
      <c r="A4667" s="2" t="s">
        <v>11434</v>
      </c>
      <c r="B4667" s="2" t="s">
        <v>11435</v>
      </c>
      <c r="C4667" s="2" t="s">
        <v>131</v>
      </c>
      <c r="D4667" s="2" t="s">
        <v>26</v>
      </c>
      <c r="E4667" s="3" t="s">
        <v>548</v>
      </c>
      <c r="F4667" s="3" t="s">
        <v>549</v>
      </c>
      <c r="G4667" s="3" t="s">
        <v>687</v>
      </c>
      <c r="H4667" s="2" t="s">
        <v>55</v>
      </c>
      <c r="I4667" s="2" t="s">
        <v>11437</v>
      </c>
      <c r="J4667" s="3" t="str">
        <f>HYPERLINK("https://www.boe.es/gazeta/dias/1809/03/12/pdfs/GMD-1809-71.pdf#page=2","Abrir facsímil")</f>
        <v>Abrir facsímil</v>
      </c>
      <c r="K4667" s="3" t="s">
        <v>57</v>
      </c>
    </row>
    <row r="4668" spans="1:11" ht="42" customHeight="1">
      <c r="A4668" s="2" t="s">
        <v>11434</v>
      </c>
      <c r="B4668" s="2" t="s">
        <v>11435</v>
      </c>
      <c r="C4668" s="2" t="s">
        <v>47</v>
      </c>
      <c r="D4668" s="2" t="s">
        <v>18</v>
      </c>
      <c r="E4668" s="3" t="s">
        <v>755</v>
      </c>
      <c r="F4668" s="3" t="s">
        <v>756</v>
      </c>
      <c r="G4668" s="3" t="s">
        <v>525</v>
      </c>
      <c r="H4668" s="2" t="s">
        <v>55</v>
      </c>
      <c r="I4668" s="2" t="s">
        <v>11438</v>
      </c>
      <c r="J4668" s="3" t="str">
        <f>HYPERLINK("https://www.boe.es/gazeta/dias/1809/05/20/pdfs/GMD-1809-140.pdf#page=4","Abrir facsímil")</f>
        <v>Abrir facsímil</v>
      </c>
      <c r="K4668" s="3" t="s">
        <v>57</v>
      </c>
    </row>
    <row r="4669" spans="1:11" ht="42" customHeight="1">
      <c r="A4669" s="2" t="s">
        <v>11439</v>
      </c>
      <c r="B4669" s="2" t="s">
        <v>11440</v>
      </c>
      <c r="C4669" s="2" t="s">
        <v>25</v>
      </c>
      <c r="D4669" s="2" t="s">
        <v>26</v>
      </c>
      <c r="E4669" s="3" t="s">
        <v>207</v>
      </c>
      <c r="F4669" s="3" t="s">
        <v>208</v>
      </c>
      <c r="G4669" s="3" t="s">
        <v>209</v>
      </c>
      <c r="H4669" s="2" t="s">
        <v>55</v>
      </c>
      <c r="I4669" s="2" t="s">
        <v>11441</v>
      </c>
      <c r="J4669" s="3" t="str">
        <f>HYPERLINK("https://www.boe.es/gazeta/dias/1809/09/16/pdfs/GMD-1809-260.pdf#page=4","Abrir facsímil")</f>
        <v>Abrir facsímil</v>
      </c>
      <c r="K4669" s="3" t="s">
        <v>57</v>
      </c>
    </row>
    <row r="4670" spans="1:11" ht="42" customHeight="1">
      <c r="A4670" s="2" t="s">
        <v>11442</v>
      </c>
      <c r="B4670" s="2" t="s">
        <v>11443</v>
      </c>
      <c r="C4670" s="2" t="s">
        <v>17</v>
      </c>
      <c r="D4670" s="2" t="s">
        <v>18</v>
      </c>
      <c r="E4670" s="3" t="s">
        <v>102</v>
      </c>
      <c r="F4670" s="3" t="s">
        <v>103</v>
      </c>
      <c r="G4670" s="3" t="s">
        <v>1091</v>
      </c>
      <c r="H4670" s="2" t="s">
        <v>55</v>
      </c>
      <c r="I4670" s="2" t="s">
        <v>11444</v>
      </c>
      <c r="J4670" s="3" t="str">
        <f>HYPERLINK("https://www.boe.es/gazeta/dias/1809/09/28/pdfs/GGB-1809-252.pdf#page=6","Abrir facsímil")</f>
        <v>Abrir facsímil</v>
      </c>
      <c r="K4670" s="3" t="s">
        <v>57</v>
      </c>
    </row>
    <row r="4671" spans="1:11" ht="42" customHeight="1">
      <c r="A4671" s="2" t="s">
        <v>11445</v>
      </c>
      <c r="B4671" s="2" t="s">
        <v>11446</v>
      </c>
      <c r="C4671" s="2" t="s">
        <v>25</v>
      </c>
      <c r="D4671" s="2" t="s">
        <v>26</v>
      </c>
      <c r="E4671" s="3" t="s">
        <v>5751</v>
      </c>
      <c r="F4671" s="3" t="s">
        <v>5752</v>
      </c>
      <c r="G4671" s="3" t="s">
        <v>120</v>
      </c>
      <c r="H4671" s="2" t="s">
        <v>55</v>
      </c>
      <c r="I4671" s="2" t="s">
        <v>11447</v>
      </c>
      <c r="J4671" s="3" t="str">
        <f>HYPERLINK("https://www.boe.es/gazeta/dias/1809/01/23/pdfs/GGB-1809-4E.pdf#page=3","Abrir facsímil")</f>
        <v>Abrir facsímil</v>
      </c>
      <c r="K4671" s="3" t="s">
        <v>57</v>
      </c>
    </row>
    <row r="4672" spans="1:11" ht="42" customHeight="1">
      <c r="A4672" s="2" t="s">
        <v>11448</v>
      </c>
      <c r="B4672" s="2" t="s">
        <v>11449</v>
      </c>
      <c r="C4672" s="2" t="s">
        <v>47</v>
      </c>
      <c r="D4672" s="2" t="s">
        <v>18</v>
      </c>
      <c r="E4672" s="3" t="s">
        <v>523</v>
      </c>
      <c r="F4672" s="3" t="s">
        <v>524</v>
      </c>
      <c r="G4672" s="3" t="s">
        <v>525</v>
      </c>
      <c r="H4672" s="2" t="s">
        <v>55</v>
      </c>
      <c r="I4672" s="2" t="s">
        <v>11450</v>
      </c>
      <c r="J4672" s="3" t="str">
        <f>HYPERLINK("https://www.boe.es/gazeta/dias/1809/02/14/pdfs/GMD-1809-45.pdf#page=1","Abrir facsímil")</f>
        <v>Abrir facsímil</v>
      </c>
      <c r="K4672" s="3" t="s">
        <v>57</v>
      </c>
    </row>
    <row r="4673" spans="1:11" ht="42" customHeight="1">
      <c r="A4673" s="2" t="s">
        <v>11451</v>
      </c>
      <c r="B4673" s="2" t="s">
        <v>11451</v>
      </c>
      <c r="C4673" s="2" t="s">
        <v>17</v>
      </c>
      <c r="D4673" s="2" t="s">
        <v>40</v>
      </c>
      <c r="E4673" s="3" t="s">
        <v>627</v>
      </c>
      <c r="F4673" s="3" t="s">
        <v>628</v>
      </c>
      <c r="G4673" s="3" t="s">
        <v>270</v>
      </c>
      <c r="H4673" s="2" t="s">
        <v>55</v>
      </c>
      <c r="I4673" s="2" t="s">
        <v>11452</v>
      </c>
      <c r="J4673" s="3" t="str">
        <f>HYPERLINK("https://www.boe.es/gazeta/dias/1809/08/28/pdfs/GMD-1809-241.pdf#page=3","Abrir facsímil")</f>
        <v>Abrir facsímil</v>
      </c>
      <c r="K4673" s="3" t="s">
        <v>57</v>
      </c>
    </row>
    <row r="4674" spans="1:11" ht="42" customHeight="1">
      <c r="A4674" s="2" t="s">
        <v>11451</v>
      </c>
      <c r="B4674" s="2" t="s">
        <v>11451</v>
      </c>
      <c r="C4674" s="2" t="s">
        <v>17</v>
      </c>
      <c r="D4674" s="2" t="s">
        <v>18</v>
      </c>
      <c r="E4674" s="3" t="s">
        <v>305</v>
      </c>
      <c r="F4674" s="3" t="s">
        <v>306</v>
      </c>
      <c r="G4674" s="3" t="s">
        <v>29</v>
      </c>
      <c r="H4674" s="2" t="s">
        <v>55</v>
      </c>
      <c r="I4674" s="2" t="s">
        <v>11453</v>
      </c>
      <c r="J4674" s="3" t="str">
        <f>HYPERLINK("https://www.boe.es/gazeta/dias/1809/10/20/pdfs/GMD-1809-294.pdf#page=3","Abrir facsímil")</f>
        <v>Abrir facsímil</v>
      </c>
      <c r="K4674" s="3" t="s">
        <v>57</v>
      </c>
    </row>
    <row r="4675" spans="1:11" ht="42" customHeight="1">
      <c r="A4675" s="2" t="s">
        <v>11451</v>
      </c>
      <c r="B4675" s="2" t="s">
        <v>11451</v>
      </c>
      <c r="C4675" s="2" t="s">
        <v>25</v>
      </c>
      <c r="D4675" s="2" t="s">
        <v>26</v>
      </c>
      <c r="E4675" s="3" t="s">
        <v>211</v>
      </c>
      <c r="F4675" s="3" t="s">
        <v>212</v>
      </c>
      <c r="G4675" s="3" t="s">
        <v>29</v>
      </c>
      <c r="H4675" s="2" t="s">
        <v>55</v>
      </c>
      <c r="I4675" s="2" t="s">
        <v>11454</v>
      </c>
      <c r="J4675" s="3" t="str">
        <f>HYPERLINK("https://www.boe.es/gazeta/dias/1809/10/27/pdfs/GMD-1809-301.pdf#page=3","Abrir facsímil")</f>
        <v>Abrir facsímil</v>
      </c>
      <c r="K4675" s="3" t="s">
        <v>57</v>
      </c>
    </row>
    <row r="4676" spans="1:11" ht="42" customHeight="1">
      <c r="A4676" s="2" t="s">
        <v>11451</v>
      </c>
      <c r="B4676" s="2" t="s">
        <v>11451</v>
      </c>
      <c r="C4676" s="2" t="s">
        <v>25</v>
      </c>
      <c r="D4676" s="2" t="s">
        <v>26</v>
      </c>
      <c r="E4676" s="3" t="s">
        <v>211</v>
      </c>
      <c r="F4676" s="3" t="s">
        <v>212</v>
      </c>
      <c r="G4676" s="3" t="s">
        <v>213</v>
      </c>
      <c r="H4676" s="2" t="s">
        <v>55</v>
      </c>
      <c r="I4676" s="2" t="s">
        <v>11455</v>
      </c>
      <c r="J4676" s="3" t="str">
        <f>HYPERLINK("https://www.boe.es/gazeta/dias/1809/10/27/pdfs/GMD-1809-301.pdf#page=4","Abrir facsímil")</f>
        <v>Abrir facsímil</v>
      </c>
      <c r="K4676" s="3" t="s">
        <v>57</v>
      </c>
    </row>
    <row r="4677" spans="1:11" ht="42" customHeight="1">
      <c r="A4677" s="2" t="s">
        <v>11451</v>
      </c>
      <c r="B4677" s="2" t="s">
        <v>11451</v>
      </c>
      <c r="C4677" s="2" t="s">
        <v>17</v>
      </c>
      <c r="D4677" s="2" t="s">
        <v>72</v>
      </c>
      <c r="E4677" s="3" t="s">
        <v>216</v>
      </c>
      <c r="F4677" s="3" t="s">
        <v>217</v>
      </c>
      <c r="G4677" s="3" t="s">
        <v>154</v>
      </c>
      <c r="H4677" s="2" t="s">
        <v>55</v>
      </c>
      <c r="I4677" s="2" t="s">
        <v>11456</v>
      </c>
      <c r="J4677" s="3" t="str">
        <f>HYPERLINK("https://www.boe.es/gazeta/dias/1809/12/05/pdfs/GGB-H-1809-542.pdf#page=1","Abrir facsímil")</f>
        <v>Abrir facsímil</v>
      </c>
      <c r="K4677" s="3" t="s">
        <v>57</v>
      </c>
    </row>
    <row r="4678" spans="1:11" ht="42" customHeight="1">
      <c r="A4678" s="2" t="s">
        <v>11451</v>
      </c>
      <c r="B4678" s="2" t="s">
        <v>11451</v>
      </c>
      <c r="C4678" s="2" t="s">
        <v>25</v>
      </c>
      <c r="D4678" s="2" t="s">
        <v>26</v>
      </c>
      <c r="E4678" s="3" t="s">
        <v>216</v>
      </c>
      <c r="F4678" s="3" t="s">
        <v>217</v>
      </c>
      <c r="G4678" s="3" t="s">
        <v>94</v>
      </c>
      <c r="H4678" s="2" t="s">
        <v>55</v>
      </c>
      <c r="I4678" s="2" t="s">
        <v>11457</v>
      </c>
      <c r="J4678" s="3" t="str">
        <f>HYPERLINK("https://www.boe.es/gazeta/dias/1809/12/05/pdfs/GGB-H-1809-542.pdf#page=5","Abrir facsímil")</f>
        <v>Abrir facsímil</v>
      </c>
      <c r="K4678" s="3" t="s">
        <v>57</v>
      </c>
    </row>
    <row r="4679" spans="1:11" ht="42" customHeight="1">
      <c r="A4679" s="2" t="s">
        <v>11451</v>
      </c>
      <c r="B4679" s="2" t="s">
        <v>11451</v>
      </c>
      <c r="C4679" s="2" t="s">
        <v>25</v>
      </c>
      <c r="D4679" s="2" t="s">
        <v>26</v>
      </c>
      <c r="E4679" s="3" t="s">
        <v>216</v>
      </c>
      <c r="F4679" s="3" t="s">
        <v>217</v>
      </c>
      <c r="G4679" s="3" t="s">
        <v>218</v>
      </c>
      <c r="H4679" s="2" t="s">
        <v>55</v>
      </c>
      <c r="I4679" s="2" t="s">
        <v>11458</v>
      </c>
      <c r="J4679" s="3" t="str">
        <f>HYPERLINK("https://www.boe.es/gazeta/dias/1809/12/05/pdfs/GGB-H-1809-542.pdf#page=6","Abrir facsímil")</f>
        <v>Abrir facsímil</v>
      </c>
      <c r="K4679" s="3" t="s">
        <v>57</v>
      </c>
    </row>
    <row r="4680" spans="1:11" ht="42" customHeight="1">
      <c r="A4680" s="2" t="s">
        <v>11451</v>
      </c>
      <c r="B4680" s="2" t="s">
        <v>11451</v>
      </c>
      <c r="C4680" s="2" t="s">
        <v>25</v>
      </c>
      <c r="D4680" s="2" t="s">
        <v>18</v>
      </c>
      <c r="E4680" s="3" t="s">
        <v>220</v>
      </c>
      <c r="F4680" s="3" t="s">
        <v>221</v>
      </c>
      <c r="G4680" s="3" t="s">
        <v>154</v>
      </c>
      <c r="H4680" s="2" t="s">
        <v>55</v>
      </c>
      <c r="I4680" s="2" t="s">
        <v>11459</v>
      </c>
      <c r="J4680" s="3" t="str">
        <f>HYPERLINK("https://www.boe.es/gazeta/dias/1809/12/13/pdfs/GMD-1809-348.pdf#page=4","Abrir facsímil")</f>
        <v>Abrir facsímil</v>
      </c>
      <c r="K4680" s="3" t="s">
        <v>57</v>
      </c>
    </row>
    <row r="4681" spans="1:11" ht="42" customHeight="1">
      <c r="A4681" s="2" t="s">
        <v>11460</v>
      </c>
      <c r="B4681" s="2" t="s">
        <v>11461</v>
      </c>
      <c r="C4681" s="2" t="s">
        <v>131</v>
      </c>
      <c r="D4681" s="2" t="s">
        <v>18</v>
      </c>
      <c r="E4681" s="3" t="s">
        <v>974</v>
      </c>
      <c r="F4681" s="3" t="s">
        <v>975</v>
      </c>
      <c r="G4681" s="3" t="s">
        <v>9892</v>
      </c>
      <c r="H4681" s="2" t="s">
        <v>55</v>
      </c>
      <c r="I4681" s="2" t="s">
        <v>11462</v>
      </c>
      <c r="J4681" s="3" t="str">
        <f>HYPERLINK("https://www.boe.es/gazeta/dias/1809/11/14/pdfs/GGB-1809-452.pdf#page=6","Abrir facsímil")</f>
        <v>Abrir facsímil</v>
      </c>
      <c r="K4681" s="3" t="s">
        <v>57</v>
      </c>
    </row>
    <row r="4682" spans="1:11" ht="42" customHeight="1">
      <c r="A4682" s="2" t="s">
        <v>11463</v>
      </c>
      <c r="B4682" s="2" t="s">
        <v>11464</v>
      </c>
      <c r="C4682" s="2" t="s">
        <v>25</v>
      </c>
      <c r="D4682" s="2" t="s">
        <v>72</v>
      </c>
      <c r="E4682" s="3" t="s">
        <v>2818</v>
      </c>
      <c r="F4682" s="3" t="s">
        <v>4265</v>
      </c>
      <c r="G4682" s="3" t="s">
        <v>89</v>
      </c>
      <c r="H4682" s="2" t="s">
        <v>55</v>
      </c>
      <c r="I4682" s="2" t="s">
        <v>11465</v>
      </c>
      <c r="J4682" s="3" t="str">
        <f>HYPERLINK("https://www.boe.es/gazeta/dias/1809/02/03/pdfs/GGB-G-1809-6.pdf#page=6","Abrir facsímil")</f>
        <v>Abrir facsímil</v>
      </c>
      <c r="K4682" s="3" t="s">
        <v>57</v>
      </c>
    </row>
    <row r="4683" spans="1:11" ht="42" customHeight="1">
      <c r="A4683" s="2" t="s">
        <v>11466</v>
      </c>
      <c r="B4683" s="2" t="s">
        <v>11467</v>
      </c>
      <c r="C4683" s="2" t="s">
        <v>17</v>
      </c>
      <c r="D4683" s="2" t="s">
        <v>18</v>
      </c>
      <c r="E4683" s="3" t="s">
        <v>33</v>
      </c>
      <c r="F4683" s="3" t="s">
        <v>34</v>
      </c>
      <c r="G4683" s="3" t="s">
        <v>35</v>
      </c>
      <c r="H4683" s="2" t="s">
        <v>55</v>
      </c>
      <c r="I4683" s="2" t="s">
        <v>11468</v>
      </c>
      <c r="J4683" s="3" t="str">
        <f>HYPERLINK("https://www.boe.es/gazeta/dias/1809/12/19/pdfs/GGB-1809-602.pdf#page=5","Abrir facsímil")</f>
        <v>Abrir facsímil</v>
      </c>
      <c r="K4683" s="3" t="s">
        <v>57</v>
      </c>
    </row>
    <row r="4684" spans="1:11" ht="42" customHeight="1">
      <c r="A4684" s="2" t="s">
        <v>11469</v>
      </c>
      <c r="B4684" s="2" t="s">
        <v>11470</v>
      </c>
      <c r="C4684" s="2" t="s">
        <v>17</v>
      </c>
      <c r="D4684" s="2" t="s">
        <v>18</v>
      </c>
      <c r="E4684" s="3" t="s">
        <v>60</v>
      </c>
      <c r="F4684" s="3" t="s">
        <v>61</v>
      </c>
      <c r="G4684" s="3" t="s">
        <v>29</v>
      </c>
      <c r="H4684" s="2" t="s">
        <v>55</v>
      </c>
      <c r="I4684" s="2" t="s">
        <v>11471</v>
      </c>
      <c r="J4684" s="3" t="str">
        <f>HYPERLINK("https://www.boe.es/gazeta/dias/1809/02/07/pdfs/GMD-1809-38.pdf#page=3","Abrir facsímil")</f>
        <v>Abrir facsímil</v>
      </c>
      <c r="K4684" s="3" t="s">
        <v>57</v>
      </c>
    </row>
    <row r="4685" spans="1:11" ht="42" customHeight="1">
      <c r="A4685" s="2" t="s">
        <v>11472</v>
      </c>
      <c r="B4685" s="2" t="s">
        <v>11473</v>
      </c>
      <c r="C4685" s="2" t="s">
        <v>17</v>
      </c>
      <c r="D4685" s="2" t="s">
        <v>18</v>
      </c>
      <c r="E4685" s="3" t="s">
        <v>1898</v>
      </c>
      <c r="F4685" s="3" t="s">
        <v>1970</v>
      </c>
      <c r="G4685" s="3" t="s">
        <v>154</v>
      </c>
      <c r="H4685" s="2" t="s">
        <v>55</v>
      </c>
      <c r="I4685" s="2" t="s">
        <v>11474</v>
      </c>
      <c r="J4685" s="3" t="str">
        <f>HYPERLINK("https://www.boe.es/gazeta/dias/1809/12/02/pdfs/GMD-1809-337.pdf#page=4","Abrir facsímil")</f>
        <v>Abrir facsímil</v>
      </c>
      <c r="K4685" s="3" t="s">
        <v>57</v>
      </c>
    </row>
    <row r="4686" spans="1:11" ht="42" customHeight="1">
      <c r="A4686" s="2" t="s">
        <v>11475</v>
      </c>
      <c r="B4686" s="2" t="s">
        <v>11476</v>
      </c>
      <c r="C4686" s="2" t="s">
        <v>17</v>
      </c>
      <c r="D4686" s="2" t="s">
        <v>18</v>
      </c>
      <c r="E4686" s="3" t="s">
        <v>1468</v>
      </c>
      <c r="F4686" s="3" t="s">
        <v>1469</v>
      </c>
      <c r="G4686" s="3" t="s">
        <v>104</v>
      </c>
      <c r="H4686" s="2" t="s">
        <v>55</v>
      </c>
      <c r="I4686" s="2" t="s">
        <v>11477</v>
      </c>
      <c r="J4686" s="3" t="str">
        <f>HYPERLINK("https://www.boe.es/gazeta/dias/1809/02/12/pdfs/GMD-1809-43.pdf#page=6","Abrir facsímil")</f>
        <v>Abrir facsímil</v>
      </c>
      <c r="K4686" s="3" t="s">
        <v>57</v>
      </c>
    </row>
    <row r="4687" spans="1:11" ht="42" customHeight="1">
      <c r="A4687" s="2" t="s">
        <v>11478</v>
      </c>
      <c r="B4687" s="2" t="s">
        <v>11479</v>
      </c>
      <c r="C4687" s="2" t="s">
        <v>47</v>
      </c>
      <c r="D4687" s="2" t="s">
        <v>18</v>
      </c>
      <c r="E4687" s="3" t="s">
        <v>60</v>
      </c>
      <c r="F4687" s="3" t="s">
        <v>61</v>
      </c>
      <c r="G4687" s="3" t="s">
        <v>62</v>
      </c>
      <c r="H4687" s="2" t="s">
        <v>55</v>
      </c>
      <c r="I4687" s="2" t="s">
        <v>11480</v>
      </c>
      <c r="J4687" s="3" t="str">
        <f>HYPERLINK("https://www.boe.es/gazeta/dias/1809/02/07/pdfs/GMD-1809-38.pdf#page=4","Abrir facsímil")</f>
        <v>Abrir facsímil</v>
      </c>
      <c r="K4687" s="3" t="s">
        <v>57</v>
      </c>
    </row>
    <row r="4688" spans="1:11" ht="42" customHeight="1">
      <c r="A4688" s="2" t="s">
        <v>11481</v>
      </c>
      <c r="B4688" s="2" t="s">
        <v>11482</v>
      </c>
      <c r="C4688" s="2" t="s">
        <v>25</v>
      </c>
      <c r="D4688" s="2" t="s">
        <v>26</v>
      </c>
      <c r="E4688" s="3" t="s">
        <v>92</v>
      </c>
      <c r="F4688" s="3" t="s">
        <v>93</v>
      </c>
      <c r="G4688" s="3" t="s">
        <v>239</v>
      </c>
      <c r="H4688" s="2" t="s">
        <v>55</v>
      </c>
      <c r="I4688" s="2" t="s">
        <v>11483</v>
      </c>
      <c r="J4688" s="3" t="str">
        <f>HYPERLINK("https://www.boe.es/gazeta/dias/1809/05/22/pdfs/GGB-G-1809-30.pdf#page=3","Abrir facsímil")</f>
        <v>Abrir facsímil</v>
      </c>
      <c r="K4688" s="3" t="s">
        <v>57</v>
      </c>
    </row>
    <row r="4689" spans="1:11" ht="42" customHeight="1">
      <c r="A4689" s="2" t="s">
        <v>11481</v>
      </c>
      <c r="B4689" s="2" t="s">
        <v>11482</v>
      </c>
      <c r="C4689" s="2" t="s">
        <v>25</v>
      </c>
      <c r="D4689" s="2" t="s">
        <v>72</v>
      </c>
      <c r="E4689" s="3" t="s">
        <v>92</v>
      </c>
      <c r="F4689" s="3" t="s">
        <v>93</v>
      </c>
      <c r="G4689" s="3" t="s">
        <v>225</v>
      </c>
      <c r="H4689" s="2" t="s">
        <v>55</v>
      </c>
      <c r="I4689" s="2" t="s">
        <v>11484</v>
      </c>
      <c r="J4689" s="3" t="str">
        <f>HYPERLINK("https://www.boe.es/gazeta/dias/1809/05/22/pdfs/GGB-G-1809-30.pdf#page=4","Abrir facsímil")</f>
        <v>Abrir facsímil</v>
      </c>
      <c r="K4689" s="3" t="s">
        <v>57</v>
      </c>
    </row>
    <row r="4690" spans="1:11" ht="42" customHeight="1">
      <c r="A4690" s="2" t="s">
        <v>11485</v>
      </c>
      <c r="B4690" s="2" t="s">
        <v>11486</v>
      </c>
      <c r="C4690" s="2" t="s">
        <v>17</v>
      </c>
      <c r="D4690" s="2" t="s">
        <v>40</v>
      </c>
      <c r="E4690" s="3" t="s">
        <v>645</v>
      </c>
      <c r="F4690" s="3" t="s">
        <v>646</v>
      </c>
      <c r="G4690" s="3" t="s">
        <v>62</v>
      </c>
      <c r="H4690" s="2" t="s">
        <v>55</v>
      </c>
      <c r="I4690" s="2" t="s">
        <v>11487</v>
      </c>
      <c r="J4690" s="3" t="str">
        <f>HYPERLINK("https://www.boe.es/gazeta/dias/1809/10/04/pdfs/GMD-1809-278.pdf#page=3","Abrir facsímil")</f>
        <v>Abrir facsímil</v>
      </c>
      <c r="K4690" s="3" t="s">
        <v>57</v>
      </c>
    </row>
    <row r="4691" spans="1:11" ht="42" customHeight="1">
      <c r="A4691" s="2" t="s">
        <v>11488</v>
      </c>
      <c r="B4691" s="2" t="s">
        <v>11489</v>
      </c>
      <c r="C4691" s="2" t="s">
        <v>17</v>
      </c>
      <c r="D4691" s="2" t="s">
        <v>18</v>
      </c>
      <c r="E4691" s="3" t="s">
        <v>1898</v>
      </c>
      <c r="F4691" s="3" t="s">
        <v>1899</v>
      </c>
      <c r="G4691" s="3" t="s">
        <v>11490</v>
      </c>
      <c r="H4691" s="2" t="s">
        <v>55</v>
      </c>
      <c r="I4691" s="2" t="s">
        <v>11491</v>
      </c>
      <c r="J4691" s="3" t="str">
        <f>HYPERLINK("https://www.boe.es/gazeta/dias/1809/12/02/pdfs/GGB-1809-532.pdf#page=6","Abrir facsímil")</f>
        <v>Abrir facsímil</v>
      </c>
      <c r="K4691" s="3" t="s">
        <v>57</v>
      </c>
    </row>
    <row r="4692" spans="1:11" ht="42" customHeight="1">
      <c r="A4692" s="2" t="s">
        <v>11488</v>
      </c>
      <c r="B4692" s="2" t="s">
        <v>11489</v>
      </c>
      <c r="C4692" s="2" t="s">
        <v>17</v>
      </c>
      <c r="D4692" s="2" t="s">
        <v>72</v>
      </c>
      <c r="E4692" s="3" t="s">
        <v>635</v>
      </c>
      <c r="F4692" s="3" t="s">
        <v>2073</v>
      </c>
      <c r="G4692" s="3" t="s">
        <v>129</v>
      </c>
      <c r="H4692" s="2" t="s">
        <v>55</v>
      </c>
      <c r="I4692" s="2" t="s">
        <v>11492</v>
      </c>
      <c r="J4692" s="3" t="str">
        <f>HYPERLINK("https://www.boe.es/gazeta/dias/1809/12/16/pdfs/GGB-H-1809-592.pdf#page=2","Abrir facsímil")</f>
        <v>Abrir facsímil</v>
      </c>
      <c r="K4692" s="3" t="s">
        <v>57</v>
      </c>
    </row>
    <row r="4693" spans="1:11" ht="42" customHeight="1">
      <c r="A4693" s="2" t="s">
        <v>11488</v>
      </c>
      <c r="B4693" s="2" t="s">
        <v>11489</v>
      </c>
      <c r="C4693" s="2" t="s">
        <v>25</v>
      </c>
      <c r="D4693" s="2" t="s">
        <v>26</v>
      </c>
      <c r="E4693" s="3" t="s">
        <v>473</v>
      </c>
      <c r="F4693" s="3" t="s">
        <v>1182</v>
      </c>
      <c r="G4693" s="3" t="s">
        <v>1183</v>
      </c>
      <c r="H4693" s="2" t="s">
        <v>55</v>
      </c>
      <c r="I4693" s="2" t="s">
        <v>11493</v>
      </c>
      <c r="J4693" s="3" t="str">
        <f>HYPERLINK("https://www.boe.es/gazeta/dias/1809/12/28/pdfs/GGB-1809-642.pdf#page=4","Abrir facsímil")</f>
        <v>Abrir facsímil</v>
      </c>
      <c r="K4693" s="3" t="s">
        <v>57</v>
      </c>
    </row>
    <row r="4694" spans="1:11" ht="42" customHeight="1">
      <c r="A4694" s="2" t="s">
        <v>11494</v>
      </c>
      <c r="B4694" s="2" t="s">
        <v>11495</v>
      </c>
      <c r="C4694" s="2" t="s">
        <v>25</v>
      </c>
      <c r="D4694" s="2" t="s">
        <v>72</v>
      </c>
      <c r="E4694" s="3" t="s">
        <v>143</v>
      </c>
      <c r="F4694" s="3" t="s">
        <v>705</v>
      </c>
      <c r="G4694" s="3" t="s">
        <v>225</v>
      </c>
      <c r="H4694" s="2" t="s">
        <v>55</v>
      </c>
      <c r="I4694" s="2" t="s">
        <v>11496</v>
      </c>
      <c r="J4694" s="3" t="str">
        <f>HYPERLINK("https://www.boe.es/gazeta/dias/1809/11/16/pdfs/GGB-H-1809-462.pdf#page=4","Abrir facsímil")</f>
        <v>Abrir facsímil</v>
      </c>
      <c r="K4694" s="3" t="s">
        <v>57</v>
      </c>
    </row>
    <row r="4695" spans="1:11" ht="42" customHeight="1">
      <c r="A4695" s="2" t="s">
        <v>11497</v>
      </c>
      <c r="B4695" s="2" t="s">
        <v>11498</v>
      </c>
      <c r="C4695" s="2" t="s">
        <v>17</v>
      </c>
      <c r="D4695" s="2" t="s">
        <v>18</v>
      </c>
      <c r="E4695" s="3" t="s">
        <v>283</v>
      </c>
      <c r="F4695" s="3" t="s">
        <v>284</v>
      </c>
      <c r="G4695" s="3" t="s">
        <v>21</v>
      </c>
      <c r="H4695" s="2" t="s">
        <v>55</v>
      </c>
      <c r="I4695" s="2" t="s">
        <v>11499</v>
      </c>
      <c r="J4695" s="3" t="str">
        <f>HYPERLINK("https://www.boe.es/gazeta/dias/1809/02/09/pdfs/GMD-1809-40.pdf#page=4","Abrir facsímil")</f>
        <v>Abrir facsímil</v>
      </c>
      <c r="K4695" s="3" t="s">
        <v>57</v>
      </c>
    </row>
    <row r="4696" spans="1:11" ht="42" customHeight="1">
      <c r="A4696" s="2" t="s">
        <v>11500</v>
      </c>
      <c r="B4696" s="2" t="s">
        <v>11501</v>
      </c>
      <c r="C4696" s="2" t="s">
        <v>17</v>
      </c>
      <c r="D4696" s="2" t="s">
        <v>18</v>
      </c>
      <c r="E4696" s="3" t="s">
        <v>771</v>
      </c>
      <c r="F4696" s="3" t="s">
        <v>772</v>
      </c>
      <c r="G4696" s="3" t="s">
        <v>2251</v>
      </c>
      <c r="H4696" s="2" t="s">
        <v>55</v>
      </c>
      <c r="I4696" s="2" t="s">
        <v>11502</v>
      </c>
      <c r="J4696" s="3" t="str">
        <f>HYPERLINK("https://www.boe.es/gazeta/dias/1809/10/31/pdfs/GGB-1809-392.pdf#page=6","Abrir facsímil")</f>
        <v>Abrir facsímil</v>
      </c>
      <c r="K4696" s="3" t="s">
        <v>57</v>
      </c>
    </row>
    <row r="4697" spans="1:11" ht="42" customHeight="1">
      <c r="A4697" s="2" t="s">
        <v>11500</v>
      </c>
      <c r="B4697" s="2" t="s">
        <v>11501</v>
      </c>
      <c r="C4697" s="2" t="s">
        <v>17</v>
      </c>
      <c r="D4697" s="2" t="s">
        <v>18</v>
      </c>
      <c r="E4697" s="3" t="s">
        <v>771</v>
      </c>
      <c r="F4697" s="3" t="s">
        <v>772</v>
      </c>
      <c r="G4697" s="3" t="s">
        <v>154</v>
      </c>
      <c r="H4697" s="2" t="s">
        <v>55</v>
      </c>
      <c r="I4697" s="2" t="s">
        <v>11503</v>
      </c>
      <c r="J4697" s="3" t="str">
        <f>HYPERLINK("https://www.boe.es/gazeta/dias/1809/10/31/pdfs/GGB-1809-392.pdf#page=7","Abrir facsímil")</f>
        <v>Abrir facsímil</v>
      </c>
      <c r="K4697" s="3" t="s">
        <v>57</v>
      </c>
    </row>
    <row r="4698" spans="1:11" ht="42" customHeight="1">
      <c r="A4698" s="2" t="s">
        <v>11504</v>
      </c>
      <c r="B4698" s="2" t="s">
        <v>11505</v>
      </c>
      <c r="C4698" s="2" t="s">
        <v>25</v>
      </c>
      <c r="D4698" s="2" t="s">
        <v>18</v>
      </c>
      <c r="E4698" s="3" t="s">
        <v>1226</v>
      </c>
      <c r="F4698" s="3" t="s">
        <v>1566</v>
      </c>
      <c r="G4698" s="3" t="s">
        <v>8686</v>
      </c>
      <c r="H4698" s="2" t="s">
        <v>55</v>
      </c>
      <c r="I4698" s="2" t="s">
        <v>11506</v>
      </c>
      <c r="J4698" s="3" t="str">
        <f>HYPERLINK("https://www.boe.es/gazeta/dias/1809/11/09/pdfs/GGB-1809-432.pdf#page=6","Abrir facsímil")</f>
        <v>Abrir facsímil</v>
      </c>
      <c r="K4698" s="3" t="s">
        <v>57</v>
      </c>
    </row>
    <row r="4699" spans="1:11" ht="42" customHeight="1">
      <c r="A4699" s="2" t="s">
        <v>11507</v>
      </c>
      <c r="B4699" s="2" t="s">
        <v>11507</v>
      </c>
      <c r="C4699" s="2" t="s">
        <v>25</v>
      </c>
      <c r="D4699" s="2" t="s">
        <v>18</v>
      </c>
      <c r="E4699" s="3" t="s">
        <v>1761</v>
      </c>
      <c r="F4699" s="3" t="s">
        <v>1762</v>
      </c>
      <c r="G4699" s="3" t="s">
        <v>234</v>
      </c>
      <c r="H4699" s="2" t="s">
        <v>55</v>
      </c>
      <c r="I4699" s="2" t="s">
        <v>11508</v>
      </c>
      <c r="J4699" s="3" t="str">
        <f>HYPERLINK("https://www.boe.es/gazeta/dias/1809/10/18/pdfs/GMD-1809-292.pdf#page=1","Abrir facsímil")</f>
        <v>Abrir facsímil</v>
      </c>
      <c r="K4699" s="3" t="s">
        <v>57</v>
      </c>
    </row>
    <row r="4700" spans="1:11" ht="42" customHeight="1">
      <c r="A4700" s="2" t="s">
        <v>11507</v>
      </c>
      <c r="B4700" s="2" t="s">
        <v>11507</v>
      </c>
      <c r="C4700" s="2" t="s">
        <v>25</v>
      </c>
      <c r="D4700" s="2" t="s">
        <v>40</v>
      </c>
      <c r="E4700" s="3" t="s">
        <v>1233</v>
      </c>
      <c r="F4700" s="3" t="s">
        <v>1234</v>
      </c>
      <c r="G4700" s="3" t="s">
        <v>1235</v>
      </c>
      <c r="H4700" s="2" t="s">
        <v>55</v>
      </c>
      <c r="I4700" s="2" t="s">
        <v>11509</v>
      </c>
      <c r="J4700" s="3" t="str">
        <f>HYPERLINK("https://www.boe.es/gazeta/dias/1809/12/01/pdfs/GMD-1809-336.pdf#page=1","Abrir facsímil")</f>
        <v>Abrir facsímil</v>
      </c>
      <c r="K4700" s="3" t="s">
        <v>57</v>
      </c>
    </row>
    <row r="4701" spans="1:11" ht="42" customHeight="1">
      <c r="A4701" s="2" t="s">
        <v>11510</v>
      </c>
      <c r="B4701" s="2" t="s">
        <v>11511</v>
      </c>
      <c r="C4701" s="2" t="s">
        <v>369</v>
      </c>
      <c r="D4701" s="2" t="s">
        <v>107</v>
      </c>
      <c r="E4701" s="3" t="s">
        <v>1865</v>
      </c>
      <c r="F4701" s="3" t="s">
        <v>1866</v>
      </c>
      <c r="G4701" s="3" t="s">
        <v>906</v>
      </c>
      <c r="H4701" s="2" t="s">
        <v>55</v>
      </c>
      <c r="I4701" s="2" t="s">
        <v>11512</v>
      </c>
      <c r="J4701" s="3" t="str">
        <f>HYPERLINK("https://www.boe.es/gazeta/dias/1809/08/08/pdfs/GGB-1809-32.pdf#page=8","Abrir facsímil")</f>
        <v>Abrir facsímil</v>
      </c>
      <c r="K4701" s="3" t="s">
        <v>57</v>
      </c>
    </row>
    <row r="4702" spans="1:11" ht="42" customHeight="1">
      <c r="A4702" s="2" t="s">
        <v>11513</v>
      </c>
      <c r="B4702" s="2" t="s">
        <v>11514</v>
      </c>
      <c r="C4702" s="2" t="s">
        <v>25</v>
      </c>
      <c r="D4702" s="2" t="s">
        <v>72</v>
      </c>
      <c r="E4702" s="3" t="s">
        <v>1206</v>
      </c>
      <c r="F4702" s="3" t="s">
        <v>1207</v>
      </c>
      <c r="G4702" s="3" t="s">
        <v>3099</v>
      </c>
      <c r="H4702" s="2" t="s">
        <v>55</v>
      </c>
      <c r="I4702" s="2" t="s">
        <v>11515</v>
      </c>
      <c r="J4702" s="3" t="str">
        <f>HYPERLINK("https://www.boe.es/gazeta/dias/1809/09/23/pdfs/GGB-H-1809-232.pdf#page=8","Abrir facsímil")</f>
        <v>Abrir facsímil</v>
      </c>
      <c r="K4702" s="3" t="s">
        <v>57</v>
      </c>
    </row>
    <row r="4703" spans="1:11" ht="42" customHeight="1">
      <c r="A4703" s="2" t="s">
        <v>11516</v>
      </c>
      <c r="B4703" s="2" t="s">
        <v>11516</v>
      </c>
      <c r="C4703" s="2" t="s">
        <v>17</v>
      </c>
      <c r="D4703" s="2" t="s">
        <v>18</v>
      </c>
      <c r="E4703" s="3" t="s">
        <v>771</v>
      </c>
      <c r="F4703" s="3" t="s">
        <v>772</v>
      </c>
      <c r="G4703" s="3" t="s">
        <v>154</v>
      </c>
      <c r="H4703" s="2" t="s">
        <v>55</v>
      </c>
      <c r="I4703" s="2" t="s">
        <v>11517</v>
      </c>
      <c r="J4703" s="3" t="str">
        <f>HYPERLINK("https://www.boe.es/gazeta/dias/1809/10/31/pdfs/GGB-1809-392.pdf#page=7","Abrir facsímil")</f>
        <v>Abrir facsímil</v>
      </c>
      <c r="K4703" s="3" t="s">
        <v>57</v>
      </c>
    </row>
    <row r="4704" spans="1:11" ht="42" customHeight="1">
      <c r="A4704" s="2" t="s">
        <v>11518</v>
      </c>
      <c r="B4704" s="2" t="s">
        <v>11518</v>
      </c>
      <c r="C4704" s="2" t="s">
        <v>25</v>
      </c>
      <c r="D4704" s="2" t="s">
        <v>18</v>
      </c>
      <c r="E4704" s="3" t="s">
        <v>118</v>
      </c>
      <c r="F4704" s="3" t="s">
        <v>2125</v>
      </c>
      <c r="G4704" s="3" t="s">
        <v>9171</v>
      </c>
      <c r="H4704" s="2" t="s">
        <v>55</v>
      </c>
      <c r="I4704" s="2" t="s">
        <v>11519</v>
      </c>
      <c r="J4704" s="3" t="str">
        <f>HYPERLINK("https://www.boe.es/gazeta/dias/1809/09/07/pdfs/GGB-1809-162.pdf#page=4","Abrir facsímil")</f>
        <v>Abrir facsímil</v>
      </c>
      <c r="K4704" s="3" t="s">
        <v>57</v>
      </c>
    </row>
    <row r="4705" spans="1:11" ht="42" customHeight="1">
      <c r="A4705" s="2" t="s">
        <v>11520</v>
      </c>
      <c r="B4705" s="2" t="s">
        <v>11520</v>
      </c>
      <c r="C4705" s="2" t="s">
        <v>25</v>
      </c>
      <c r="D4705" s="2" t="s">
        <v>107</v>
      </c>
      <c r="E4705" s="3" t="s">
        <v>1053</v>
      </c>
      <c r="F4705" s="3" t="s">
        <v>1054</v>
      </c>
      <c r="G4705" s="3" t="s">
        <v>120</v>
      </c>
      <c r="H4705" s="2" t="s">
        <v>55</v>
      </c>
      <c r="I4705" s="2" t="s">
        <v>11521</v>
      </c>
      <c r="J4705" s="3" t="str">
        <f>HYPERLINK("https://www.boe.es/gazeta/dias/1809/05/13/pdfs/GMD-1809-133.pdf#page=1","Abrir facsímil")</f>
        <v>Abrir facsímil</v>
      </c>
      <c r="K4705" s="3" t="s">
        <v>57</v>
      </c>
    </row>
    <row r="4706" spans="1:11" ht="42" customHeight="1">
      <c r="A4706" s="2" t="s">
        <v>11522</v>
      </c>
      <c r="B4706" s="2" t="s">
        <v>11522</v>
      </c>
      <c r="C4706" s="2" t="s">
        <v>25</v>
      </c>
      <c r="D4706" s="2" t="s">
        <v>18</v>
      </c>
      <c r="E4706" s="3" t="s">
        <v>1053</v>
      </c>
      <c r="F4706" s="3" t="s">
        <v>1054</v>
      </c>
      <c r="G4706" s="3" t="s">
        <v>595</v>
      </c>
      <c r="H4706" s="2" t="s">
        <v>55</v>
      </c>
      <c r="I4706" s="2" t="s">
        <v>11523</v>
      </c>
      <c r="J4706" s="3" t="str">
        <f>HYPERLINK("https://www.boe.es/gazeta/dias/1809/05/13/pdfs/GMD-1809-133.pdf#page=7","Abrir facsímil")</f>
        <v>Abrir facsímil</v>
      </c>
      <c r="K4706" s="3" t="s">
        <v>57</v>
      </c>
    </row>
    <row r="4707" spans="1:11" ht="42" customHeight="1">
      <c r="A4707" s="2" t="s">
        <v>11520</v>
      </c>
      <c r="B4707" s="2" t="s">
        <v>11520</v>
      </c>
      <c r="C4707" s="2" t="s">
        <v>25</v>
      </c>
      <c r="D4707" s="2" t="s">
        <v>26</v>
      </c>
      <c r="E4707" s="3" t="s">
        <v>6618</v>
      </c>
      <c r="F4707" s="3" t="s">
        <v>6619</v>
      </c>
      <c r="G4707" s="3" t="s">
        <v>687</v>
      </c>
      <c r="H4707" s="2" t="s">
        <v>55</v>
      </c>
      <c r="I4707" s="2" t="s">
        <v>11524</v>
      </c>
      <c r="J4707" s="3" t="str">
        <f>HYPERLINK("https://www.boe.es/gazeta/dias/1809/09/18/pdfs/GMD-1809-262.pdf#page=2","Abrir facsímil")</f>
        <v>Abrir facsímil</v>
      </c>
      <c r="K4707" s="3" t="s">
        <v>57</v>
      </c>
    </row>
    <row r="4708" spans="1:11" ht="42" customHeight="1">
      <c r="A4708" s="2" t="s">
        <v>11525</v>
      </c>
      <c r="B4708" s="2" t="s">
        <v>11525</v>
      </c>
      <c r="C4708" s="2" t="s">
        <v>25</v>
      </c>
      <c r="D4708" s="2" t="s">
        <v>18</v>
      </c>
      <c r="E4708" s="3" t="s">
        <v>1007</v>
      </c>
      <c r="F4708" s="3" t="s">
        <v>3043</v>
      </c>
      <c r="G4708" s="3" t="s">
        <v>906</v>
      </c>
      <c r="H4708" s="2" t="s">
        <v>55</v>
      </c>
      <c r="I4708" s="2" t="s">
        <v>11526</v>
      </c>
      <c r="J4708" s="3" t="str">
        <f>HYPERLINK("https://www.boe.es/gazeta/dias/1809/04/14/pdfs/GGB-1809-17.pdf#page=8","Abrir facsímil")</f>
        <v>Abrir facsímil</v>
      </c>
      <c r="K4708" s="3" t="s">
        <v>57</v>
      </c>
    </row>
    <row r="4709" spans="1:11" ht="42" customHeight="1">
      <c r="A4709" s="2" t="s">
        <v>11527</v>
      </c>
      <c r="B4709" s="2" t="s">
        <v>11528</v>
      </c>
      <c r="C4709" s="2" t="s">
        <v>17</v>
      </c>
      <c r="D4709" s="2" t="s">
        <v>18</v>
      </c>
      <c r="E4709" s="3" t="s">
        <v>102</v>
      </c>
      <c r="F4709" s="3" t="s">
        <v>103</v>
      </c>
      <c r="G4709" s="3" t="s">
        <v>1091</v>
      </c>
      <c r="H4709" s="2" t="s">
        <v>55</v>
      </c>
      <c r="I4709" s="2" t="s">
        <v>11529</v>
      </c>
      <c r="J4709" s="3" t="str">
        <f>HYPERLINK("https://www.boe.es/gazeta/dias/1809/09/28/pdfs/GGB-1809-252.pdf#page=6","Abrir facsímil")</f>
        <v>Abrir facsímil</v>
      </c>
      <c r="K4709" s="3" t="s">
        <v>57</v>
      </c>
    </row>
    <row r="4710" spans="1:11" ht="42" customHeight="1">
      <c r="A4710" s="2" t="s">
        <v>11530</v>
      </c>
      <c r="B4710" s="2" t="s">
        <v>11530</v>
      </c>
      <c r="C4710" s="2" t="s">
        <v>25</v>
      </c>
      <c r="D4710" s="2" t="s">
        <v>26</v>
      </c>
      <c r="E4710" s="3" t="s">
        <v>327</v>
      </c>
      <c r="F4710" s="3" t="s">
        <v>2138</v>
      </c>
      <c r="G4710" s="3" t="s">
        <v>2139</v>
      </c>
      <c r="H4710" s="2" t="s">
        <v>22</v>
      </c>
      <c r="I4710" s="2" t="s">
        <v>11531</v>
      </c>
      <c r="J4710" s="3" t="str">
        <f>HYPERLINK("https://www.boe.es/gazeta/dias/1809/09/14/pdfs/GMD-1809-258.pdf#page=1","Abrir facsímil")</f>
        <v>Abrir facsímil</v>
      </c>
      <c r="K4710" s="3" t="s">
        <v>24</v>
      </c>
    </row>
    <row r="4711" spans="1:11" ht="42" customHeight="1">
      <c r="A4711" s="2" t="s">
        <v>11532</v>
      </c>
      <c r="B4711" s="2" t="s">
        <v>11532</v>
      </c>
      <c r="C4711" s="2" t="s">
        <v>25</v>
      </c>
      <c r="D4711" s="2" t="s">
        <v>18</v>
      </c>
      <c r="E4711" s="3" t="s">
        <v>10377</v>
      </c>
      <c r="F4711" s="3" t="s">
        <v>10378</v>
      </c>
      <c r="G4711" s="3" t="s">
        <v>62</v>
      </c>
      <c r="H4711" s="2" t="s">
        <v>55</v>
      </c>
      <c r="I4711" s="2" t="s">
        <v>11533</v>
      </c>
      <c r="J4711" s="3" t="str">
        <f>HYPERLINK("https://www.boe.es/gazeta/dias/1809/07/20/pdfs/GMD-1809-201.pdf#page=3","Abrir facsímil")</f>
        <v>Abrir facsímil</v>
      </c>
      <c r="K4711" s="3" t="s">
        <v>57</v>
      </c>
    </row>
    <row r="4712" spans="1:11" ht="42" customHeight="1">
      <c r="A4712" s="2" t="s">
        <v>11534</v>
      </c>
      <c r="B4712" s="2" t="s">
        <v>11534</v>
      </c>
      <c r="C4712" s="2" t="s">
        <v>25</v>
      </c>
      <c r="D4712" s="2" t="s">
        <v>26</v>
      </c>
      <c r="E4712" s="3" t="s">
        <v>508</v>
      </c>
      <c r="F4712" s="3" t="s">
        <v>509</v>
      </c>
      <c r="G4712" s="3" t="s">
        <v>1138</v>
      </c>
      <c r="H4712" s="2" t="s">
        <v>55</v>
      </c>
      <c r="I4712" s="2" t="s">
        <v>11535</v>
      </c>
      <c r="J4712" s="3" t="str">
        <f>HYPERLINK("https://www.boe.es/gazeta/dias/1809/06/21/pdfs/GMD-1809-172.pdf#page=2","Abrir facsímil")</f>
        <v>Abrir facsímil</v>
      </c>
      <c r="K4712" s="3" t="s">
        <v>57</v>
      </c>
    </row>
    <row r="4713" spans="1:11" ht="42" customHeight="1">
      <c r="A4713" s="2" t="s">
        <v>11536</v>
      </c>
      <c r="B4713" s="2" t="s">
        <v>11537</v>
      </c>
      <c r="C4713" s="2" t="s">
        <v>25</v>
      </c>
      <c r="D4713" s="2" t="s">
        <v>40</v>
      </c>
      <c r="E4713" s="3" t="s">
        <v>102</v>
      </c>
      <c r="F4713" s="3" t="s">
        <v>1095</v>
      </c>
      <c r="G4713" s="3" t="s">
        <v>29</v>
      </c>
      <c r="H4713" s="2" t="s">
        <v>55</v>
      </c>
      <c r="I4713" s="2" t="s">
        <v>11538</v>
      </c>
      <c r="J4713" s="3" t="str">
        <f>HYPERLINK("https://www.boe.es/gazeta/dias/1809/09/28/pdfs/GMD-1809-272.pdf#page=3","Abrir facsímil")</f>
        <v>Abrir facsímil</v>
      </c>
      <c r="K4713" s="3" t="s">
        <v>57</v>
      </c>
    </row>
    <row r="4714" spans="1:11" ht="42" customHeight="1">
      <c r="A4714" s="2" t="s">
        <v>11539</v>
      </c>
      <c r="B4714" s="2" t="s">
        <v>11539</v>
      </c>
      <c r="C4714" s="2" t="s">
        <v>131</v>
      </c>
      <c r="D4714" s="2" t="s">
        <v>18</v>
      </c>
      <c r="E4714" s="3" t="s">
        <v>969</v>
      </c>
      <c r="F4714" s="3" t="s">
        <v>6921</v>
      </c>
      <c r="G4714" s="3" t="s">
        <v>11238</v>
      </c>
      <c r="H4714" s="2" t="s">
        <v>55</v>
      </c>
      <c r="I4714" s="2" t="s">
        <v>11540</v>
      </c>
      <c r="J4714" s="3" t="str">
        <f>HYPERLINK("https://www.boe.es/gazeta/dias/1809/09/19/pdfs/GMD-1809-263.pdf#page=1","Abrir facsímil")</f>
        <v>Abrir facsímil</v>
      </c>
      <c r="K4714" s="3" t="s">
        <v>57</v>
      </c>
    </row>
    <row r="4715" spans="1:11" ht="42" customHeight="1">
      <c r="A4715" s="2" t="s">
        <v>11541</v>
      </c>
      <c r="B4715" s="2" t="s">
        <v>11541</v>
      </c>
      <c r="C4715" s="2" t="s">
        <v>25</v>
      </c>
      <c r="D4715" s="2" t="s">
        <v>26</v>
      </c>
      <c r="E4715" s="3" t="s">
        <v>1126</v>
      </c>
      <c r="F4715" s="3" t="s">
        <v>1444</v>
      </c>
      <c r="G4715" s="3" t="s">
        <v>75</v>
      </c>
      <c r="H4715" s="2" t="s">
        <v>55</v>
      </c>
      <c r="I4715" s="2" t="s">
        <v>11542</v>
      </c>
      <c r="J4715" s="3" t="str">
        <f>HYPERLINK("https://www.boe.es/gazeta/dias/1809/06/30/pdfs/GGB-1809-41.pdf#page=10","Abrir facsímil")</f>
        <v>Abrir facsímil</v>
      </c>
      <c r="K4715" s="3" t="s">
        <v>57</v>
      </c>
    </row>
    <row r="4716" spans="1:11" ht="42" customHeight="1">
      <c r="A4716" s="2" t="s">
        <v>11541</v>
      </c>
      <c r="B4716" s="2" t="s">
        <v>11541</v>
      </c>
      <c r="C4716" s="2" t="s">
        <v>25</v>
      </c>
      <c r="D4716" s="2" t="s">
        <v>18</v>
      </c>
      <c r="E4716" s="3" t="s">
        <v>2060</v>
      </c>
      <c r="F4716" s="3" t="s">
        <v>2061</v>
      </c>
      <c r="G4716" s="3" t="s">
        <v>225</v>
      </c>
      <c r="H4716" s="2" t="s">
        <v>55</v>
      </c>
      <c r="I4716" s="2" t="s">
        <v>11543</v>
      </c>
      <c r="J4716" s="3" t="str">
        <f>HYPERLINK("https://www.boe.es/gazeta/dias/1809/07/18/pdfs/GGB-1809-46.pdf#page=4","Abrir facsímil")</f>
        <v>Abrir facsímil</v>
      </c>
      <c r="K4716" s="3" t="s">
        <v>57</v>
      </c>
    </row>
    <row r="4717" spans="1:11" ht="42" customHeight="1">
      <c r="A4717" s="2" t="s">
        <v>11541</v>
      </c>
      <c r="B4717" s="2" t="s">
        <v>11541</v>
      </c>
      <c r="C4717" s="2" t="s">
        <v>25</v>
      </c>
      <c r="D4717" s="2" t="s">
        <v>26</v>
      </c>
      <c r="E4717" s="3" t="s">
        <v>322</v>
      </c>
      <c r="F4717" s="3" t="s">
        <v>435</v>
      </c>
      <c r="G4717" s="3" t="s">
        <v>1682</v>
      </c>
      <c r="H4717" s="2" t="s">
        <v>55</v>
      </c>
      <c r="I4717" s="2" t="s">
        <v>11544</v>
      </c>
      <c r="J4717" s="3" t="str">
        <f>HYPERLINK("https://www.boe.es/gazeta/dias/1809/07/21/pdfs/GGB-1809-47.pdf#page=9","Abrir facsímil")</f>
        <v>Abrir facsímil</v>
      </c>
      <c r="K4717" s="3" t="s">
        <v>57</v>
      </c>
    </row>
    <row r="4718" spans="1:11" ht="42" customHeight="1">
      <c r="A4718" s="2" t="s">
        <v>11545</v>
      </c>
      <c r="B4718" s="2" t="s">
        <v>11545</v>
      </c>
      <c r="C4718" s="2" t="s">
        <v>25</v>
      </c>
      <c r="D4718" s="2" t="s">
        <v>18</v>
      </c>
      <c r="E4718" s="3" t="s">
        <v>1477</v>
      </c>
      <c r="F4718" s="3" t="s">
        <v>1478</v>
      </c>
      <c r="G4718" s="3" t="s">
        <v>270</v>
      </c>
      <c r="H4718" s="2" t="s">
        <v>55</v>
      </c>
      <c r="I4718" s="2" t="s">
        <v>11546</v>
      </c>
      <c r="J4718" s="3" t="str">
        <f>HYPERLINK("https://www.boe.es/gazeta/dias/1809/09/06/pdfs/GMD-1809-250.pdf#page=3","Abrir facsímil")</f>
        <v>Abrir facsímil</v>
      </c>
      <c r="K4718" s="3" t="s">
        <v>57</v>
      </c>
    </row>
    <row r="4719" spans="1:11" ht="42" customHeight="1">
      <c r="A4719" s="2" t="s">
        <v>11547</v>
      </c>
      <c r="B4719" s="2" t="s">
        <v>11547</v>
      </c>
      <c r="C4719" s="2" t="s">
        <v>47</v>
      </c>
      <c r="D4719" s="2" t="s">
        <v>107</v>
      </c>
      <c r="E4719" s="3" t="s">
        <v>2414</v>
      </c>
      <c r="F4719" s="3" t="s">
        <v>2415</v>
      </c>
      <c r="G4719" s="3" t="s">
        <v>11548</v>
      </c>
      <c r="H4719" s="2" t="s">
        <v>55</v>
      </c>
      <c r="I4719" s="2" t="s">
        <v>11549</v>
      </c>
      <c r="J4719" s="3" t="str">
        <f>HYPERLINK("https://www.boe.es/gazeta/dias/1809/11/18/pdfs/GMD-1809-323.pdf#page=1","Abrir facsímil")</f>
        <v>Abrir facsímil</v>
      </c>
      <c r="K4719" s="3" t="s">
        <v>57</v>
      </c>
    </row>
    <row r="4720" spans="1:11" ht="42" customHeight="1">
      <c r="A4720" s="2" t="s">
        <v>11550</v>
      </c>
      <c r="B4720" s="2" t="s">
        <v>11550</v>
      </c>
      <c r="C4720" s="2" t="s">
        <v>17</v>
      </c>
      <c r="D4720" s="2" t="s">
        <v>107</v>
      </c>
      <c r="E4720" s="3" t="s">
        <v>666</v>
      </c>
      <c r="F4720" s="3" t="s">
        <v>6215</v>
      </c>
      <c r="G4720" s="3" t="s">
        <v>136</v>
      </c>
      <c r="H4720" s="2" t="s">
        <v>55</v>
      </c>
      <c r="I4720" s="2" t="s">
        <v>11551</v>
      </c>
      <c r="J4720" s="3" t="str">
        <f>HYPERLINK("https://www.boe.es/gazeta/dias/1809/08/29/pdfs/GMD-1809-242.pdf#page=1","Abrir facsímil")</f>
        <v>Abrir facsímil</v>
      </c>
      <c r="K4720" s="3" t="s">
        <v>57</v>
      </c>
    </row>
    <row r="4721" spans="1:11" ht="42" customHeight="1">
      <c r="A4721" s="2" t="s">
        <v>11552</v>
      </c>
      <c r="B4721" s="2" t="s">
        <v>11552</v>
      </c>
      <c r="C4721" s="2" t="s">
        <v>25</v>
      </c>
      <c r="D4721" s="2" t="s">
        <v>107</v>
      </c>
      <c r="E4721" s="3" t="s">
        <v>201</v>
      </c>
      <c r="F4721" s="3" t="s">
        <v>9368</v>
      </c>
      <c r="G4721" s="3" t="s">
        <v>62</v>
      </c>
      <c r="H4721" s="2" t="s">
        <v>55</v>
      </c>
      <c r="I4721" s="2" t="s">
        <v>11553</v>
      </c>
      <c r="J4721" s="3" t="str">
        <f>HYPERLINK("https://www.boe.es/gazeta/dias/1809/08/15/pdfs/GMD-1809-228.pdf#page=2","Abrir facsímil")</f>
        <v>Abrir facsímil</v>
      </c>
      <c r="K4721" s="3" t="s">
        <v>57</v>
      </c>
    </row>
    <row r="4722" spans="1:11" ht="42" customHeight="1">
      <c r="A4722" s="2" t="s">
        <v>11554</v>
      </c>
      <c r="B4722" s="2" t="s">
        <v>11554</v>
      </c>
      <c r="C4722" s="2" t="s">
        <v>25</v>
      </c>
      <c r="D4722" s="2" t="s">
        <v>26</v>
      </c>
      <c r="E4722" s="3" t="s">
        <v>515</v>
      </c>
      <c r="F4722" s="3" t="s">
        <v>516</v>
      </c>
      <c r="G4722" s="3" t="s">
        <v>10266</v>
      </c>
      <c r="H4722" s="2" t="s">
        <v>55</v>
      </c>
      <c r="I4722" s="2" t="s">
        <v>11555</v>
      </c>
      <c r="J4722" s="3" t="str">
        <f>HYPERLINK("https://www.boe.es/gazeta/dias/1809/09/02/pdfs/GMD-1809-246.pdf#page=1","Abrir facsímil")</f>
        <v>Abrir facsímil</v>
      </c>
      <c r="K4722" s="3" t="s">
        <v>57</v>
      </c>
    </row>
    <row r="4723" spans="1:11" ht="42" customHeight="1">
      <c r="A4723" s="2" t="s">
        <v>11554</v>
      </c>
      <c r="B4723" s="2" t="s">
        <v>11554</v>
      </c>
      <c r="C4723" s="2" t="s">
        <v>25</v>
      </c>
      <c r="D4723" s="2" t="s">
        <v>26</v>
      </c>
      <c r="E4723" s="3" t="s">
        <v>1477</v>
      </c>
      <c r="F4723" s="3" t="s">
        <v>1478</v>
      </c>
      <c r="G4723" s="3" t="s">
        <v>75</v>
      </c>
      <c r="H4723" s="2" t="s">
        <v>55</v>
      </c>
      <c r="I4723" s="2" t="s">
        <v>11556</v>
      </c>
      <c r="J4723" s="3" t="str">
        <f>HYPERLINK("https://www.boe.es/gazeta/dias/1809/09/06/pdfs/GMD-1809-250.pdf#page=2","Abrir facsímil")</f>
        <v>Abrir facsímil</v>
      </c>
      <c r="K4723" s="3" t="s">
        <v>57</v>
      </c>
    </row>
    <row r="4724" spans="1:11" ht="42" customHeight="1">
      <c r="A4724" s="2" t="s">
        <v>11554</v>
      </c>
      <c r="B4724" s="2" t="s">
        <v>11554</v>
      </c>
      <c r="C4724" s="2" t="s">
        <v>17</v>
      </c>
      <c r="D4724" s="2" t="s">
        <v>18</v>
      </c>
      <c r="E4724" s="3" t="s">
        <v>73</v>
      </c>
      <c r="F4724" s="3" t="s">
        <v>1045</v>
      </c>
      <c r="G4724" s="3" t="s">
        <v>3092</v>
      </c>
      <c r="H4724" s="2" t="s">
        <v>55</v>
      </c>
      <c r="I4724" s="2" t="s">
        <v>11557</v>
      </c>
      <c r="J4724" s="3" t="str">
        <f>HYPERLINK("https://www.boe.es/gazeta/dias/1809/09/21/pdfs/GMD-1809-265.pdf#page=2","Abrir facsímil")</f>
        <v>Abrir facsímil</v>
      </c>
      <c r="K4724" s="3" t="s">
        <v>57</v>
      </c>
    </row>
    <row r="4725" spans="1:11" ht="42" customHeight="1">
      <c r="A4725" s="2" t="s">
        <v>11554</v>
      </c>
      <c r="B4725" s="2" t="s">
        <v>11554</v>
      </c>
      <c r="C4725" s="2" t="s">
        <v>17</v>
      </c>
      <c r="D4725" s="2" t="s">
        <v>40</v>
      </c>
      <c r="E4725" s="3" t="s">
        <v>1206</v>
      </c>
      <c r="F4725" s="3" t="s">
        <v>6462</v>
      </c>
      <c r="G4725" s="3" t="s">
        <v>8030</v>
      </c>
      <c r="H4725" s="2" t="s">
        <v>55</v>
      </c>
      <c r="I4725" s="2" t="s">
        <v>11558</v>
      </c>
      <c r="J4725" s="3" t="str">
        <f>HYPERLINK("https://www.boe.es/gazeta/dias/1809/09/23/pdfs/GGB-1809-232.pdf#page=4","Abrir facsímil")</f>
        <v>Abrir facsímil</v>
      </c>
      <c r="K4725" s="3" t="s">
        <v>57</v>
      </c>
    </row>
    <row r="4726" spans="1:11" ht="42" customHeight="1">
      <c r="A4726" s="2" t="s">
        <v>11554</v>
      </c>
      <c r="B4726" s="2" t="s">
        <v>11554</v>
      </c>
      <c r="C4726" s="2" t="s">
        <v>17</v>
      </c>
      <c r="D4726" s="2" t="s">
        <v>18</v>
      </c>
      <c r="E4726" s="3" t="s">
        <v>48</v>
      </c>
      <c r="F4726" s="3" t="s">
        <v>49</v>
      </c>
      <c r="G4726" s="3" t="s">
        <v>29</v>
      </c>
      <c r="H4726" s="2" t="s">
        <v>55</v>
      </c>
      <c r="I4726" s="2" t="s">
        <v>11559</v>
      </c>
      <c r="J4726" s="3" t="str">
        <f>HYPERLINK("https://www.boe.es/gazeta/dias/1809/10/03/pdfs/GMD-1809-277.pdf#page=3","Abrir facsímil")</f>
        <v>Abrir facsímil</v>
      </c>
      <c r="K4726" s="3" t="s">
        <v>57</v>
      </c>
    </row>
    <row r="4727" spans="1:11" ht="42" customHeight="1">
      <c r="A4727" s="2" t="s">
        <v>11554</v>
      </c>
      <c r="B4727" s="2" t="s">
        <v>11554</v>
      </c>
      <c r="C4727" s="2" t="s">
        <v>17</v>
      </c>
      <c r="D4727" s="2" t="s">
        <v>18</v>
      </c>
      <c r="E4727" s="3" t="s">
        <v>616</v>
      </c>
      <c r="F4727" s="3" t="s">
        <v>617</v>
      </c>
      <c r="G4727" s="3" t="s">
        <v>1152</v>
      </c>
      <c r="H4727" s="2" t="s">
        <v>55</v>
      </c>
      <c r="I4727" s="2" t="s">
        <v>11560</v>
      </c>
      <c r="J4727" s="3" t="str">
        <f>HYPERLINK("https://www.boe.es/gazeta/dias/1809/10/15/pdfs/GMD-1809-289.pdf#page=3","Abrir facsímil")</f>
        <v>Abrir facsímil</v>
      </c>
      <c r="K4727" s="3" t="s">
        <v>57</v>
      </c>
    </row>
    <row r="4728" spans="1:11" ht="42" customHeight="1">
      <c r="A4728" s="2" t="s">
        <v>11554</v>
      </c>
      <c r="B4728" s="2" t="s">
        <v>11554</v>
      </c>
      <c r="C4728" s="2" t="s">
        <v>47</v>
      </c>
      <c r="D4728" s="2" t="s">
        <v>107</v>
      </c>
      <c r="E4728" s="3" t="s">
        <v>1439</v>
      </c>
      <c r="F4728" s="3" t="s">
        <v>1440</v>
      </c>
      <c r="G4728" s="3" t="s">
        <v>1441</v>
      </c>
      <c r="H4728" s="2" t="s">
        <v>55</v>
      </c>
      <c r="I4728" s="2" t="s">
        <v>11561</v>
      </c>
      <c r="J4728" s="3" t="str">
        <f>HYPERLINK("https://www.boe.es/gazeta/dias/1809/12/06/pdfs/GMD-1809-341.pdf#page=2","Abrir facsímil")</f>
        <v>Abrir facsímil</v>
      </c>
      <c r="K4728" s="3" t="s">
        <v>57</v>
      </c>
    </row>
    <row r="4729" spans="1:11" ht="42" customHeight="1">
      <c r="A4729" s="2" t="s">
        <v>11562</v>
      </c>
      <c r="B4729" s="2" t="s">
        <v>11562</v>
      </c>
      <c r="C4729" s="2" t="s">
        <v>25</v>
      </c>
      <c r="D4729" s="2" t="s">
        <v>18</v>
      </c>
      <c r="E4729" s="3" t="s">
        <v>864</v>
      </c>
      <c r="F4729" s="3" t="s">
        <v>865</v>
      </c>
      <c r="G4729" s="3" t="s">
        <v>467</v>
      </c>
      <c r="H4729" s="2" t="s">
        <v>55</v>
      </c>
      <c r="I4729" s="2" t="s">
        <v>11563</v>
      </c>
      <c r="J4729" s="3" t="str">
        <f>HYPERLINK("https://www.boe.es/gazeta/dias/1809/08/31/pdfs/GMD-1809-244.pdf#page=1","Abrir facsímil")</f>
        <v>Abrir facsímil</v>
      </c>
      <c r="K4729" s="3" t="s">
        <v>57</v>
      </c>
    </row>
    <row r="4730" spans="1:11" ht="42" customHeight="1">
      <c r="A4730" s="2" t="s">
        <v>11564</v>
      </c>
      <c r="B4730" s="2" t="s">
        <v>11564</v>
      </c>
      <c r="C4730" s="2" t="s">
        <v>25</v>
      </c>
      <c r="D4730" s="2" t="s">
        <v>18</v>
      </c>
      <c r="E4730" s="3" t="s">
        <v>1053</v>
      </c>
      <c r="F4730" s="3" t="s">
        <v>1054</v>
      </c>
      <c r="G4730" s="3" t="s">
        <v>110</v>
      </c>
      <c r="H4730" s="2" t="s">
        <v>55</v>
      </c>
      <c r="I4730" s="2" t="s">
        <v>11565</v>
      </c>
      <c r="J4730" s="3" t="str">
        <f>HYPERLINK("https://www.boe.es/gazeta/dias/1809/05/13/pdfs/GMD-1809-133.pdf#page=6","Abrir facsímil")</f>
        <v>Abrir facsímil</v>
      </c>
      <c r="K4730" s="3" t="s">
        <v>57</v>
      </c>
    </row>
    <row r="4731" spans="1:11" ht="42" customHeight="1">
      <c r="A4731" s="2" t="s">
        <v>11566</v>
      </c>
      <c r="B4731" s="2" t="s">
        <v>11566</v>
      </c>
      <c r="C4731" s="2" t="s">
        <v>25</v>
      </c>
      <c r="D4731" s="2" t="s">
        <v>26</v>
      </c>
      <c r="E4731" s="3" t="s">
        <v>384</v>
      </c>
      <c r="F4731" s="3" t="s">
        <v>385</v>
      </c>
      <c r="G4731" s="3" t="s">
        <v>120</v>
      </c>
      <c r="H4731" s="2" t="s">
        <v>55</v>
      </c>
      <c r="I4731" s="2" t="s">
        <v>11567</v>
      </c>
      <c r="J4731" s="3" t="str">
        <f>HYPERLINK("https://www.boe.es/gazeta/dias/1809/07/27/pdfs/GMD-1809-208.pdf#page=1","Abrir facsímil")</f>
        <v>Abrir facsímil</v>
      </c>
      <c r="K4731" s="3" t="s">
        <v>57</v>
      </c>
    </row>
    <row r="4732" spans="1:11" ht="42" customHeight="1">
      <c r="A4732" s="2" t="s">
        <v>11568</v>
      </c>
      <c r="B4732" s="2" t="s">
        <v>11568</v>
      </c>
      <c r="C4732" s="2" t="s">
        <v>17</v>
      </c>
      <c r="D4732" s="2" t="s">
        <v>18</v>
      </c>
      <c r="E4732" s="3" t="s">
        <v>48</v>
      </c>
      <c r="F4732" s="3" t="s">
        <v>49</v>
      </c>
      <c r="G4732" s="3" t="s">
        <v>29</v>
      </c>
      <c r="H4732" s="2" t="s">
        <v>55</v>
      </c>
      <c r="I4732" s="2" t="s">
        <v>11569</v>
      </c>
      <c r="J4732" s="3" t="str">
        <f>HYPERLINK("https://www.boe.es/gazeta/dias/1809/10/03/pdfs/GMD-1809-277.pdf#page=3","Abrir facsímil")</f>
        <v>Abrir facsímil</v>
      </c>
      <c r="K4732" s="3" t="s">
        <v>57</v>
      </c>
    </row>
    <row r="4733" spans="1:11" ht="42" customHeight="1">
      <c r="A4733" s="2" t="s">
        <v>11570</v>
      </c>
      <c r="B4733" s="2" t="s">
        <v>11570</v>
      </c>
      <c r="C4733" s="2" t="s">
        <v>25</v>
      </c>
      <c r="D4733" s="2" t="s">
        <v>26</v>
      </c>
      <c r="E4733" s="3" t="s">
        <v>1652</v>
      </c>
      <c r="F4733" s="3" t="s">
        <v>1653</v>
      </c>
      <c r="G4733" s="3" t="s">
        <v>2251</v>
      </c>
      <c r="H4733" s="2" t="s">
        <v>55</v>
      </c>
      <c r="I4733" s="2" t="s">
        <v>11571</v>
      </c>
      <c r="J4733" s="3" t="str">
        <f>HYPERLINK("https://www.boe.es/gazeta/dias/1809/07/25/pdfs/GGB-1809-48.pdf#page=5","Abrir facsímil")</f>
        <v>Abrir facsímil</v>
      </c>
      <c r="K4733" s="3" t="s">
        <v>57</v>
      </c>
    </row>
    <row r="4734" spans="1:11" ht="42" customHeight="1">
      <c r="A4734" s="2" t="s">
        <v>11572</v>
      </c>
      <c r="B4734" s="2" t="s">
        <v>11572</v>
      </c>
      <c r="C4734" s="2" t="s">
        <v>25</v>
      </c>
      <c r="D4734" s="2" t="s">
        <v>26</v>
      </c>
      <c r="E4734" s="3" t="s">
        <v>384</v>
      </c>
      <c r="F4734" s="3" t="s">
        <v>385</v>
      </c>
      <c r="G4734" s="3" t="s">
        <v>120</v>
      </c>
      <c r="H4734" s="2" t="s">
        <v>55</v>
      </c>
      <c r="I4734" s="2" t="s">
        <v>11573</v>
      </c>
      <c r="J4734" s="3" t="str">
        <f>HYPERLINK("https://www.boe.es/gazeta/dias/1809/07/27/pdfs/GMD-1809-208.pdf#page=1","Abrir facsímil")</f>
        <v>Abrir facsímil</v>
      </c>
      <c r="K4734" s="3" t="s">
        <v>57</v>
      </c>
    </row>
    <row r="4735" spans="1:11" ht="42" customHeight="1">
      <c r="A4735" s="2" t="s">
        <v>11574</v>
      </c>
      <c r="B4735" s="2" t="s">
        <v>11574</v>
      </c>
      <c r="C4735" s="2" t="s">
        <v>25</v>
      </c>
      <c r="D4735" s="2" t="s">
        <v>18</v>
      </c>
      <c r="E4735" s="3" t="s">
        <v>464</v>
      </c>
      <c r="F4735" s="3" t="s">
        <v>465</v>
      </c>
      <c r="G4735" s="3" t="s">
        <v>3066</v>
      </c>
      <c r="H4735" s="2" t="s">
        <v>55</v>
      </c>
      <c r="I4735" s="2" t="s">
        <v>11575</v>
      </c>
      <c r="J4735" s="3" t="str">
        <f>HYPERLINK("https://www.boe.es/gazeta/dias/1809/07/05/pdfs/GMD-1809-186.pdf#page=1","Abrir facsímil")</f>
        <v>Abrir facsímil</v>
      </c>
      <c r="K4735" s="3" t="s">
        <v>57</v>
      </c>
    </row>
    <row r="4736" spans="1:11" ht="42" customHeight="1">
      <c r="A4736" s="2" t="s">
        <v>11576</v>
      </c>
      <c r="B4736" s="2" t="s">
        <v>11576</v>
      </c>
      <c r="C4736" s="2" t="s">
        <v>25</v>
      </c>
      <c r="D4736" s="2" t="s">
        <v>18</v>
      </c>
      <c r="E4736" s="3" t="s">
        <v>567</v>
      </c>
      <c r="F4736" s="3" t="s">
        <v>568</v>
      </c>
      <c r="G4736" s="3" t="s">
        <v>239</v>
      </c>
      <c r="H4736" s="2" t="s">
        <v>55</v>
      </c>
      <c r="I4736" s="2" t="s">
        <v>11577</v>
      </c>
      <c r="J4736" s="3" t="str">
        <f>HYPERLINK("https://www.boe.es/gazeta/dias/1809/06/03/pdfs/GMD-1809-154.pdf#page=2","Abrir facsímil")</f>
        <v>Abrir facsímil</v>
      </c>
      <c r="K4736" s="3" t="s">
        <v>57</v>
      </c>
    </row>
    <row r="4737" spans="1:11" ht="42" customHeight="1">
      <c r="A4737" s="2" t="s">
        <v>11578</v>
      </c>
      <c r="B4737" s="2" t="s">
        <v>11578</v>
      </c>
      <c r="C4737" s="2" t="s">
        <v>25</v>
      </c>
      <c r="D4737" s="2" t="s">
        <v>18</v>
      </c>
      <c r="E4737" s="3" t="s">
        <v>1282</v>
      </c>
      <c r="F4737" s="3" t="s">
        <v>1283</v>
      </c>
      <c r="G4737" s="3" t="s">
        <v>1935</v>
      </c>
      <c r="H4737" s="2" t="s">
        <v>55</v>
      </c>
      <c r="I4737" s="2" t="s">
        <v>11579</v>
      </c>
      <c r="J4737" s="3" t="str">
        <f>HYPERLINK("https://www.boe.es/gazeta/dias/1809/06/26/pdfs/GGB-1809-40.pdf#page=3","Abrir facsímil")</f>
        <v>Abrir facsímil</v>
      </c>
      <c r="K4737" s="3" t="s">
        <v>57</v>
      </c>
    </row>
    <row r="4738" spans="1:11" ht="42" customHeight="1">
      <c r="A4738" s="2" t="s">
        <v>11580</v>
      </c>
      <c r="B4738" s="2" t="s">
        <v>11580</v>
      </c>
      <c r="C4738" s="2" t="s">
        <v>17</v>
      </c>
      <c r="D4738" s="2" t="s">
        <v>18</v>
      </c>
      <c r="E4738" s="3" t="s">
        <v>3714</v>
      </c>
      <c r="F4738" s="3" t="s">
        <v>3715</v>
      </c>
      <c r="G4738" s="3" t="s">
        <v>2422</v>
      </c>
      <c r="H4738" s="2" t="s">
        <v>55</v>
      </c>
      <c r="I4738" s="2" t="s">
        <v>11581</v>
      </c>
      <c r="J4738" s="3" t="str">
        <f>HYPERLINK("https://www.boe.es/gazeta/dias/1809/12/07/pdfs/GMD-1809-342.pdf#page=1","Abrir facsímil")</f>
        <v>Abrir facsímil</v>
      </c>
      <c r="K4738" s="3" t="s">
        <v>57</v>
      </c>
    </row>
    <row r="4739" spans="1:11" ht="42" customHeight="1">
      <c r="A4739" s="2" t="s">
        <v>11582</v>
      </c>
      <c r="B4739" s="2" t="s">
        <v>11582</v>
      </c>
      <c r="C4739" s="2" t="s">
        <v>25</v>
      </c>
      <c r="D4739" s="2" t="s">
        <v>40</v>
      </c>
      <c r="E4739" s="3" t="s">
        <v>503</v>
      </c>
      <c r="F4739" s="3" t="s">
        <v>504</v>
      </c>
      <c r="G4739" s="3" t="s">
        <v>154</v>
      </c>
      <c r="H4739" s="2" t="s">
        <v>55</v>
      </c>
      <c r="I4739" s="2" t="s">
        <v>11583</v>
      </c>
      <c r="J4739" s="3" t="str">
        <f>HYPERLINK("https://www.boe.es/gazeta/dias/1809/09/01/pdfs/GMD-1809-245.pdf#page=2","Abrir facsímil")</f>
        <v>Abrir facsímil</v>
      </c>
      <c r="K4739" s="3" t="s">
        <v>57</v>
      </c>
    </row>
    <row r="4740" spans="1:11" ht="42" customHeight="1">
      <c r="A4740" s="2" t="s">
        <v>11584</v>
      </c>
      <c r="B4740" s="2" t="s">
        <v>11585</v>
      </c>
      <c r="C4740" s="2" t="s">
        <v>25</v>
      </c>
      <c r="D4740" s="2" t="s">
        <v>18</v>
      </c>
      <c r="E4740" s="3" t="s">
        <v>1551</v>
      </c>
      <c r="F4740" s="3" t="s">
        <v>1552</v>
      </c>
      <c r="G4740" s="3" t="s">
        <v>234</v>
      </c>
      <c r="H4740" s="2" t="s">
        <v>22</v>
      </c>
      <c r="I4740" s="2" t="s">
        <v>11586</v>
      </c>
      <c r="J4740" s="3" t="str">
        <f>HYPERLINK("https://www.boe.es/gazeta/dias/1809/06/12/pdfs/GGB-1809-36.pdf#page=7","Abrir facsímil")</f>
        <v>Abrir facsímil</v>
      </c>
      <c r="K4740" s="3" t="s">
        <v>24</v>
      </c>
    </row>
    <row r="4741" spans="1:11" ht="42" customHeight="1">
      <c r="A4741" s="2" t="s">
        <v>11587</v>
      </c>
      <c r="B4741" s="2" t="s">
        <v>11588</v>
      </c>
      <c r="C4741" s="2" t="s">
        <v>79</v>
      </c>
      <c r="D4741" s="2" t="s">
        <v>18</v>
      </c>
      <c r="E4741" s="3" t="s">
        <v>53</v>
      </c>
      <c r="F4741" s="3" t="s">
        <v>54</v>
      </c>
      <c r="G4741" s="3" t="s">
        <v>29</v>
      </c>
      <c r="H4741" s="2" t="s">
        <v>55</v>
      </c>
      <c r="I4741" s="2" t="s">
        <v>11589</v>
      </c>
      <c r="J4741" s="3" t="str">
        <f>HYPERLINK("https://www.boe.es/gazeta/dias/1809/03/03/pdfs/GMD-1809-62.pdf#page=3","Abrir facsímil")</f>
        <v>Abrir facsímil</v>
      </c>
      <c r="K4741" s="3" t="s">
        <v>57</v>
      </c>
    </row>
    <row r="4742" spans="1:11" ht="42" customHeight="1">
      <c r="A4742" s="2" t="s">
        <v>11590</v>
      </c>
      <c r="B4742" s="2" t="s">
        <v>11591</v>
      </c>
      <c r="C4742" s="2" t="s">
        <v>369</v>
      </c>
      <c r="D4742" s="2" t="s">
        <v>18</v>
      </c>
      <c r="E4742" s="3" t="s">
        <v>33</v>
      </c>
      <c r="F4742" s="3" t="s">
        <v>34</v>
      </c>
      <c r="G4742" s="3" t="s">
        <v>595</v>
      </c>
      <c r="H4742" s="2" t="s">
        <v>55</v>
      </c>
      <c r="I4742" s="2" t="s">
        <v>11592</v>
      </c>
      <c r="J4742" s="3" t="str">
        <f>HYPERLINK("https://www.boe.es/gazeta/dias/1809/12/19/pdfs/GGB-1809-602.pdf#page=7","Abrir facsímil")</f>
        <v>Abrir facsímil</v>
      </c>
      <c r="K4742" s="3" t="s">
        <v>57</v>
      </c>
    </row>
    <row r="4743" spans="1:11" ht="42" customHeight="1">
      <c r="A4743" s="2" t="s">
        <v>11593</v>
      </c>
      <c r="B4743" s="2" t="s">
        <v>11594</v>
      </c>
      <c r="C4743" s="2" t="s">
        <v>17</v>
      </c>
      <c r="D4743" s="2" t="s">
        <v>18</v>
      </c>
      <c r="E4743" s="3" t="s">
        <v>347</v>
      </c>
      <c r="F4743" s="3" t="s">
        <v>348</v>
      </c>
      <c r="G4743" s="3" t="s">
        <v>270</v>
      </c>
      <c r="H4743" s="2" t="s">
        <v>55</v>
      </c>
      <c r="I4743" s="2" t="s">
        <v>11595</v>
      </c>
      <c r="J4743" s="3" t="str">
        <f>HYPERLINK("https://www.boe.es/gazeta/dias/1809/03/07/pdfs/GMD-1809-66.pdf#page=4","Abrir facsímil")</f>
        <v>Abrir facsímil</v>
      </c>
      <c r="K4743" s="3" t="s">
        <v>57</v>
      </c>
    </row>
    <row r="4744" spans="1:11" ht="42" customHeight="1">
      <c r="A4744" s="2" t="s">
        <v>11596</v>
      </c>
      <c r="B4744" s="2" t="s">
        <v>11596</v>
      </c>
      <c r="C4744" s="2" t="s">
        <v>25</v>
      </c>
      <c r="D4744" s="2" t="s">
        <v>26</v>
      </c>
      <c r="E4744" s="3" t="s">
        <v>1489</v>
      </c>
      <c r="F4744" s="3" t="s">
        <v>1490</v>
      </c>
      <c r="G4744" s="3" t="s">
        <v>234</v>
      </c>
      <c r="H4744" s="2" t="s">
        <v>55</v>
      </c>
      <c r="I4744" s="2" t="s">
        <v>11597</v>
      </c>
      <c r="J4744" s="3" t="str">
        <f>HYPERLINK("https://www.boe.es/gazeta/dias/1809/06/28/pdfs/GMD-1809-179.pdf#page=3","Abrir facsímil")</f>
        <v>Abrir facsímil</v>
      </c>
      <c r="K4744" s="3" t="s">
        <v>57</v>
      </c>
    </row>
    <row r="4745" spans="1:11" ht="42" customHeight="1">
      <c r="A4745" s="2" t="s">
        <v>11598</v>
      </c>
      <c r="B4745" s="2" t="s">
        <v>11598</v>
      </c>
      <c r="C4745" s="2" t="s">
        <v>25</v>
      </c>
      <c r="D4745" s="2" t="s">
        <v>18</v>
      </c>
      <c r="E4745" s="3" t="s">
        <v>1123</v>
      </c>
      <c r="F4745" s="3" t="s">
        <v>1124</v>
      </c>
      <c r="G4745" s="3" t="s">
        <v>154</v>
      </c>
      <c r="H4745" s="2" t="s">
        <v>55</v>
      </c>
      <c r="I4745" s="2" t="s">
        <v>11599</v>
      </c>
      <c r="J4745" s="3" t="str">
        <f>HYPERLINK("https://www.boe.es/gazeta/dias/1809/01/08/pdfs/GMD-1809-8.pdf#page=2","Abrir facsímil")</f>
        <v>Abrir facsímil</v>
      </c>
      <c r="K4745" s="3" t="s">
        <v>57</v>
      </c>
    </row>
    <row r="4746" spans="1:11" ht="42" customHeight="1">
      <c r="A4746" s="2" t="s">
        <v>11598</v>
      </c>
      <c r="B4746" s="2" t="s">
        <v>11598</v>
      </c>
      <c r="C4746" s="2" t="s">
        <v>17</v>
      </c>
      <c r="D4746" s="2" t="s">
        <v>18</v>
      </c>
      <c r="E4746" s="3" t="s">
        <v>925</v>
      </c>
      <c r="F4746" s="3" t="s">
        <v>926</v>
      </c>
      <c r="G4746" s="3" t="s">
        <v>62</v>
      </c>
      <c r="H4746" s="2" t="s">
        <v>55</v>
      </c>
      <c r="I4746" s="2" t="s">
        <v>11600</v>
      </c>
      <c r="J4746" s="3" t="str">
        <f>HYPERLINK("https://www.boe.es/gazeta/dias/1809/01/11/pdfs/GGB-1809-2.pdf#page=6","Abrir facsímil")</f>
        <v>Abrir facsímil</v>
      </c>
      <c r="K4746" s="3" t="s">
        <v>57</v>
      </c>
    </row>
    <row r="4747" spans="1:11" ht="42" customHeight="1">
      <c r="A4747" s="2" t="s">
        <v>11598</v>
      </c>
      <c r="B4747" s="2" t="s">
        <v>11598</v>
      </c>
      <c r="C4747" s="2" t="s">
        <v>17</v>
      </c>
      <c r="D4747" s="2" t="s">
        <v>72</v>
      </c>
      <c r="E4747" s="3" t="s">
        <v>557</v>
      </c>
      <c r="F4747" s="3" t="s">
        <v>558</v>
      </c>
      <c r="G4747" s="3" t="s">
        <v>265</v>
      </c>
      <c r="H4747" s="2" t="s">
        <v>55</v>
      </c>
      <c r="I4747" s="2" t="s">
        <v>11601</v>
      </c>
      <c r="J4747" s="3" t="str">
        <f>HYPERLINK("https://www.boe.es/gazeta/dias/1809/04/19/pdfs/GMD-E-1809-109.pdf#page=2","Abrir facsímil")</f>
        <v>Abrir facsímil</v>
      </c>
      <c r="K4747" s="3" t="s">
        <v>57</v>
      </c>
    </row>
    <row r="4748" spans="1:11" ht="42" customHeight="1">
      <c r="A4748" s="2" t="s">
        <v>11598</v>
      </c>
      <c r="B4748" s="2" t="s">
        <v>11598</v>
      </c>
      <c r="C4748" s="2" t="s">
        <v>131</v>
      </c>
      <c r="D4748" s="2" t="s">
        <v>18</v>
      </c>
      <c r="E4748" s="3" t="s">
        <v>551</v>
      </c>
      <c r="F4748" s="3" t="s">
        <v>552</v>
      </c>
      <c r="G4748" s="3" t="s">
        <v>553</v>
      </c>
      <c r="H4748" s="2" t="s">
        <v>55</v>
      </c>
      <c r="I4748" s="2" t="s">
        <v>11602</v>
      </c>
      <c r="J4748" s="3" t="str">
        <f>HYPERLINK("https://www.boe.es/gazeta/dias/1809/05/04/pdfs/GMD-1809-124.pdf#page=1","Abrir facsímil")</f>
        <v>Abrir facsímil</v>
      </c>
      <c r="K4748" s="3" t="s">
        <v>57</v>
      </c>
    </row>
    <row r="4749" spans="1:11" ht="42" customHeight="1">
      <c r="A4749" s="2" t="s">
        <v>11598</v>
      </c>
      <c r="B4749" s="2" t="s">
        <v>11598</v>
      </c>
      <c r="C4749" s="2" t="s">
        <v>131</v>
      </c>
      <c r="D4749" s="2" t="s">
        <v>18</v>
      </c>
      <c r="E4749" s="3" t="s">
        <v>2060</v>
      </c>
      <c r="F4749" s="3" t="s">
        <v>2061</v>
      </c>
      <c r="G4749" s="3" t="s">
        <v>110</v>
      </c>
      <c r="H4749" s="2" t="s">
        <v>55</v>
      </c>
      <c r="I4749" s="2" t="s">
        <v>11603</v>
      </c>
      <c r="J4749" s="3" t="str">
        <f>HYPERLINK("https://www.boe.es/gazeta/dias/1809/07/18/pdfs/GGB-1809-46.pdf#page=12","Abrir facsímil")</f>
        <v>Abrir facsímil</v>
      </c>
      <c r="K4749" s="3" t="s">
        <v>57</v>
      </c>
    </row>
    <row r="4750" spans="1:11" ht="42" customHeight="1">
      <c r="A4750" s="2" t="s">
        <v>11598</v>
      </c>
      <c r="B4750" s="2" t="s">
        <v>11598</v>
      </c>
      <c r="C4750" s="2" t="s">
        <v>25</v>
      </c>
      <c r="D4750" s="2" t="s">
        <v>18</v>
      </c>
      <c r="E4750" s="3" t="s">
        <v>1269</v>
      </c>
      <c r="F4750" s="3" t="s">
        <v>3272</v>
      </c>
      <c r="G4750" s="3" t="s">
        <v>3273</v>
      </c>
      <c r="H4750" s="2" t="s">
        <v>55</v>
      </c>
      <c r="I4750" s="2" t="s">
        <v>11604</v>
      </c>
      <c r="J4750" s="3" t="str">
        <f>HYPERLINK("https://www.boe.es/gazeta/dias/1809/08/12/pdfs/GMD-1809-225.pdf#page=3","Abrir facsímil")</f>
        <v>Abrir facsímil</v>
      </c>
      <c r="K4750" s="3" t="s">
        <v>57</v>
      </c>
    </row>
    <row r="4751" spans="1:11" ht="42" customHeight="1">
      <c r="A4751" s="2" t="s">
        <v>11598</v>
      </c>
      <c r="B4751" s="2" t="s">
        <v>11598</v>
      </c>
      <c r="C4751" s="2" t="s">
        <v>25</v>
      </c>
      <c r="D4751" s="2" t="s">
        <v>26</v>
      </c>
      <c r="E4751" s="3" t="s">
        <v>190</v>
      </c>
      <c r="F4751" s="3" t="s">
        <v>3283</v>
      </c>
      <c r="G4751" s="3" t="s">
        <v>1935</v>
      </c>
      <c r="H4751" s="2" t="s">
        <v>55</v>
      </c>
      <c r="I4751" s="2" t="s">
        <v>11605</v>
      </c>
      <c r="J4751" s="3" t="str">
        <f>HYPERLINK("https://www.boe.es/gazeta/dias/1809/10/14/pdfs/GMD-1809-288.pdf#page=4","Abrir facsímil")</f>
        <v>Abrir facsímil</v>
      </c>
      <c r="K4751" s="3" t="s">
        <v>57</v>
      </c>
    </row>
    <row r="4752" spans="1:11" ht="42" customHeight="1">
      <c r="A4752" s="2" t="s">
        <v>11606</v>
      </c>
      <c r="B4752" s="2" t="s">
        <v>11606</v>
      </c>
      <c r="C4752" s="2" t="s">
        <v>25</v>
      </c>
      <c r="D4752" s="2" t="s">
        <v>26</v>
      </c>
      <c r="E4752" s="3" t="s">
        <v>211</v>
      </c>
      <c r="F4752" s="3" t="s">
        <v>212</v>
      </c>
      <c r="G4752" s="3" t="s">
        <v>213</v>
      </c>
      <c r="H4752" s="2" t="s">
        <v>55</v>
      </c>
      <c r="I4752" s="2" t="s">
        <v>11607</v>
      </c>
      <c r="J4752" s="3" t="str">
        <f>HYPERLINK("https://www.boe.es/gazeta/dias/1809/10/27/pdfs/GMD-1809-301.pdf#page=4","Abrir facsímil")</f>
        <v>Abrir facsímil</v>
      </c>
      <c r="K4752" s="3" t="s">
        <v>57</v>
      </c>
    </row>
    <row r="4753" spans="1:11" ht="42" customHeight="1">
      <c r="A4753" s="2" t="s">
        <v>11598</v>
      </c>
      <c r="B4753" s="2" t="s">
        <v>11598</v>
      </c>
      <c r="C4753" s="2" t="s">
        <v>25</v>
      </c>
      <c r="D4753" s="2" t="s">
        <v>26</v>
      </c>
      <c r="E4753" s="3" t="s">
        <v>216</v>
      </c>
      <c r="F4753" s="3" t="s">
        <v>217</v>
      </c>
      <c r="G4753" s="3" t="s">
        <v>94</v>
      </c>
      <c r="H4753" s="2" t="s">
        <v>55</v>
      </c>
      <c r="I4753" s="2" t="s">
        <v>11608</v>
      </c>
      <c r="J4753" s="3" t="str">
        <f>HYPERLINK("https://www.boe.es/gazeta/dias/1809/12/05/pdfs/GGB-H-1809-542.pdf#page=5","Abrir facsímil")</f>
        <v>Abrir facsímil</v>
      </c>
      <c r="K4753" s="3" t="s">
        <v>57</v>
      </c>
    </row>
    <row r="4754" spans="1:11" ht="42" customHeight="1">
      <c r="A4754" s="2" t="s">
        <v>11598</v>
      </c>
      <c r="B4754" s="2" t="s">
        <v>11598</v>
      </c>
      <c r="C4754" s="2" t="s">
        <v>25</v>
      </c>
      <c r="D4754" s="2" t="s">
        <v>107</v>
      </c>
      <c r="E4754" s="3" t="s">
        <v>473</v>
      </c>
      <c r="F4754" s="3" t="s">
        <v>474</v>
      </c>
      <c r="G4754" s="3" t="s">
        <v>234</v>
      </c>
      <c r="H4754" s="2" t="s">
        <v>55</v>
      </c>
      <c r="I4754" s="2" t="s">
        <v>11609</v>
      </c>
      <c r="J4754" s="3" t="str">
        <f>HYPERLINK("https://www.boe.es/gazeta/dias/1809/12/28/pdfs/GMD-1809-363.pdf#page=3","Abrir facsímil")</f>
        <v>Abrir facsímil</v>
      </c>
      <c r="K4754" s="3" t="s">
        <v>57</v>
      </c>
    </row>
    <row r="4755" spans="1:11" ht="42" customHeight="1">
      <c r="A4755" s="2" t="s">
        <v>11610</v>
      </c>
      <c r="B4755" s="2" t="s">
        <v>11610</v>
      </c>
      <c r="C4755" s="2" t="s">
        <v>25</v>
      </c>
      <c r="D4755" s="2" t="s">
        <v>26</v>
      </c>
      <c r="E4755" s="3" t="s">
        <v>1269</v>
      </c>
      <c r="F4755" s="3" t="s">
        <v>3272</v>
      </c>
      <c r="G4755" s="3" t="s">
        <v>3273</v>
      </c>
      <c r="H4755" s="2" t="s">
        <v>55</v>
      </c>
      <c r="I4755" s="2" t="s">
        <v>11611</v>
      </c>
      <c r="J4755" s="3" t="str">
        <f>HYPERLINK("https://www.boe.es/gazeta/dias/1809/08/12/pdfs/GMD-1809-225.pdf#page=3","Abrir facsímil")</f>
        <v>Abrir facsímil</v>
      </c>
      <c r="K4755" s="3" t="s">
        <v>57</v>
      </c>
    </row>
    <row r="4756" spans="1:11" ht="42" customHeight="1">
      <c r="A4756" s="2" t="s">
        <v>11612</v>
      </c>
      <c r="B4756" s="2" t="s">
        <v>11612</v>
      </c>
      <c r="C4756" s="2" t="s">
        <v>25</v>
      </c>
      <c r="D4756" s="2" t="s">
        <v>26</v>
      </c>
      <c r="E4756" s="3" t="s">
        <v>599</v>
      </c>
      <c r="F4756" s="3" t="s">
        <v>600</v>
      </c>
      <c r="G4756" s="3" t="s">
        <v>234</v>
      </c>
      <c r="H4756" s="2" t="s">
        <v>55</v>
      </c>
      <c r="I4756" s="2" t="s">
        <v>11613</v>
      </c>
      <c r="J4756" s="3" t="str">
        <f>HYPERLINK("https://www.boe.es/gazeta/dias/1809/01/19/pdfs/GMD-1809-19.pdf#page=2","Abrir facsímil")</f>
        <v>Abrir facsímil</v>
      </c>
      <c r="K4756" s="3" t="s">
        <v>57</v>
      </c>
    </row>
    <row r="4757" spans="1:11" ht="42" customHeight="1">
      <c r="A4757" s="2" t="s">
        <v>11612</v>
      </c>
      <c r="B4757" s="2" t="s">
        <v>11612</v>
      </c>
      <c r="C4757" s="2" t="s">
        <v>25</v>
      </c>
      <c r="D4757" s="2" t="s">
        <v>26</v>
      </c>
      <c r="E4757" s="3" t="s">
        <v>1687</v>
      </c>
      <c r="F4757" s="3" t="s">
        <v>1688</v>
      </c>
      <c r="G4757" s="3" t="s">
        <v>11614</v>
      </c>
      <c r="H4757" s="2" t="s">
        <v>55</v>
      </c>
      <c r="I4757" s="2" t="s">
        <v>11615</v>
      </c>
      <c r="J4757" s="3" t="str">
        <f>HYPERLINK("https://www.boe.es/gazeta/dias/1809/02/25/pdfs/GMD-1809-56.pdf#page=4","Abrir facsímil")</f>
        <v>Abrir facsímil</v>
      </c>
      <c r="K4757" s="3" t="s">
        <v>57</v>
      </c>
    </row>
    <row r="4758" spans="1:11" ht="42" customHeight="1">
      <c r="A4758" s="2" t="s">
        <v>11612</v>
      </c>
      <c r="B4758" s="2" t="s">
        <v>11612</v>
      </c>
      <c r="C4758" s="2" t="s">
        <v>25</v>
      </c>
      <c r="D4758" s="2" t="s">
        <v>18</v>
      </c>
      <c r="E4758" s="3" t="s">
        <v>11616</v>
      </c>
      <c r="F4758" s="3" t="s">
        <v>11617</v>
      </c>
      <c r="G4758" s="3" t="s">
        <v>234</v>
      </c>
      <c r="H4758" s="2" t="s">
        <v>55</v>
      </c>
      <c r="I4758" s="2" t="s">
        <v>11618</v>
      </c>
      <c r="J4758" s="3" t="str">
        <f>HYPERLINK("https://www.boe.es/gazeta/dias/1809/04/18/pdfs/GMD-1809-108.pdf#page=4","Abrir facsímil")</f>
        <v>Abrir facsímil</v>
      </c>
      <c r="K4758" s="3" t="s">
        <v>57</v>
      </c>
    </row>
    <row r="4759" spans="1:11" ht="42" customHeight="1">
      <c r="A4759" s="2" t="s">
        <v>11612</v>
      </c>
      <c r="B4759" s="2" t="s">
        <v>11612</v>
      </c>
      <c r="C4759" s="2" t="s">
        <v>25</v>
      </c>
      <c r="D4759" s="2" t="s">
        <v>26</v>
      </c>
      <c r="E4759" s="3" t="s">
        <v>299</v>
      </c>
      <c r="F4759" s="3" t="s">
        <v>6928</v>
      </c>
      <c r="G4759" s="3" t="s">
        <v>62</v>
      </c>
      <c r="H4759" s="2" t="s">
        <v>55</v>
      </c>
      <c r="I4759" s="2" t="s">
        <v>11619</v>
      </c>
      <c r="J4759" s="3" t="str">
        <f>HYPERLINK("https://www.boe.es/gazeta/dias/1809/05/26/pdfs/GMD-1809-146.pdf#page=3","Abrir facsímil")</f>
        <v>Abrir facsímil</v>
      </c>
      <c r="K4759" s="3" t="s">
        <v>57</v>
      </c>
    </row>
    <row r="4760" spans="1:11" ht="42" customHeight="1">
      <c r="A4760" s="2" t="s">
        <v>11612</v>
      </c>
      <c r="B4760" s="2" t="s">
        <v>11612</v>
      </c>
      <c r="C4760" s="2" t="s">
        <v>25</v>
      </c>
      <c r="D4760" s="2" t="s">
        <v>18</v>
      </c>
      <c r="E4760" s="3" t="s">
        <v>1269</v>
      </c>
      <c r="F4760" s="3" t="s">
        <v>3272</v>
      </c>
      <c r="G4760" s="3" t="s">
        <v>89</v>
      </c>
      <c r="H4760" s="2" t="s">
        <v>55</v>
      </c>
      <c r="I4760" s="2" t="s">
        <v>11620</v>
      </c>
      <c r="J4760" s="3" t="str">
        <f>HYPERLINK("https://www.boe.es/gazeta/dias/1809/08/12/pdfs/GMD-1809-225.pdf#page=2","Abrir facsímil")</f>
        <v>Abrir facsímil</v>
      </c>
      <c r="K4760" s="3" t="s">
        <v>57</v>
      </c>
    </row>
    <row r="4761" spans="1:11" ht="42" customHeight="1">
      <c r="A4761" s="2" t="s">
        <v>11612</v>
      </c>
      <c r="B4761" s="2" t="s">
        <v>11612</v>
      </c>
      <c r="C4761" s="2" t="s">
        <v>25</v>
      </c>
      <c r="D4761" s="2" t="s">
        <v>18</v>
      </c>
      <c r="E4761" s="3" t="s">
        <v>1779</v>
      </c>
      <c r="F4761" s="3" t="s">
        <v>9025</v>
      </c>
      <c r="G4761" s="3" t="s">
        <v>861</v>
      </c>
      <c r="H4761" s="2" t="s">
        <v>55</v>
      </c>
      <c r="I4761" s="2" t="s">
        <v>11621</v>
      </c>
      <c r="J4761" s="3" t="str">
        <f>HYPERLINK("https://www.boe.es/gazeta/dias/1809/08/22/pdfs/GMD-1809-235.pdf#page=4","Abrir facsímil")</f>
        <v>Abrir facsímil</v>
      </c>
      <c r="K4761" s="3" t="s">
        <v>57</v>
      </c>
    </row>
    <row r="4762" spans="1:11" ht="42" customHeight="1">
      <c r="A4762" s="2" t="s">
        <v>11612</v>
      </c>
      <c r="B4762" s="2" t="s">
        <v>11612</v>
      </c>
      <c r="C4762" s="2" t="s">
        <v>25</v>
      </c>
      <c r="D4762" s="2" t="s">
        <v>26</v>
      </c>
      <c r="E4762" s="3" t="s">
        <v>118</v>
      </c>
      <c r="F4762" s="3" t="s">
        <v>819</v>
      </c>
      <c r="G4762" s="3" t="s">
        <v>726</v>
      </c>
      <c r="H4762" s="2" t="s">
        <v>55</v>
      </c>
      <c r="I4762" s="2" t="s">
        <v>11622</v>
      </c>
      <c r="J4762" s="3" t="str">
        <f>HYPERLINK("https://www.boe.es/gazeta/dias/1809/09/07/pdfs/GGB-H-1809-162.pdf#page=3","Abrir facsímil")</f>
        <v>Abrir facsímil</v>
      </c>
      <c r="K4762" s="3" t="s">
        <v>57</v>
      </c>
    </row>
    <row r="4763" spans="1:11" ht="42" customHeight="1">
      <c r="A4763" s="2" t="s">
        <v>11612</v>
      </c>
      <c r="B4763" s="2" t="s">
        <v>11612</v>
      </c>
      <c r="C4763" s="2" t="s">
        <v>25</v>
      </c>
      <c r="D4763" s="2" t="s">
        <v>26</v>
      </c>
      <c r="E4763" s="3" t="s">
        <v>73</v>
      </c>
      <c r="F4763" s="3" t="s">
        <v>822</v>
      </c>
      <c r="G4763" s="3" t="s">
        <v>3275</v>
      </c>
      <c r="H4763" s="2" t="s">
        <v>55</v>
      </c>
      <c r="I4763" s="2" t="s">
        <v>11623</v>
      </c>
      <c r="J4763" s="3" t="str">
        <f>HYPERLINK("https://www.boe.es/gazeta/dias/1809/09/21/pdfs/GGB-1809-222.pdf#page=3","Abrir facsímil")</f>
        <v>Abrir facsímil</v>
      </c>
      <c r="K4763" s="3" t="s">
        <v>57</v>
      </c>
    </row>
    <row r="4764" spans="1:11" ht="42" customHeight="1">
      <c r="A4764" s="2" t="s">
        <v>11612</v>
      </c>
      <c r="B4764" s="2" t="s">
        <v>11612</v>
      </c>
      <c r="C4764" s="2" t="s">
        <v>25</v>
      </c>
      <c r="D4764" s="2" t="s">
        <v>18</v>
      </c>
      <c r="E4764" s="3" t="s">
        <v>73</v>
      </c>
      <c r="F4764" s="3" t="s">
        <v>822</v>
      </c>
      <c r="G4764" s="3" t="s">
        <v>823</v>
      </c>
      <c r="H4764" s="2" t="s">
        <v>55</v>
      </c>
      <c r="I4764" s="2" t="s">
        <v>11624</v>
      </c>
      <c r="J4764" s="3" t="str">
        <f>HYPERLINK("https://www.boe.es/gazeta/dias/1809/09/21/pdfs/GGB-1809-222.pdf#page=4","Abrir facsímil")</f>
        <v>Abrir facsímil</v>
      </c>
      <c r="K4764" s="3" t="s">
        <v>57</v>
      </c>
    </row>
    <row r="4765" spans="1:11" ht="42" customHeight="1">
      <c r="A4765" s="2" t="s">
        <v>11612</v>
      </c>
      <c r="B4765" s="2" t="s">
        <v>11612</v>
      </c>
      <c r="C4765" s="2" t="s">
        <v>25</v>
      </c>
      <c r="D4765" s="2" t="s">
        <v>26</v>
      </c>
      <c r="E4765" s="3" t="s">
        <v>73</v>
      </c>
      <c r="F4765" s="3" t="s">
        <v>822</v>
      </c>
      <c r="G4765" s="3" t="s">
        <v>234</v>
      </c>
      <c r="H4765" s="2" t="s">
        <v>55</v>
      </c>
      <c r="I4765" s="2" t="s">
        <v>11625</v>
      </c>
      <c r="J4765" s="3" t="str">
        <f>HYPERLINK("https://www.boe.es/gazeta/dias/1809/09/21/pdfs/GGB-1809-222.pdf#page=5","Abrir facsímil")</f>
        <v>Abrir facsímil</v>
      </c>
      <c r="K4765" s="3" t="s">
        <v>57</v>
      </c>
    </row>
    <row r="4766" spans="1:11" ht="42" customHeight="1">
      <c r="A4766" s="2" t="s">
        <v>11612</v>
      </c>
      <c r="B4766" s="2" t="s">
        <v>11612</v>
      </c>
      <c r="C4766" s="2" t="s">
        <v>25</v>
      </c>
      <c r="D4766" s="2" t="s">
        <v>40</v>
      </c>
      <c r="E4766" s="3" t="s">
        <v>190</v>
      </c>
      <c r="F4766" s="3" t="s">
        <v>3283</v>
      </c>
      <c r="G4766" s="3" t="s">
        <v>1935</v>
      </c>
      <c r="H4766" s="2" t="s">
        <v>55</v>
      </c>
      <c r="I4766" s="2" t="s">
        <v>11626</v>
      </c>
      <c r="J4766" s="3" t="str">
        <f>HYPERLINK("https://www.boe.es/gazeta/dias/1809/10/14/pdfs/GMD-1809-288.pdf#page=4","Abrir facsímil")</f>
        <v>Abrir facsímil</v>
      </c>
      <c r="K4766" s="3" t="s">
        <v>57</v>
      </c>
    </row>
    <row r="4767" spans="1:11" ht="42" customHeight="1">
      <c r="A4767" s="2" t="s">
        <v>11627</v>
      </c>
      <c r="B4767" s="2" t="s">
        <v>11628</v>
      </c>
      <c r="C4767" s="2" t="s">
        <v>25</v>
      </c>
      <c r="D4767" s="2" t="s">
        <v>40</v>
      </c>
      <c r="E4767" s="3" t="s">
        <v>27</v>
      </c>
      <c r="F4767" s="3" t="s">
        <v>4554</v>
      </c>
      <c r="G4767" s="3" t="s">
        <v>89</v>
      </c>
      <c r="H4767" s="2" t="s">
        <v>55</v>
      </c>
      <c r="I4767" s="2" t="s">
        <v>11629</v>
      </c>
      <c r="J4767" s="3" t="str">
        <f>HYPERLINK("https://www.boe.es/gazeta/dias/1809/05/12/pdfs/GGB-G-1809-26.pdf#page=4","Abrir facsímil")</f>
        <v>Abrir facsímil</v>
      </c>
      <c r="K4767" s="3" t="s">
        <v>57</v>
      </c>
    </row>
    <row r="4768" spans="1:11" ht="42" customHeight="1">
      <c r="A4768" s="2" t="s">
        <v>11630</v>
      </c>
      <c r="B4768" s="2" t="s">
        <v>11630</v>
      </c>
      <c r="C4768" s="2" t="s">
        <v>39</v>
      </c>
      <c r="D4768" s="2" t="s">
        <v>18</v>
      </c>
      <c r="E4768" s="3" t="s">
        <v>893</v>
      </c>
      <c r="F4768" s="3" t="s">
        <v>894</v>
      </c>
      <c r="G4768" s="3" t="s">
        <v>1541</v>
      </c>
      <c r="H4768" s="2" t="s">
        <v>55</v>
      </c>
      <c r="I4768" s="2" t="s">
        <v>11631</v>
      </c>
      <c r="J4768" s="3" t="str">
        <f>HYPERLINK("https://www.boe.es/gazeta/dias/1809/11/02/pdfs/GMD-1809-307.pdf#page=3","Abrir facsímil")</f>
        <v>Abrir facsímil</v>
      </c>
      <c r="K4768" s="3" t="s">
        <v>57</v>
      </c>
    </row>
    <row r="4769" spans="1:11" ht="42" customHeight="1">
      <c r="A4769" s="2" t="s">
        <v>11632</v>
      </c>
      <c r="B4769" s="2" t="s">
        <v>11632</v>
      </c>
      <c r="C4769" s="2" t="s">
        <v>39</v>
      </c>
      <c r="D4769" s="2" t="s">
        <v>40</v>
      </c>
      <c r="E4769" s="3" t="s">
        <v>314</v>
      </c>
      <c r="F4769" s="3" t="s">
        <v>315</v>
      </c>
      <c r="G4769" s="3" t="s">
        <v>239</v>
      </c>
      <c r="H4769" s="2" t="s">
        <v>55</v>
      </c>
      <c r="I4769" s="2" t="s">
        <v>11633</v>
      </c>
      <c r="J4769" s="3" t="str">
        <f>HYPERLINK("https://www.boe.es/gazeta/dias/1809/12/11/pdfs/GMD-1809-346.pdf#page=3","Abrir facsímil")</f>
        <v>Abrir facsímil</v>
      </c>
      <c r="K4769" s="3" t="s">
        <v>57</v>
      </c>
    </row>
    <row r="4770" spans="1:11" ht="42" customHeight="1">
      <c r="A4770" s="2" t="s">
        <v>11634</v>
      </c>
      <c r="B4770" s="2" t="s">
        <v>11634</v>
      </c>
      <c r="C4770" s="2" t="s">
        <v>369</v>
      </c>
      <c r="D4770" s="2" t="s">
        <v>18</v>
      </c>
      <c r="E4770" s="3" t="s">
        <v>503</v>
      </c>
      <c r="F4770" s="3" t="s">
        <v>504</v>
      </c>
      <c r="G4770" s="3" t="s">
        <v>154</v>
      </c>
      <c r="H4770" s="2" t="s">
        <v>55</v>
      </c>
      <c r="I4770" s="2" t="s">
        <v>11635</v>
      </c>
      <c r="J4770" s="3" t="str">
        <f>HYPERLINK("https://www.boe.es/gazeta/dias/1809/09/01/pdfs/GMD-1809-245.pdf#page=2","Abrir facsímil")</f>
        <v>Abrir facsímil</v>
      </c>
      <c r="K4770" s="3" t="s">
        <v>57</v>
      </c>
    </row>
    <row r="4771" spans="1:11" ht="42" customHeight="1">
      <c r="A4771" s="2" t="s">
        <v>11636</v>
      </c>
      <c r="B4771" s="2" t="s">
        <v>11637</v>
      </c>
      <c r="C4771" s="2" t="s">
        <v>79</v>
      </c>
      <c r="D4771" s="2" t="s">
        <v>18</v>
      </c>
      <c r="E4771" s="3" t="s">
        <v>327</v>
      </c>
      <c r="F4771" s="3" t="s">
        <v>328</v>
      </c>
      <c r="G4771" s="3" t="s">
        <v>329</v>
      </c>
      <c r="H4771" s="2" t="s">
        <v>55</v>
      </c>
      <c r="I4771" s="2" t="s">
        <v>11638</v>
      </c>
      <c r="J4771" s="3" t="str">
        <f>HYPERLINK("https://www.boe.es/gazeta/dias/1809/09/14/pdfs/GGB-1809-192.pdf#page=8","Abrir facsímil")</f>
        <v>Abrir facsímil</v>
      </c>
      <c r="K4771" s="3" t="s">
        <v>57</v>
      </c>
    </row>
    <row r="4772" spans="1:11" ht="42" customHeight="1">
      <c r="A4772" s="2" t="s">
        <v>11639</v>
      </c>
      <c r="B4772" s="2" t="s">
        <v>11640</v>
      </c>
      <c r="C4772" s="2" t="s">
        <v>25</v>
      </c>
      <c r="D4772" s="2" t="s">
        <v>26</v>
      </c>
      <c r="E4772" s="3" t="s">
        <v>1700</v>
      </c>
      <c r="F4772" s="3" t="s">
        <v>1701</v>
      </c>
      <c r="G4772" s="3" t="s">
        <v>349</v>
      </c>
      <c r="H4772" s="2" t="s">
        <v>55</v>
      </c>
      <c r="I4772" s="2" t="s">
        <v>11641</v>
      </c>
      <c r="J4772" s="3" t="str">
        <f>HYPERLINK("https://www.boe.es/gazeta/dias/1809/01/16/pdfs/GGB-1809-3E.pdf#page=3","Abrir facsímil")</f>
        <v>Abrir facsímil</v>
      </c>
      <c r="K4772" s="3" t="s">
        <v>57</v>
      </c>
    </row>
    <row r="4773" spans="1:11" ht="42" customHeight="1">
      <c r="A4773" s="2" t="s">
        <v>11642</v>
      </c>
      <c r="B4773" s="2" t="s">
        <v>11642</v>
      </c>
      <c r="C4773" s="2" t="s">
        <v>25</v>
      </c>
      <c r="D4773" s="2" t="s">
        <v>26</v>
      </c>
      <c r="E4773" s="3" t="s">
        <v>1282</v>
      </c>
      <c r="F4773" s="3" t="s">
        <v>1283</v>
      </c>
      <c r="G4773" s="3" t="s">
        <v>1935</v>
      </c>
      <c r="H4773" s="2" t="s">
        <v>55</v>
      </c>
      <c r="I4773" s="2" t="s">
        <v>11643</v>
      </c>
      <c r="J4773" s="3" t="str">
        <f>HYPERLINK("https://www.boe.es/gazeta/dias/1809/06/26/pdfs/GGB-1809-40.pdf#page=2","Abrir facsímil")</f>
        <v>Abrir facsímil</v>
      </c>
      <c r="K4773" s="3" t="s">
        <v>57</v>
      </c>
    </row>
    <row r="4774" spans="1:11" ht="42" customHeight="1">
      <c r="A4774" s="2" t="s">
        <v>11642</v>
      </c>
      <c r="B4774" s="2" t="s">
        <v>11642</v>
      </c>
      <c r="C4774" s="2" t="s">
        <v>25</v>
      </c>
      <c r="D4774" s="2" t="s">
        <v>18</v>
      </c>
      <c r="E4774" s="3" t="s">
        <v>1282</v>
      </c>
      <c r="F4774" s="3" t="s">
        <v>1283</v>
      </c>
      <c r="G4774" s="3" t="s">
        <v>1650</v>
      </c>
      <c r="H4774" s="2" t="s">
        <v>55</v>
      </c>
      <c r="I4774" s="2" t="s">
        <v>11644</v>
      </c>
      <c r="J4774" s="3" t="str">
        <f>HYPERLINK("https://www.boe.es/gazeta/dias/1809/06/26/pdfs/GGB-1809-40.pdf#page=8","Abrir facsímil")</f>
        <v>Abrir facsímil</v>
      </c>
      <c r="K4774" s="3" t="s">
        <v>57</v>
      </c>
    </row>
    <row r="4775" spans="1:11" ht="42" customHeight="1">
      <c r="A4775" s="2" t="s">
        <v>11645</v>
      </c>
      <c r="B4775" s="2" t="s">
        <v>11645</v>
      </c>
      <c r="C4775" s="2" t="s">
        <v>25</v>
      </c>
      <c r="D4775" s="2" t="s">
        <v>18</v>
      </c>
      <c r="E4775" s="3" t="s">
        <v>1807</v>
      </c>
      <c r="F4775" s="3" t="s">
        <v>1808</v>
      </c>
      <c r="G4775" s="3" t="s">
        <v>141</v>
      </c>
      <c r="H4775" s="2" t="s">
        <v>55</v>
      </c>
      <c r="I4775" s="2" t="s">
        <v>11646</v>
      </c>
      <c r="J4775" s="3" t="str">
        <f>HYPERLINK("https://www.boe.es/gazeta/dias/1809/01/22/pdfs/GMD-1809-22.pdf#page=3","Abrir facsímil")</f>
        <v>Abrir facsímil</v>
      </c>
      <c r="K4775" s="3" t="s">
        <v>57</v>
      </c>
    </row>
    <row r="4776" spans="1:11" ht="42" customHeight="1">
      <c r="A4776" s="2" t="s">
        <v>11647</v>
      </c>
      <c r="B4776" s="2" t="s">
        <v>11648</v>
      </c>
      <c r="C4776" s="2" t="s">
        <v>17</v>
      </c>
      <c r="D4776" s="2" t="s">
        <v>18</v>
      </c>
      <c r="E4776" s="3" t="s">
        <v>523</v>
      </c>
      <c r="F4776" s="3" t="s">
        <v>524</v>
      </c>
      <c r="G4776" s="3" t="s">
        <v>525</v>
      </c>
      <c r="H4776" s="2" t="s">
        <v>55</v>
      </c>
      <c r="I4776" s="2" t="s">
        <v>11649</v>
      </c>
      <c r="J4776" s="3" t="str">
        <f>HYPERLINK("https://www.boe.es/gazeta/dias/1809/02/14/pdfs/GMD-1809-45.pdf#page=1","Abrir facsímil")</f>
        <v>Abrir facsímil</v>
      </c>
      <c r="K4776" s="3" t="s">
        <v>57</v>
      </c>
    </row>
    <row r="4777" spans="1:11" ht="42" customHeight="1">
      <c r="A4777" s="2" t="s">
        <v>11647</v>
      </c>
      <c r="B4777" s="2" t="s">
        <v>11648</v>
      </c>
      <c r="C4777" s="2" t="s">
        <v>17</v>
      </c>
      <c r="D4777" s="2" t="s">
        <v>40</v>
      </c>
      <c r="E4777" s="3" t="s">
        <v>1076</v>
      </c>
      <c r="F4777" s="3" t="s">
        <v>1645</v>
      </c>
      <c r="G4777" s="3" t="s">
        <v>1646</v>
      </c>
      <c r="H4777" s="2" t="s">
        <v>55</v>
      </c>
      <c r="I4777" s="2" t="s">
        <v>11650</v>
      </c>
      <c r="J4777" s="3" t="str">
        <f>HYPERLINK("https://www.boe.es/gazeta/dias/1809/04/13/pdfs/GMD-1809-103.pdf#page=3","Abrir facsímil")</f>
        <v>Abrir facsímil</v>
      </c>
      <c r="K4777" s="3" t="s">
        <v>57</v>
      </c>
    </row>
    <row r="4778" spans="1:11" ht="42" customHeight="1">
      <c r="A4778" s="2" t="s">
        <v>11651</v>
      </c>
      <c r="B4778" s="2" t="s">
        <v>11651</v>
      </c>
      <c r="C4778" s="2" t="s">
        <v>25</v>
      </c>
      <c r="D4778" s="2" t="s">
        <v>18</v>
      </c>
      <c r="E4778" s="3" t="s">
        <v>1948</v>
      </c>
      <c r="F4778" s="3" t="s">
        <v>2055</v>
      </c>
      <c r="G4778" s="3" t="s">
        <v>234</v>
      </c>
      <c r="H4778" s="2" t="s">
        <v>55</v>
      </c>
      <c r="I4778" s="2" t="s">
        <v>11652</v>
      </c>
      <c r="J4778" s="3" t="str">
        <f>HYPERLINK("https://www.boe.es/gazeta/dias/1809/12/23/pdfs/GMD-1809-358.pdf#page=4","Abrir facsímil")</f>
        <v>Abrir facsímil</v>
      </c>
      <c r="K4778" s="3" t="s">
        <v>57</v>
      </c>
    </row>
    <row r="4779" spans="1:11" ht="42" customHeight="1">
      <c r="A4779" s="2" t="s">
        <v>11653</v>
      </c>
      <c r="B4779" s="2" t="s">
        <v>11653</v>
      </c>
      <c r="C4779" s="2" t="s">
        <v>25</v>
      </c>
      <c r="D4779" s="2" t="s">
        <v>18</v>
      </c>
      <c r="E4779" s="3" t="s">
        <v>283</v>
      </c>
      <c r="F4779" s="3" t="s">
        <v>284</v>
      </c>
      <c r="G4779" s="3" t="s">
        <v>21</v>
      </c>
      <c r="H4779" s="2" t="s">
        <v>55</v>
      </c>
      <c r="I4779" s="2" t="s">
        <v>11654</v>
      </c>
      <c r="J4779" s="3" t="str">
        <f>HYPERLINK("https://www.boe.es/gazeta/dias/1809/02/09/pdfs/GMD-1809-40.pdf#page=1","Abrir facsímil")</f>
        <v>Abrir facsímil</v>
      </c>
      <c r="K4779" s="3" t="s">
        <v>57</v>
      </c>
    </row>
    <row r="4780" spans="1:11" ht="42" customHeight="1">
      <c r="A4780" s="2" t="s">
        <v>11655</v>
      </c>
      <c r="B4780" s="2" t="s">
        <v>11656</v>
      </c>
      <c r="C4780" s="2" t="s">
        <v>39</v>
      </c>
      <c r="D4780" s="2" t="s">
        <v>18</v>
      </c>
      <c r="E4780" s="3" t="s">
        <v>113</v>
      </c>
      <c r="F4780" s="3" t="s">
        <v>1982</v>
      </c>
      <c r="G4780" s="3" t="s">
        <v>6049</v>
      </c>
      <c r="H4780" s="2" t="s">
        <v>55</v>
      </c>
      <c r="I4780" s="2" t="s">
        <v>11657</v>
      </c>
      <c r="J4780" s="3" t="str">
        <f>HYPERLINK("https://www.boe.es/gazeta/dias/1809/04/24/pdfs/GGB-1809-21.pdf#page=11","Abrir facsímil")</f>
        <v>Abrir facsímil</v>
      </c>
      <c r="K4780" s="3" t="s">
        <v>57</v>
      </c>
    </row>
    <row r="4781" spans="1:11" ht="42" customHeight="1">
      <c r="A4781" s="2" t="s">
        <v>11658</v>
      </c>
      <c r="B4781" s="2" t="s">
        <v>11659</v>
      </c>
      <c r="C4781" s="2" t="s">
        <v>47</v>
      </c>
      <c r="D4781" s="2" t="s">
        <v>80</v>
      </c>
      <c r="E4781" s="3" t="s">
        <v>248</v>
      </c>
      <c r="F4781" s="3" t="s">
        <v>249</v>
      </c>
      <c r="G4781" s="3" t="s">
        <v>250</v>
      </c>
      <c r="H4781" s="2" t="s">
        <v>55</v>
      </c>
      <c r="I4781" s="2" t="s">
        <v>11660</v>
      </c>
      <c r="J4781" s="3" t="str">
        <f>HYPERLINK("https://www.boe.es/gazeta/dias/1809/07/26/pdfs/GGB-1809-48E.pdf#page=9","Abrir facsímil")</f>
        <v>Abrir facsímil</v>
      </c>
      <c r="K4781" s="3" t="s">
        <v>57</v>
      </c>
    </row>
    <row r="4782" spans="1:11" ht="42" customHeight="1">
      <c r="A4782" s="2" t="s">
        <v>11661</v>
      </c>
      <c r="B4782" s="2" t="s">
        <v>11662</v>
      </c>
      <c r="C4782" s="2" t="s">
        <v>17</v>
      </c>
      <c r="D4782" s="2" t="s">
        <v>18</v>
      </c>
      <c r="E4782" s="3" t="s">
        <v>196</v>
      </c>
      <c r="F4782" s="3" t="s">
        <v>197</v>
      </c>
      <c r="G4782" s="3" t="s">
        <v>198</v>
      </c>
      <c r="H4782" s="2" t="s">
        <v>55</v>
      </c>
      <c r="I4782" s="2" t="s">
        <v>11663</v>
      </c>
      <c r="J4782" s="3" t="str">
        <f>HYPERLINK("https://www.boe.es/gazeta/dias/1809/09/04/pdfs/GMD-1809-248.pdf#page=3","Abrir facsímil")</f>
        <v>Abrir facsímil</v>
      </c>
      <c r="K4782" s="3" t="s">
        <v>57</v>
      </c>
    </row>
    <row r="4783" spans="1:11" ht="42" customHeight="1">
      <c r="A4783" s="2" t="s">
        <v>11664</v>
      </c>
      <c r="B4783" s="2" t="s">
        <v>11664</v>
      </c>
      <c r="C4783" s="2" t="s">
        <v>17</v>
      </c>
      <c r="D4783" s="2" t="s">
        <v>18</v>
      </c>
      <c r="E4783" s="3" t="s">
        <v>1678</v>
      </c>
      <c r="F4783" s="3" t="s">
        <v>6697</v>
      </c>
      <c r="G4783" s="3" t="s">
        <v>3934</v>
      </c>
      <c r="H4783" s="2" t="s">
        <v>55</v>
      </c>
      <c r="I4783" s="2" t="s">
        <v>11665</v>
      </c>
      <c r="J4783" s="3" t="str">
        <f>HYPERLINK("https://www.boe.es/gazeta/dias/1809/05/29/pdfs/GMD-1809-149.pdf#page=1","Abrir facsímil")</f>
        <v>Abrir facsímil</v>
      </c>
      <c r="K4783" s="3" t="s">
        <v>57</v>
      </c>
    </row>
    <row r="4784" spans="1:11" ht="42" customHeight="1">
      <c r="A4784" s="2" t="s">
        <v>11666</v>
      </c>
      <c r="B4784" s="2" t="s">
        <v>11667</v>
      </c>
      <c r="C4784" s="2" t="s">
        <v>17</v>
      </c>
      <c r="D4784" s="2" t="s">
        <v>18</v>
      </c>
      <c r="E4784" s="3" t="s">
        <v>627</v>
      </c>
      <c r="F4784" s="3" t="s">
        <v>628</v>
      </c>
      <c r="G4784" s="3" t="s">
        <v>270</v>
      </c>
      <c r="H4784" s="2" t="s">
        <v>55</v>
      </c>
      <c r="I4784" s="2" t="s">
        <v>11668</v>
      </c>
      <c r="J4784" s="3" t="str">
        <f>HYPERLINK("https://www.boe.es/gazeta/dias/1809/08/28/pdfs/GMD-1809-241.pdf#page=3","Abrir facsímil")</f>
        <v>Abrir facsímil</v>
      </c>
      <c r="K4784" s="3" t="s">
        <v>57</v>
      </c>
    </row>
    <row r="4785" spans="1:11" ht="42" customHeight="1">
      <c r="A4785" s="2" t="s">
        <v>11669</v>
      </c>
      <c r="B4785" s="2" t="s">
        <v>11670</v>
      </c>
      <c r="C4785" s="2" t="s">
        <v>25</v>
      </c>
      <c r="D4785" s="2" t="s">
        <v>26</v>
      </c>
      <c r="E4785" s="3" t="s">
        <v>635</v>
      </c>
      <c r="F4785" s="3" t="s">
        <v>636</v>
      </c>
      <c r="G4785" s="3" t="s">
        <v>11671</v>
      </c>
      <c r="H4785" s="2" t="s">
        <v>55</v>
      </c>
      <c r="I4785" s="2" t="s">
        <v>11672</v>
      </c>
      <c r="J4785" s="3" t="str">
        <f>HYPERLINK("https://www.boe.es/gazeta/dias/1809/12/16/pdfs/GGB-1809-592.pdf#page=3","Abrir facsímil")</f>
        <v>Abrir facsímil</v>
      </c>
      <c r="K4785" s="3" t="s">
        <v>57</v>
      </c>
    </row>
    <row r="4786" spans="1:11" ht="42" customHeight="1">
      <c r="A4786" s="2" t="s">
        <v>11673</v>
      </c>
      <c r="B4786" s="2" t="s">
        <v>11674</v>
      </c>
      <c r="C4786" s="2" t="s">
        <v>79</v>
      </c>
      <c r="D4786" s="2" t="s">
        <v>72</v>
      </c>
      <c r="E4786" s="3" t="s">
        <v>2599</v>
      </c>
      <c r="F4786" s="3" t="s">
        <v>3377</v>
      </c>
      <c r="G4786" s="3" t="s">
        <v>2422</v>
      </c>
      <c r="H4786" s="2" t="s">
        <v>55</v>
      </c>
      <c r="I4786" s="2" t="s">
        <v>11675</v>
      </c>
      <c r="J4786" s="3" t="str">
        <f>HYPERLINK("https://www.boe.es/gazeta/dias/1809/05/11/pdfs/GMD-E-1809-131.pdf#page=1","Abrir facsímil")</f>
        <v>Abrir facsímil</v>
      </c>
      <c r="K4786" s="3" t="s">
        <v>57</v>
      </c>
    </row>
    <row r="4787" spans="1:11" ht="42" customHeight="1">
      <c r="A4787" s="2" t="s">
        <v>11676</v>
      </c>
      <c r="B4787" s="2" t="s">
        <v>11677</v>
      </c>
      <c r="C4787" s="2" t="s">
        <v>369</v>
      </c>
      <c r="D4787" s="2" t="s">
        <v>18</v>
      </c>
      <c r="E4787" s="3" t="s">
        <v>2473</v>
      </c>
      <c r="F4787" s="3" t="s">
        <v>2474</v>
      </c>
      <c r="G4787" s="3" t="s">
        <v>270</v>
      </c>
      <c r="H4787" s="2" t="s">
        <v>55</v>
      </c>
      <c r="I4787" s="2" t="s">
        <v>11678</v>
      </c>
      <c r="J4787" s="3" t="str">
        <f>HYPERLINK("https://www.boe.es/gazeta/dias/1809/02/16/pdfs/GMD-1809-47.pdf#page=4","Abrir facsímil")</f>
        <v>Abrir facsímil</v>
      </c>
      <c r="K4787" s="3" t="s">
        <v>57</v>
      </c>
    </row>
    <row r="4788" spans="1:11" ht="42" customHeight="1">
      <c r="A4788" s="2" t="s">
        <v>11679</v>
      </c>
      <c r="B4788" s="2" t="s">
        <v>11680</v>
      </c>
      <c r="C4788" s="2" t="s">
        <v>17</v>
      </c>
      <c r="D4788" s="2" t="s">
        <v>72</v>
      </c>
      <c r="E4788" s="3" t="s">
        <v>243</v>
      </c>
      <c r="F4788" s="3" t="s">
        <v>244</v>
      </c>
      <c r="G4788" s="3" t="s">
        <v>110</v>
      </c>
      <c r="H4788" s="2" t="s">
        <v>55</v>
      </c>
      <c r="I4788" s="2" t="s">
        <v>11681</v>
      </c>
      <c r="J4788" s="3" t="str">
        <f>HYPERLINK("https://www.boe.es/gazeta/dias/1809/02/17/pdfs/GGB-G-1809-8.pdf#page=5","Abrir facsímil")</f>
        <v>Abrir facsímil</v>
      </c>
      <c r="K4788" s="3" t="s">
        <v>57</v>
      </c>
    </row>
    <row r="4789" spans="1:11" ht="42" customHeight="1">
      <c r="A4789" s="2" t="s">
        <v>11682</v>
      </c>
      <c r="B4789" s="2" t="s">
        <v>11682</v>
      </c>
      <c r="C4789" s="2" t="s">
        <v>47</v>
      </c>
      <c r="D4789" s="2" t="s">
        <v>18</v>
      </c>
      <c r="E4789" s="3" t="s">
        <v>649</v>
      </c>
      <c r="F4789" s="3" t="s">
        <v>650</v>
      </c>
      <c r="G4789" s="3" t="s">
        <v>9526</v>
      </c>
      <c r="H4789" s="2" t="s">
        <v>55</v>
      </c>
      <c r="I4789" s="2" t="s">
        <v>11683</v>
      </c>
      <c r="J4789" s="3" t="str">
        <f>HYPERLINK("https://www.boe.es/gazeta/dias/1809/10/08/pdfs/GMD-1809-282.pdf#page=1","Abrir facsímil")</f>
        <v>Abrir facsímil</v>
      </c>
      <c r="K4789" s="3" t="s">
        <v>57</v>
      </c>
    </row>
    <row r="4790" spans="1:11" ht="42" customHeight="1">
      <c r="A4790" s="2" t="s">
        <v>11684</v>
      </c>
      <c r="B4790" s="2" t="s">
        <v>11684</v>
      </c>
      <c r="C4790" s="2" t="s">
        <v>25</v>
      </c>
      <c r="D4790" s="2" t="s">
        <v>26</v>
      </c>
      <c r="E4790" s="3" t="s">
        <v>776</v>
      </c>
      <c r="F4790" s="3" t="s">
        <v>1485</v>
      </c>
      <c r="G4790" s="3" t="s">
        <v>6453</v>
      </c>
      <c r="H4790" s="2" t="s">
        <v>55</v>
      </c>
      <c r="I4790" s="2" t="s">
        <v>11685</v>
      </c>
      <c r="J4790" s="3" t="str">
        <f>HYPERLINK("https://www.boe.es/gazeta/dias/1809/05/28/pdfs/GGB-1809-31E2.pdf#page=7","Abrir facsímil")</f>
        <v>Abrir facsímil</v>
      </c>
      <c r="K4790" s="3" t="s">
        <v>57</v>
      </c>
    </row>
    <row r="4791" spans="1:11" ht="42" customHeight="1">
      <c r="A4791" s="2" t="s">
        <v>11686</v>
      </c>
      <c r="B4791" s="2" t="s">
        <v>11687</v>
      </c>
      <c r="C4791" s="2" t="s">
        <v>25</v>
      </c>
      <c r="D4791" s="2" t="s">
        <v>26</v>
      </c>
      <c r="E4791" s="3" t="s">
        <v>589</v>
      </c>
      <c r="F4791" s="3" t="s">
        <v>590</v>
      </c>
      <c r="G4791" s="3" t="s">
        <v>3102</v>
      </c>
      <c r="H4791" s="2" t="s">
        <v>55</v>
      </c>
      <c r="I4791" s="2" t="s">
        <v>11688</v>
      </c>
      <c r="J4791" s="3" t="str">
        <f>HYPERLINK("https://www.boe.es/gazeta/dias/1809/10/05/pdfs/GGB-1809-282.pdf#page=6","Abrir facsímil")</f>
        <v>Abrir facsímil</v>
      </c>
      <c r="K4791" s="3" t="s">
        <v>57</v>
      </c>
    </row>
    <row r="4792" spans="1:11" ht="42" customHeight="1">
      <c r="A4792" s="2" t="s">
        <v>11689</v>
      </c>
      <c r="B4792" s="2" t="s">
        <v>11689</v>
      </c>
      <c r="C4792" s="2" t="s">
        <v>131</v>
      </c>
      <c r="D4792" s="2" t="s">
        <v>18</v>
      </c>
      <c r="E4792" s="3" t="s">
        <v>118</v>
      </c>
      <c r="F4792" s="3" t="s">
        <v>119</v>
      </c>
      <c r="G4792" s="3" t="s">
        <v>129</v>
      </c>
      <c r="H4792" s="2" t="s">
        <v>55</v>
      </c>
      <c r="I4792" s="2" t="s">
        <v>11690</v>
      </c>
      <c r="J4792" s="3" t="str">
        <f>HYPERLINK("https://www.boe.es/gazeta/dias/1809/09/07/pdfs/GMD-1809-251.pdf#page=2","Abrir facsímil")</f>
        <v>Abrir facsímil</v>
      </c>
      <c r="K4792" s="3" t="s">
        <v>57</v>
      </c>
    </row>
    <row r="4793" spans="1:11" ht="42" customHeight="1">
      <c r="A4793" s="2" t="s">
        <v>11691</v>
      </c>
      <c r="B4793" s="2" t="s">
        <v>11691</v>
      </c>
      <c r="C4793" s="2" t="s">
        <v>17</v>
      </c>
      <c r="D4793" s="2" t="s">
        <v>18</v>
      </c>
      <c r="E4793" s="3" t="s">
        <v>712</v>
      </c>
      <c r="F4793" s="3" t="s">
        <v>713</v>
      </c>
      <c r="G4793" s="3" t="s">
        <v>154</v>
      </c>
      <c r="H4793" s="2" t="s">
        <v>55</v>
      </c>
      <c r="I4793" s="2" t="s">
        <v>11692</v>
      </c>
      <c r="J4793" s="3" t="str">
        <f>HYPERLINK("https://www.boe.es/gazeta/dias/1809/09/10/pdfs/GMD-1809-254.pdf#page=3","Abrir facsímil")</f>
        <v>Abrir facsímil</v>
      </c>
      <c r="K4793" s="3" t="s">
        <v>57</v>
      </c>
    </row>
    <row r="4794" spans="1:11" ht="42" customHeight="1">
      <c r="A4794" s="2" t="s">
        <v>11693</v>
      </c>
      <c r="B4794" s="2" t="s">
        <v>11694</v>
      </c>
      <c r="C4794" s="2" t="s">
        <v>25</v>
      </c>
      <c r="D4794" s="2" t="s">
        <v>40</v>
      </c>
      <c r="E4794" s="3" t="s">
        <v>864</v>
      </c>
      <c r="F4794" s="3" t="s">
        <v>2684</v>
      </c>
      <c r="G4794" s="3" t="s">
        <v>906</v>
      </c>
      <c r="H4794" s="2" t="s">
        <v>22</v>
      </c>
      <c r="I4794" s="2" t="s">
        <v>11695</v>
      </c>
      <c r="J4794" s="3" t="str">
        <f>HYPERLINK("https://www.boe.es/gazeta/dias/1809/08/31/pdfs/GGB-1809-132.pdf#page=8","Abrir facsímil")</f>
        <v>Abrir facsímil</v>
      </c>
      <c r="K4794" s="3" t="s">
        <v>24</v>
      </c>
    </row>
    <row r="4795" spans="1:11" ht="42" customHeight="1">
      <c r="A4795" s="2" t="s">
        <v>11696</v>
      </c>
      <c r="B4795" s="2" t="s">
        <v>11697</v>
      </c>
      <c r="C4795" s="2" t="s">
        <v>25</v>
      </c>
      <c r="D4795" s="2" t="s">
        <v>40</v>
      </c>
      <c r="E4795" s="3" t="s">
        <v>2818</v>
      </c>
      <c r="F4795" s="3" t="s">
        <v>4265</v>
      </c>
      <c r="G4795" s="3" t="s">
        <v>3934</v>
      </c>
      <c r="H4795" s="2" t="s">
        <v>22</v>
      </c>
      <c r="I4795" s="2" t="s">
        <v>11698</v>
      </c>
      <c r="J4795" s="3" t="str">
        <f>HYPERLINK("https://www.boe.es/gazeta/dias/1809/02/03/pdfs/GGB-G-1809-6.pdf#page=11","Abrir facsímil")</f>
        <v>Abrir facsímil</v>
      </c>
      <c r="K4795" s="3" t="s">
        <v>24</v>
      </c>
    </row>
    <row r="4796" spans="1:11" ht="42" customHeight="1">
      <c r="A4796" s="2" t="s">
        <v>11699</v>
      </c>
      <c r="B4796" s="2" t="s">
        <v>11699</v>
      </c>
      <c r="C4796" s="2" t="s">
        <v>25</v>
      </c>
      <c r="D4796" s="2" t="s">
        <v>18</v>
      </c>
      <c r="E4796" s="3" t="s">
        <v>1640</v>
      </c>
      <c r="F4796" s="3" t="s">
        <v>2064</v>
      </c>
      <c r="G4796" s="3" t="s">
        <v>110</v>
      </c>
      <c r="H4796" s="2" t="s">
        <v>55</v>
      </c>
      <c r="I4796" s="2" t="s">
        <v>11700</v>
      </c>
      <c r="J4796" s="3" t="str">
        <f>HYPERLINK("https://www.boe.es/gazeta/dias/1809/01/06/pdfs/GMS-1809-64.pdf#page=3","Abrir facsímil")</f>
        <v>Abrir facsímil</v>
      </c>
      <c r="K4796" s="3" t="s">
        <v>57</v>
      </c>
    </row>
    <row r="4797" spans="1:11" ht="42" customHeight="1">
      <c r="A4797" s="2" t="s">
        <v>11699</v>
      </c>
      <c r="B4797" s="2" t="s">
        <v>11699</v>
      </c>
      <c r="C4797" s="2" t="s">
        <v>25</v>
      </c>
      <c r="D4797" s="2" t="s">
        <v>18</v>
      </c>
      <c r="E4797" s="3" t="s">
        <v>749</v>
      </c>
      <c r="F4797" s="3" t="s">
        <v>750</v>
      </c>
      <c r="G4797" s="3" t="s">
        <v>120</v>
      </c>
      <c r="H4797" s="2" t="s">
        <v>55</v>
      </c>
      <c r="I4797" s="2" t="s">
        <v>11701</v>
      </c>
      <c r="J4797" s="3" t="str">
        <f>HYPERLINK("https://www.boe.es/gazeta/dias/1809/05/19/pdfs/GGB-1809-29.pdf#page=6","Abrir facsímil")</f>
        <v>Abrir facsímil</v>
      </c>
      <c r="K4797" s="3" t="s">
        <v>57</v>
      </c>
    </row>
    <row r="4798" spans="1:11" ht="42" customHeight="1">
      <c r="A4798" s="2" t="s">
        <v>11702</v>
      </c>
      <c r="B4798" s="2" t="s">
        <v>11702</v>
      </c>
      <c r="C4798" s="2" t="s">
        <v>25</v>
      </c>
      <c r="D4798" s="2" t="s">
        <v>107</v>
      </c>
      <c r="E4798" s="3" t="s">
        <v>9534</v>
      </c>
      <c r="F4798" s="3" t="s">
        <v>9535</v>
      </c>
      <c r="G4798" s="3" t="s">
        <v>7108</v>
      </c>
      <c r="H4798" s="2" t="s">
        <v>55</v>
      </c>
      <c r="I4798" s="2" t="s">
        <v>11703</v>
      </c>
      <c r="J4798" s="3" t="str">
        <f>HYPERLINK("https://www.boe.es/gazeta/dias/1809/10/30/pdfs/GMD-1809-304.pdf#page=4","Abrir facsímil")</f>
        <v>Abrir facsímil</v>
      </c>
      <c r="K4798" s="3" t="s">
        <v>57</v>
      </c>
    </row>
    <row r="4799" spans="1:11" ht="42" customHeight="1">
      <c r="A4799" s="2" t="s">
        <v>11704</v>
      </c>
      <c r="B4799" s="2" t="s">
        <v>11704</v>
      </c>
      <c r="C4799" s="2" t="s">
        <v>25</v>
      </c>
      <c r="D4799" s="2" t="s">
        <v>26</v>
      </c>
      <c r="E4799" s="3" t="s">
        <v>3258</v>
      </c>
      <c r="F4799" s="3" t="s">
        <v>3529</v>
      </c>
      <c r="G4799" s="3" t="s">
        <v>62</v>
      </c>
      <c r="H4799" s="2" t="s">
        <v>55</v>
      </c>
      <c r="I4799" s="2" t="s">
        <v>11705</v>
      </c>
      <c r="J4799" s="3" t="str">
        <f>HYPERLINK("https://www.boe.es/gazeta/dias/1809/04/03/pdfs/GGB-1809-14B.pdf#page=1","Abrir facsímil")</f>
        <v>Abrir facsímil</v>
      </c>
      <c r="K4799" s="3" t="s">
        <v>57</v>
      </c>
    </row>
    <row r="4800" spans="1:11" ht="42" customHeight="1">
      <c r="A4800" s="2" t="s">
        <v>11706</v>
      </c>
      <c r="B4800" s="2" t="s">
        <v>11706</v>
      </c>
      <c r="C4800" s="2" t="s">
        <v>25</v>
      </c>
      <c r="D4800" s="2" t="s">
        <v>26</v>
      </c>
      <c r="E4800" s="3" t="s">
        <v>1439</v>
      </c>
      <c r="F4800" s="3" t="s">
        <v>1440</v>
      </c>
      <c r="G4800" s="3" t="s">
        <v>225</v>
      </c>
      <c r="H4800" s="2" t="s">
        <v>55</v>
      </c>
      <c r="I4800" s="2" t="s">
        <v>11707</v>
      </c>
      <c r="J4800" s="3" t="str">
        <f>HYPERLINK("https://www.boe.es/gazeta/dias/1809/12/06/pdfs/GMD-1809-341.pdf#page=4","Abrir facsímil")</f>
        <v>Abrir facsímil</v>
      </c>
      <c r="K4800" s="3" t="s">
        <v>57</v>
      </c>
    </row>
    <row r="4801" spans="1:11" ht="42" customHeight="1">
      <c r="A4801" s="2" t="s">
        <v>11708</v>
      </c>
      <c r="B4801" s="2" t="s">
        <v>11708</v>
      </c>
      <c r="C4801" s="2" t="s">
        <v>25</v>
      </c>
      <c r="D4801" s="2" t="s">
        <v>26</v>
      </c>
      <c r="E4801" s="3" t="s">
        <v>1603</v>
      </c>
      <c r="F4801" s="3" t="s">
        <v>2120</v>
      </c>
      <c r="G4801" s="3" t="s">
        <v>6980</v>
      </c>
      <c r="H4801" s="2" t="s">
        <v>55</v>
      </c>
      <c r="I4801" s="2" t="s">
        <v>11709</v>
      </c>
      <c r="J4801" s="3" t="str">
        <f>HYPERLINK("https://www.boe.es/gazeta/dias/1809/03/31/pdfs/GMD-1809-90.pdf#page=1","Abrir facsímil")</f>
        <v>Abrir facsímil</v>
      </c>
      <c r="K4801" s="3" t="s">
        <v>57</v>
      </c>
    </row>
    <row r="4802" spans="1:11" ht="42" customHeight="1">
      <c r="A4802" s="2" t="s">
        <v>11710</v>
      </c>
      <c r="B4802" s="2" t="s">
        <v>11710</v>
      </c>
      <c r="C4802" s="2" t="s">
        <v>25</v>
      </c>
      <c r="D4802" s="2" t="s">
        <v>72</v>
      </c>
      <c r="E4802" s="3" t="s">
        <v>118</v>
      </c>
      <c r="F4802" s="3" t="s">
        <v>819</v>
      </c>
      <c r="G4802" s="3" t="s">
        <v>726</v>
      </c>
      <c r="H4802" s="2" t="s">
        <v>55</v>
      </c>
      <c r="I4802" s="2" t="s">
        <v>11711</v>
      </c>
      <c r="J4802" s="3" t="str">
        <f>HYPERLINK("https://www.boe.es/gazeta/dias/1809/09/07/pdfs/GGB-H-1809-162.pdf#page=3","Abrir facsímil")</f>
        <v>Abrir facsímil</v>
      </c>
      <c r="K4802" s="3" t="s">
        <v>57</v>
      </c>
    </row>
    <row r="4803" spans="1:11" ht="42" customHeight="1">
      <c r="A4803" s="2" t="s">
        <v>11710</v>
      </c>
      <c r="B4803" s="2" t="s">
        <v>11710</v>
      </c>
      <c r="C4803" s="2" t="s">
        <v>25</v>
      </c>
      <c r="D4803" s="2" t="s">
        <v>26</v>
      </c>
      <c r="E4803" s="3" t="s">
        <v>118</v>
      </c>
      <c r="F4803" s="3" t="s">
        <v>819</v>
      </c>
      <c r="G4803" s="3" t="s">
        <v>541</v>
      </c>
      <c r="H4803" s="2" t="s">
        <v>55</v>
      </c>
      <c r="I4803" s="2" t="s">
        <v>11712</v>
      </c>
      <c r="J4803" s="3" t="str">
        <f>HYPERLINK("https://www.boe.es/gazeta/dias/1809/09/07/pdfs/GGB-H-1809-162.pdf#page=6","Abrir facsímil")</f>
        <v>Abrir facsímil</v>
      </c>
      <c r="K4803" s="3" t="s">
        <v>57</v>
      </c>
    </row>
    <row r="4804" spans="1:11" ht="42" customHeight="1">
      <c r="A4804" s="2" t="s">
        <v>11710</v>
      </c>
      <c r="B4804" s="2" t="s">
        <v>11710</v>
      </c>
      <c r="C4804" s="2" t="s">
        <v>25</v>
      </c>
      <c r="D4804" s="2" t="s">
        <v>18</v>
      </c>
      <c r="E4804" s="3" t="s">
        <v>73</v>
      </c>
      <c r="F4804" s="3" t="s">
        <v>822</v>
      </c>
      <c r="G4804" s="3" t="s">
        <v>234</v>
      </c>
      <c r="H4804" s="2" t="s">
        <v>55</v>
      </c>
      <c r="I4804" s="2" t="s">
        <v>11713</v>
      </c>
      <c r="J4804" s="3" t="str">
        <f>HYPERLINK("https://www.boe.es/gazeta/dias/1809/09/21/pdfs/GGB-1809-222.pdf#page=5","Abrir facsímil")</f>
        <v>Abrir facsímil</v>
      </c>
      <c r="K4804" s="3" t="s">
        <v>57</v>
      </c>
    </row>
    <row r="4805" spans="1:11" ht="42" customHeight="1">
      <c r="A4805" s="2" t="s">
        <v>11710</v>
      </c>
      <c r="B4805" s="2" t="s">
        <v>11710</v>
      </c>
      <c r="C4805" s="2" t="s">
        <v>25</v>
      </c>
      <c r="D4805" s="2" t="s">
        <v>18</v>
      </c>
      <c r="E4805" s="3" t="s">
        <v>190</v>
      </c>
      <c r="F4805" s="3" t="s">
        <v>3283</v>
      </c>
      <c r="G4805" s="3" t="s">
        <v>1935</v>
      </c>
      <c r="H4805" s="2" t="s">
        <v>55</v>
      </c>
      <c r="I4805" s="2" t="s">
        <v>11714</v>
      </c>
      <c r="J4805" s="3" t="str">
        <f>HYPERLINK("https://www.boe.es/gazeta/dias/1809/10/14/pdfs/GMD-1809-288.pdf#page=4","Abrir facsímil")</f>
        <v>Abrir facsímil</v>
      </c>
      <c r="K4805" s="3" t="s">
        <v>57</v>
      </c>
    </row>
    <row r="4806" spans="1:11" ht="42" customHeight="1">
      <c r="A4806" s="2" t="s">
        <v>11715</v>
      </c>
      <c r="B4806" s="2" t="s">
        <v>11715</v>
      </c>
      <c r="C4806" s="2" t="s">
        <v>25</v>
      </c>
      <c r="D4806" s="2" t="s">
        <v>18</v>
      </c>
      <c r="E4806" s="3" t="s">
        <v>73</v>
      </c>
      <c r="F4806" s="3" t="s">
        <v>822</v>
      </c>
      <c r="G4806" s="3" t="s">
        <v>234</v>
      </c>
      <c r="H4806" s="2" t="s">
        <v>55</v>
      </c>
      <c r="I4806" s="2" t="s">
        <v>11716</v>
      </c>
      <c r="J4806" s="3" t="str">
        <f>HYPERLINK("https://www.boe.es/gazeta/dias/1809/09/21/pdfs/GGB-1809-222.pdf#page=5","Abrir facsímil")</f>
        <v>Abrir facsímil</v>
      </c>
      <c r="K4806" s="3" t="s">
        <v>57</v>
      </c>
    </row>
    <row r="4807" spans="1:11" ht="42" customHeight="1">
      <c r="A4807" s="2" t="s">
        <v>11717</v>
      </c>
      <c r="B4807" s="2" t="s">
        <v>11717</v>
      </c>
      <c r="C4807" s="2" t="s">
        <v>25</v>
      </c>
      <c r="D4807" s="2" t="s">
        <v>18</v>
      </c>
      <c r="E4807" s="3" t="s">
        <v>3796</v>
      </c>
      <c r="F4807" s="3" t="s">
        <v>11718</v>
      </c>
      <c r="G4807" s="3" t="s">
        <v>110</v>
      </c>
      <c r="H4807" s="2" t="s">
        <v>55</v>
      </c>
      <c r="I4807" s="2" t="s">
        <v>11719</v>
      </c>
      <c r="J4807" s="3" t="str">
        <f>HYPERLINK("https://www.boe.es/gazeta/dias/1809/02/18/pdfs/GMD-1809-49.pdf#page=4","Abrir facsímil")</f>
        <v>Abrir facsímil</v>
      </c>
      <c r="K4807" s="3" t="s">
        <v>57</v>
      </c>
    </row>
    <row r="4808" spans="1:11" ht="42" customHeight="1">
      <c r="A4808" s="2" t="s">
        <v>11720</v>
      </c>
      <c r="B4808" s="2" t="s">
        <v>11721</v>
      </c>
      <c r="C4808" s="2" t="s">
        <v>17</v>
      </c>
      <c r="D4808" s="2" t="s">
        <v>18</v>
      </c>
      <c r="E4808" s="3" t="s">
        <v>695</v>
      </c>
      <c r="F4808" s="3" t="s">
        <v>696</v>
      </c>
      <c r="G4808" s="3" t="s">
        <v>11722</v>
      </c>
      <c r="H4808" s="2" t="s">
        <v>55</v>
      </c>
      <c r="I4808" s="2" t="s">
        <v>11723</v>
      </c>
      <c r="J4808" s="3" t="str">
        <f>HYPERLINK("https://www.boe.es/gazeta/dias/1809/10/24/pdfs/GGB-1809-362.pdf#page=5","Abrir facsímil")</f>
        <v>Abrir facsímil</v>
      </c>
      <c r="K4808" s="3" t="s">
        <v>57</v>
      </c>
    </row>
    <row r="4809" spans="1:11" ht="42" customHeight="1">
      <c r="A4809" s="2" t="s">
        <v>11724</v>
      </c>
      <c r="B4809" s="2" t="s">
        <v>11725</v>
      </c>
      <c r="C4809" s="2" t="s">
        <v>17</v>
      </c>
      <c r="D4809" s="2" t="s">
        <v>18</v>
      </c>
      <c r="E4809" s="3" t="s">
        <v>536</v>
      </c>
      <c r="F4809" s="3" t="s">
        <v>537</v>
      </c>
      <c r="G4809" s="3" t="s">
        <v>29</v>
      </c>
      <c r="H4809" s="2" t="s">
        <v>55</v>
      </c>
      <c r="I4809" s="2" t="s">
        <v>11726</v>
      </c>
      <c r="J4809" s="3" t="str">
        <f>HYPERLINK("https://www.boe.es/gazeta/dias/1809/09/03/pdfs/GMD-1809-247.pdf#page=3","Abrir facsímil")</f>
        <v>Abrir facsímil</v>
      </c>
      <c r="K4809" s="3" t="s">
        <v>57</v>
      </c>
    </row>
    <row r="4810" spans="1:11" ht="42" customHeight="1">
      <c r="A4810" s="2" t="s">
        <v>11727</v>
      </c>
      <c r="B4810" s="2" t="s">
        <v>11728</v>
      </c>
      <c r="C4810" s="2" t="s">
        <v>17</v>
      </c>
      <c r="D4810" s="2" t="s">
        <v>18</v>
      </c>
      <c r="E4810" s="3" t="s">
        <v>33</v>
      </c>
      <c r="F4810" s="3" t="s">
        <v>34</v>
      </c>
      <c r="G4810" s="3" t="s">
        <v>493</v>
      </c>
      <c r="H4810" s="2" t="s">
        <v>55</v>
      </c>
      <c r="I4810" s="2" t="s">
        <v>11729</v>
      </c>
      <c r="J4810" s="3" t="str">
        <f>HYPERLINK("https://www.boe.es/gazeta/dias/1809/12/19/pdfs/GGB-1809-602.pdf#page=6","Abrir facsímil")</f>
        <v>Abrir facsímil</v>
      </c>
      <c r="K4810" s="3" t="s">
        <v>57</v>
      </c>
    </row>
    <row r="4811" spans="1:11" ht="42" customHeight="1">
      <c r="A4811" s="2" t="s">
        <v>11730</v>
      </c>
      <c r="B4811" s="2" t="s">
        <v>11730</v>
      </c>
      <c r="C4811" s="2" t="s">
        <v>25</v>
      </c>
      <c r="D4811" s="2" t="s">
        <v>26</v>
      </c>
      <c r="E4811" s="3" t="s">
        <v>1635</v>
      </c>
      <c r="F4811" s="3" t="s">
        <v>1636</v>
      </c>
      <c r="G4811" s="3" t="s">
        <v>11731</v>
      </c>
      <c r="H4811" s="2" t="s">
        <v>55</v>
      </c>
      <c r="I4811" s="2" t="s">
        <v>11732</v>
      </c>
      <c r="J4811" s="3" t="str">
        <f>HYPERLINK("https://www.boe.es/gazeta/dias/1809/09/15/pdfs/GMD-1809-259.pdf#page=1","Abrir facsímil")</f>
        <v>Abrir facsímil</v>
      </c>
      <c r="K4811" s="3" t="s">
        <v>57</v>
      </c>
    </row>
    <row r="4812" spans="1:11" ht="42" customHeight="1">
      <c r="A4812" s="2" t="s">
        <v>11730</v>
      </c>
      <c r="B4812" s="2" t="s">
        <v>11730</v>
      </c>
      <c r="C4812" s="2" t="s">
        <v>25</v>
      </c>
      <c r="D4812" s="2" t="s">
        <v>26</v>
      </c>
      <c r="E4812" s="3" t="s">
        <v>449</v>
      </c>
      <c r="F4812" s="3" t="s">
        <v>450</v>
      </c>
      <c r="G4812" s="3" t="s">
        <v>2046</v>
      </c>
      <c r="H4812" s="2" t="s">
        <v>55</v>
      </c>
      <c r="I4812" s="2" t="s">
        <v>11733</v>
      </c>
      <c r="J4812" s="3" t="str">
        <f>HYPERLINK("https://www.boe.es/gazeta/dias/1809/10/10/pdfs/GGB-1809-302.pdf#page=1","Abrir facsímil")</f>
        <v>Abrir facsímil</v>
      </c>
      <c r="K4812" s="3" t="s">
        <v>57</v>
      </c>
    </row>
    <row r="4813" spans="1:11" ht="42" customHeight="1">
      <c r="A4813" s="2" t="s">
        <v>11734</v>
      </c>
      <c r="B4813" s="2" t="s">
        <v>11735</v>
      </c>
      <c r="C4813" s="2" t="s">
        <v>17</v>
      </c>
      <c r="D4813" s="2" t="s">
        <v>72</v>
      </c>
      <c r="E4813" s="3" t="s">
        <v>557</v>
      </c>
      <c r="F4813" s="3" t="s">
        <v>558</v>
      </c>
      <c r="G4813" s="3" t="s">
        <v>265</v>
      </c>
      <c r="H4813" s="2" t="s">
        <v>55</v>
      </c>
      <c r="I4813" s="2" t="s">
        <v>11736</v>
      </c>
      <c r="J4813" s="3" t="str">
        <f>HYPERLINK("https://www.boe.es/gazeta/dias/1809/04/19/pdfs/GMD-E-1809-109.pdf#page=2","Abrir facsímil")</f>
        <v>Abrir facsímil</v>
      </c>
      <c r="K4813" s="3" t="s">
        <v>57</v>
      </c>
    </row>
    <row r="4814" spans="1:11" ht="42" customHeight="1">
      <c r="A4814" s="2" t="s">
        <v>11737</v>
      </c>
      <c r="B4814" s="2" t="s">
        <v>11737</v>
      </c>
      <c r="C4814" s="2" t="s">
        <v>25</v>
      </c>
      <c r="D4814" s="2" t="s">
        <v>26</v>
      </c>
      <c r="E4814" s="3" t="s">
        <v>3258</v>
      </c>
      <c r="F4814" s="3" t="s">
        <v>3529</v>
      </c>
      <c r="G4814" s="3" t="s">
        <v>154</v>
      </c>
      <c r="H4814" s="2" t="s">
        <v>55</v>
      </c>
      <c r="I4814" s="2" t="s">
        <v>11738</v>
      </c>
      <c r="J4814" s="3" t="str">
        <f>HYPERLINK("https://www.boe.es/gazeta/dias/1809/04/03/pdfs/GGB-1809-14B.pdf#page=3","Abrir facsímil")</f>
        <v>Abrir facsímil</v>
      </c>
      <c r="K4814" s="3" t="s">
        <v>57</v>
      </c>
    </row>
    <row r="4815" spans="1:11" ht="42" customHeight="1">
      <c r="A4815" s="2" t="s">
        <v>11739</v>
      </c>
      <c r="B4815" s="2" t="s">
        <v>11739</v>
      </c>
      <c r="C4815" s="2" t="s">
        <v>25</v>
      </c>
      <c r="D4815" s="2" t="s">
        <v>18</v>
      </c>
      <c r="E4815" s="3" t="s">
        <v>123</v>
      </c>
      <c r="F4815" s="3" t="s">
        <v>124</v>
      </c>
      <c r="G4815" s="3" t="s">
        <v>129</v>
      </c>
      <c r="H4815" s="2" t="s">
        <v>55</v>
      </c>
      <c r="I4815" s="2" t="s">
        <v>11740</v>
      </c>
      <c r="J4815" s="3" t="str">
        <f>HYPERLINK("https://www.boe.es/gazeta/dias/1809/04/21/pdfs/GMD-1809-111.pdf#page=2","Abrir facsímil")</f>
        <v>Abrir facsímil</v>
      </c>
      <c r="K4815" s="3" t="s">
        <v>57</v>
      </c>
    </row>
    <row r="4816" spans="1:11" ht="42" customHeight="1">
      <c r="A4816" s="2" t="s">
        <v>11741</v>
      </c>
      <c r="B4816" s="2" t="s">
        <v>11741</v>
      </c>
      <c r="C4816" s="2" t="s">
        <v>25</v>
      </c>
      <c r="D4816" s="2" t="s">
        <v>18</v>
      </c>
      <c r="E4816" s="3" t="s">
        <v>211</v>
      </c>
      <c r="F4816" s="3" t="s">
        <v>212</v>
      </c>
      <c r="G4816" s="3" t="s">
        <v>213</v>
      </c>
      <c r="H4816" s="2" t="s">
        <v>55</v>
      </c>
      <c r="I4816" s="2" t="s">
        <v>11742</v>
      </c>
      <c r="J4816" s="3" t="str">
        <f>HYPERLINK("https://www.boe.es/gazeta/dias/1809/10/27/pdfs/GMD-1809-301.pdf#page=4","Abrir facsímil")</f>
        <v>Abrir facsímil</v>
      </c>
      <c r="K4816" s="3" t="s">
        <v>57</v>
      </c>
    </row>
    <row r="4817" spans="1:11" ht="42" customHeight="1">
      <c r="A4817" s="2" t="s">
        <v>11743</v>
      </c>
      <c r="B4817" s="2" t="s">
        <v>11743</v>
      </c>
      <c r="C4817" s="2" t="s">
        <v>369</v>
      </c>
      <c r="D4817" s="2" t="s">
        <v>18</v>
      </c>
      <c r="E4817" s="3" t="s">
        <v>3167</v>
      </c>
      <c r="F4817" s="3" t="s">
        <v>3168</v>
      </c>
      <c r="G4817" s="3" t="s">
        <v>239</v>
      </c>
      <c r="H4817" s="2" t="s">
        <v>55</v>
      </c>
      <c r="I4817" s="2" t="s">
        <v>11744</v>
      </c>
      <c r="J4817" s="3" t="str">
        <f>HYPERLINK("https://www.boe.es/gazeta/dias/1809/04/07/pdfs/GGB-1809-15.pdf#page=8","Abrir facsímil")</f>
        <v>Abrir facsímil</v>
      </c>
      <c r="K4817" s="3" t="s">
        <v>57</v>
      </c>
    </row>
    <row r="4818" spans="1:11" ht="42" customHeight="1">
      <c r="A4818" s="2" t="s">
        <v>11743</v>
      </c>
      <c r="B4818" s="2" t="s">
        <v>11743</v>
      </c>
      <c r="C4818" s="2" t="s">
        <v>25</v>
      </c>
      <c r="D4818" s="2" t="s">
        <v>18</v>
      </c>
      <c r="E4818" s="3" t="s">
        <v>123</v>
      </c>
      <c r="F4818" s="3" t="s">
        <v>310</v>
      </c>
      <c r="G4818" s="3" t="s">
        <v>75</v>
      </c>
      <c r="H4818" s="2" t="s">
        <v>55</v>
      </c>
      <c r="I4818" s="2" t="s">
        <v>11745</v>
      </c>
      <c r="J4818" s="3" t="str">
        <f>HYPERLINK("https://www.boe.es/gazeta/dias/1809/04/21/pdfs/GGB-1809-20.pdf#page=3","Abrir facsímil")</f>
        <v>Abrir facsímil</v>
      </c>
      <c r="K4818" s="3" t="s">
        <v>57</v>
      </c>
    </row>
    <row r="4819" spans="1:11" ht="42" customHeight="1">
      <c r="A4819" s="2" t="s">
        <v>11743</v>
      </c>
      <c r="B4819" s="2" t="s">
        <v>11743</v>
      </c>
      <c r="C4819" s="2" t="s">
        <v>25</v>
      </c>
      <c r="D4819" s="2" t="s">
        <v>26</v>
      </c>
      <c r="E4819" s="3" t="s">
        <v>92</v>
      </c>
      <c r="F4819" s="3" t="s">
        <v>1383</v>
      </c>
      <c r="G4819" s="3" t="s">
        <v>120</v>
      </c>
      <c r="H4819" s="2" t="s">
        <v>55</v>
      </c>
      <c r="I4819" s="2" t="s">
        <v>11746</v>
      </c>
      <c r="J4819" s="3" t="str">
        <f>HYPERLINK("https://www.boe.es/gazeta/dias/1809/05/22/pdfs/GGB-1809-30.pdf#page=6","Abrir facsímil")</f>
        <v>Abrir facsímil</v>
      </c>
      <c r="K4819" s="3" t="s">
        <v>57</v>
      </c>
    </row>
    <row r="4820" spans="1:11" ht="42" customHeight="1">
      <c r="A4820" s="2" t="s">
        <v>11747</v>
      </c>
      <c r="B4820" s="2" t="s">
        <v>11747</v>
      </c>
      <c r="C4820" s="2" t="s">
        <v>17</v>
      </c>
      <c r="D4820" s="2" t="s">
        <v>18</v>
      </c>
      <c r="E4820" s="3" t="s">
        <v>730</v>
      </c>
      <c r="F4820" s="3" t="s">
        <v>731</v>
      </c>
      <c r="G4820" s="3" t="s">
        <v>62</v>
      </c>
      <c r="H4820" s="2" t="s">
        <v>55</v>
      </c>
      <c r="I4820" s="2" t="s">
        <v>11748</v>
      </c>
      <c r="J4820" s="3" t="str">
        <f>HYPERLINK("https://www.boe.es/gazeta/dias/1809/06/23/pdfs/GMD-1809-174.pdf#page=3","Abrir facsímil")</f>
        <v>Abrir facsímil</v>
      </c>
      <c r="K4820" s="3" t="s">
        <v>57</v>
      </c>
    </row>
    <row r="4821" spans="1:11" ht="42" customHeight="1">
      <c r="A4821" s="2" t="s">
        <v>11747</v>
      </c>
      <c r="B4821" s="2" t="s">
        <v>11747</v>
      </c>
      <c r="C4821" s="2" t="s">
        <v>17</v>
      </c>
      <c r="D4821" s="2" t="s">
        <v>107</v>
      </c>
      <c r="E4821" s="3" t="s">
        <v>712</v>
      </c>
      <c r="F4821" s="3" t="s">
        <v>713</v>
      </c>
      <c r="G4821" s="3" t="s">
        <v>120</v>
      </c>
      <c r="H4821" s="2" t="s">
        <v>55</v>
      </c>
      <c r="I4821" s="2" t="s">
        <v>11749</v>
      </c>
      <c r="J4821" s="3" t="str">
        <f>HYPERLINK("https://www.boe.es/gazeta/dias/1809/09/10/pdfs/GMD-1809-254.pdf#page=2","Abrir facsímil")</f>
        <v>Abrir facsímil</v>
      </c>
      <c r="K4821" s="3" t="s">
        <v>57</v>
      </c>
    </row>
    <row r="4822" spans="1:11" ht="42" customHeight="1">
      <c r="A4822" s="2" t="s">
        <v>11747</v>
      </c>
      <c r="B4822" s="2" t="s">
        <v>11747</v>
      </c>
      <c r="C4822" s="2" t="s">
        <v>25</v>
      </c>
      <c r="D4822" s="2" t="s">
        <v>26</v>
      </c>
      <c r="E4822" s="3" t="s">
        <v>223</v>
      </c>
      <c r="F4822" s="3" t="s">
        <v>224</v>
      </c>
      <c r="G4822" s="3" t="s">
        <v>225</v>
      </c>
      <c r="H4822" s="2" t="s">
        <v>55</v>
      </c>
      <c r="I4822" s="2" t="s">
        <v>11750</v>
      </c>
      <c r="J4822" s="3" t="str">
        <f>HYPERLINK("https://www.boe.es/gazeta/dias/1809/12/17/pdfs/GMD-1809-352.pdf#page=4","Abrir facsímil")</f>
        <v>Abrir facsímil</v>
      </c>
      <c r="K4822" s="3" t="s">
        <v>57</v>
      </c>
    </row>
    <row r="4823" spans="1:11" ht="42" customHeight="1">
      <c r="A4823" s="2" t="s">
        <v>11751</v>
      </c>
      <c r="B4823" s="2" t="s">
        <v>11751</v>
      </c>
      <c r="C4823" s="2" t="s">
        <v>25</v>
      </c>
      <c r="D4823" s="2" t="s">
        <v>107</v>
      </c>
      <c r="E4823" s="3" t="s">
        <v>432</v>
      </c>
      <c r="F4823" s="3" t="s">
        <v>1525</v>
      </c>
      <c r="G4823" s="3" t="s">
        <v>120</v>
      </c>
      <c r="H4823" s="2" t="s">
        <v>55</v>
      </c>
      <c r="I4823" s="2" t="s">
        <v>11752</v>
      </c>
      <c r="J4823" s="3" t="str">
        <f>HYPERLINK("https://www.boe.es/gazeta/dias/1809/07/11/pdfs/GGB-1809-44.pdf#page=4","Abrir facsímil")</f>
        <v>Abrir facsímil</v>
      </c>
      <c r="K4823" s="3" t="s">
        <v>57</v>
      </c>
    </row>
    <row r="4824" spans="1:11" ht="42" customHeight="1">
      <c r="A4824" s="2" t="s">
        <v>11753</v>
      </c>
      <c r="B4824" s="2" t="s">
        <v>11753</v>
      </c>
      <c r="C4824" s="2" t="s">
        <v>17</v>
      </c>
      <c r="D4824" s="2" t="s">
        <v>18</v>
      </c>
      <c r="E4824" s="3" t="s">
        <v>92</v>
      </c>
      <c r="F4824" s="3" t="s">
        <v>11754</v>
      </c>
      <c r="G4824" s="3" t="s">
        <v>21</v>
      </c>
      <c r="H4824" s="2" t="s">
        <v>55</v>
      </c>
      <c r="I4824" s="2" t="s">
        <v>11755</v>
      </c>
      <c r="J4824" s="3" t="str">
        <f>HYPERLINK("https://www.boe.es/gazeta/dias/1809/05/22/pdfs/GMD-1809-142.pdf#page=4","Abrir facsímil")</f>
        <v>Abrir facsímil</v>
      </c>
      <c r="K4824" s="3" t="s">
        <v>57</v>
      </c>
    </row>
    <row r="4825" spans="1:11" ht="42" customHeight="1">
      <c r="A4825" s="2" t="s">
        <v>11756</v>
      </c>
      <c r="B4825" s="2" t="s">
        <v>11757</v>
      </c>
      <c r="C4825" s="2" t="s">
        <v>17</v>
      </c>
      <c r="D4825" s="2" t="s">
        <v>18</v>
      </c>
      <c r="E4825" s="3" t="s">
        <v>390</v>
      </c>
      <c r="F4825" s="3" t="s">
        <v>2858</v>
      </c>
      <c r="G4825" s="3" t="s">
        <v>110</v>
      </c>
      <c r="H4825" s="2" t="s">
        <v>55</v>
      </c>
      <c r="I4825" s="2" t="s">
        <v>11758</v>
      </c>
      <c r="J4825" s="3" t="str">
        <f>HYPERLINK("https://www.boe.es/gazeta/dias/1809/10/19/pdfs/GMD-1809-293.pdf#page=4","Abrir facsímil")</f>
        <v>Abrir facsímil</v>
      </c>
      <c r="K4825" s="3" t="s">
        <v>57</v>
      </c>
    </row>
    <row r="4826" spans="1:11" ht="42" customHeight="1">
      <c r="A4826" s="2" t="s">
        <v>11759</v>
      </c>
      <c r="B4826" s="2" t="s">
        <v>11760</v>
      </c>
      <c r="C4826" s="2" t="s">
        <v>47</v>
      </c>
      <c r="D4826" s="2" t="s">
        <v>18</v>
      </c>
      <c r="E4826" s="3" t="s">
        <v>299</v>
      </c>
      <c r="F4826" s="3" t="s">
        <v>300</v>
      </c>
      <c r="G4826" s="3" t="s">
        <v>693</v>
      </c>
      <c r="H4826" s="2" t="s">
        <v>55</v>
      </c>
      <c r="I4826" s="2" t="s">
        <v>11761</v>
      </c>
      <c r="J4826" s="3" t="str">
        <f>HYPERLINK("https://www.boe.es/gazeta/dias/1809/05/26/pdfs/GGB-1809-31.pdf#page=9","Abrir facsímil")</f>
        <v>Abrir facsímil</v>
      </c>
      <c r="K4826" s="3" t="s">
        <v>57</v>
      </c>
    </row>
    <row r="4827" spans="1:11" ht="42" customHeight="1">
      <c r="A4827" s="2" t="s">
        <v>11762</v>
      </c>
      <c r="B4827" s="2" t="s">
        <v>11763</v>
      </c>
      <c r="C4827" s="2" t="s">
        <v>25</v>
      </c>
      <c r="D4827" s="2" t="s">
        <v>26</v>
      </c>
      <c r="E4827" s="3" t="s">
        <v>216</v>
      </c>
      <c r="F4827" s="3" t="s">
        <v>217</v>
      </c>
      <c r="G4827" s="3" t="s">
        <v>218</v>
      </c>
      <c r="H4827" s="2" t="s">
        <v>55</v>
      </c>
      <c r="I4827" s="2" t="s">
        <v>11764</v>
      </c>
      <c r="J4827" s="3" t="str">
        <f>HYPERLINK("https://www.boe.es/gazeta/dias/1809/12/05/pdfs/GGB-H-1809-542.pdf#page=6","Abrir facsímil")</f>
        <v>Abrir facsímil</v>
      </c>
      <c r="K4827" s="3" t="s">
        <v>57</v>
      </c>
    </row>
    <row r="4828" spans="1:11" ht="42" customHeight="1">
      <c r="A4828" s="2" t="s">
        <v>11765</v>
      </c>
      <c r="B4828" s="2" t="s">
        <v>11766</v>
      </c>
      <c r="C4828" s="2" t="s">
        <v>25</v>
      </c>
      <c r="D4828" s="2" t="s">
        <v>26</v>
      </c>
      <c r="E4828" s="3" t="s">
        <v>211</v>
      </c>
      <c r="F4828" s="3" t="s">
        <v>212</v>
      </c>
      <c r="G4828" s="3" t="s">
        <v>213</v>
      </c>
      <c r="H4828" s="2" t="s">
        <v>55</v>
      </c>
      <c r="I4828" s="2" t="s">
        <v>11767</v>
      </c>
      <c r="J4828" s="3" t="str">
        <f>HYPERLINK("https://www.boe.es/gazeta/dias/1809/10/27/pdfs/GMD-1809-301.pdf#page=4","Abrir facsímil")</f>
        <v>Abrir facsímil</v>
      </c>
      <c r="K4828" s="3" t="s">
        <v>57</v>
      </c>
    </row>
    <row r="4829" spans="1:11" ht="42" customHeight="1">
      <c r="A4829" s="2" t="s">
        <v>11768</v>
      </c>
      <c r="B4829" s="2" t="s">
        <v>11769</v>
      </c>
      <c r="C4829" s="2" t="s">
        <v>17</v>
      </c>
      <c r="D4829" s="2" t="s">
        <v>18</v>
      </c>
      <c r="E4829" s="3" t="s">
        <v>551</v>
      </c>
      <c r="F4829" s="3" t="s">
        <v>552</v>
      </c>
      <c r="G4829" s="3" t="s">
        <v>553</v>
      </c>
      <c r="H4829" s="2" t="s">
        <v>55</v>
      </c>
      <c r="I4829" s="2" t="s">
        <v>11770</v>
      </c>
      <c r="J4829" s="3" t="str">
        <f>HYPERLINK("https://www.boe.es/gazeta/dias/1809/05/04/pdfs/GMD-1809-124.pdf#page=1","Abrir facsímil")</f>
        <v>Abrir facsímil</v>
      </c>
      <c r="K4829" s="3" t="s">
        <v>57</v>
      </c>
    </row>
    <row r="4830" spans="1:11" ht="42" customHeight="1">
      <c r="A4830" s="2" t="s">
        <v>11768</v>
      </c>
      <c r="B4830" s="2" t="s">
        <v>11769</v>
      </c>
      <c r="C4830" s="2" t="s">
        <v>25</v>
      </c>
      <c r="D4830" s="2" t="s">
        <v>26</v>
      </c>
      <c r="E4830" s="3" t="s">
        <v>211</v>
      </c>
      <c r="F4830" s="3" t="s">
        <v>212</v>
      </c>
      <c r="G4830" s="3" t="s">
        <v>467</v>
      </c>
      <c r="H4830" s="2" t="s">
        <v>55</v>
      </c>
      <c r="I4830" s="2" t="s">
        <v>11771</v>
      </c>
      <c r="J4830" s="3" t="str">
        <f>HYPERLINK("https://www.boe.es/gazeta/dias/1809/10/27/pdfs/GMD-1809-301.pdf#page=2","Abrir facsímil")</f>
        <v>Abrir facsímil</v>
      </c>
      <c r="K4830" s="3" t="s">
        <v>57</v>
      </c>
    </row>
    <row r="4831" spans="1:11" ht="42" customHeight="1">
      <c r="A4831" s="2" t="s">
        <v>11768</v>
      </c>
      <c r="B4831" s="2" t="s">
        <v>11769</v>
      </c>
      <c r="C4831" s="2" t="s">
        <v>25</v>
      </c>
      <c r="D4831" s="2" t="s">
        <v>26</v>
      </c>
      <c r="E4831" s="3" t="s">
        <v>216</v>
      </c>
      <c r="F4831" s="3" t="s">
        <v>217</v>
      </c>
      <c r="G4831" s="3" t="s">
        <v>270</v>
      </c>
      <c r="H4831" s="2" t="s">
        <v>55</v>
      </c>
      <c r="I4831" s="2" t="s">
        <v>11772</v>
      </c>
      <c r="J4831" s="3" t="str">
        <f>HYPERLINK("https://www.boe.es/gazeta/dias/1809/12/05/pdfs/GGB-H-1809-542.pdf#page=3","Abrir facsímil")</f>
        <v>Abrir facsímil</v>
      </c>
      <c r="K4831" s="3" t="s">
        <v>57</v>
      </c>
    </row>
    <row r="4832" spans="1:11" ht="42" customHeight="1">
      <c r="A4832" s="2" t="s">
        <v>11773</v>
      </c>
      <c r="B4832" s="2" t="s">
        <v>11773</v>
      </c>
      <c r="C4832" s="2" t="s">
        <v>25</v>
      </c>
      <c r="D4832" s="2" t="s">
        <v>26</v>
      </c>
      <c r="E4832" s="3" t="s">
        <v>508</v>
      </c>
      <c r="F4832" s="3" t="s">
        <v>509</v>
      </c>
      <c r="G4832" s="3" t="s">
        <v>1138</v>
      </c>
      <c r="H4832" s="2" t="s">
        <v>55</v>
      </c>
      <c r="I4832" s="2" t="s">
        <v>11774</v>
      </c>
      <c r="J4832" s="3" t="str">
        <f>HYPERLINK("https://www.boe.es/gazeta/dias/1809/06/21/pdfs/GMD-1809-172.pdf#page=2","Abrir facsímil")</f>
        <v>Abrir facsímil</v>
      </c>
      <c r="K4832" s="3" t="s">
        <v>57</v>
      </c>
    </row>
    <row r="4833" spans="1:11" ht="42" customHeight="1">
      <c r="A4833" s="2" t="s">
        <v>11773</v>
      </c>
      <c r="B4833" s="2" t="s">
        <v>11773</v>
      </c>
      <c r="C4833" s="2" t="s">
        <v>25</v>
      </c>
      <c r="D4833" s="2" t="s">
        <v>26</v>
      </c>
      <c r="E4833" s="3" t="s">
        <v>2888</v>
      </c>
      <c r="F4833" s="3" t="s">
        <v>2889</v>
      </c>
      <c r="G4833" s="3" t="s">
        <v>234</v>
      </c>
      <c r="H4833" s="2" t="s">
        <v>55</v>
      </c>
      <c r="I4833" s="2" t="s">
        <v>11775</v>
      </c>
      <c r="J4833" s="3" t="str">
        <f>HYPERLINK("https://www.boe.es/gazeta/dias/1809/06/25/pdfs/GMD-1809-176.pdf#page=3","Abrir facsímil")</f>
        <v>Abrir facsímil</v>
      </c>
      <c r="K4833" s="3" t="s">
        <v>57</v>
      </c>
    </row>
    <row r="4834" spans="1:11" ht="42" customHeight="1">
      <c r="A4834" s="2" t="s">
        <v>11776</v>
      </c>
      <c r="B4834" s="2" t="s">
        <v>11776</v>
      </c>
      <c r="C4834" s="2" t="s">
        <v>25</v>
      </c>
      <c r="D4834" s="2" t="s">
        <v>26</v>
      </c>
      <c r="E4834" s="3" t="s">
        <v>1822</v>
      </c>
      <c r="F4834" s="3" t="s">
        <v>1823</v>
      </c>
      <c r="G4834" s="3" t="s">
        <v>29</v>
      </c>
      <c r="H4834" s="2" t="s">
        <v>55</v>
      </c>
      <c r="I4834" s="2" t="s">
        <v>11777</v>
      </c>
      <c r="J4834" s="3" t="str">
        <f>HYPERLINK("https://www.boe.es/gazeta/dias/1809/10/11/pdfs/GMD-1809-285.pdf#page=3","Abrir facsímil")</f>
        <v>Abrir facsímil</v>
      </c>
      <c r="K4834" s="3" t="s">
        <v>57</v>
      </c>
    </row>
    <row r="4835" spans="1:11" ht="42" customHeight="1">
      <c r="A4835" s="2" t="s">
        <v>11778</v>
      </c>
      <c r="B4835" s="2" t="s">
        <v>11778</v>
      </c>
      <c r="C4835" s="2" t="s">
        <v>25</v>
      </c>
      <c r="D4835" s="2" t="s">
        <v>18</v>
      </c>
      <c r="E4835" s="3" t="s">
        <v>53</v>
      </c>
      <c r="F4835" s="3" t="s">
        <v>3411</v>
      </c>
      <c r="G4835" s="3" t="s">
        <v>5805</v>
      </c>
      <c r="H4835" s="2" t="s">
        <v>55</v>
      </c>
      <c r="I4835" s="2" t="s">
        <v>11779</v>
      </c>
      <c r="J4835" s="3" t="str">
        <f>HYPERLINK("https://www.boe.es/gazeta/dias/1809/03/03/pdfs/GGB-1809-10.pdf#page=5","Abrir facsímil")</f>
        <v>Abrir facsímil</v>
      </c>
      <c r="K4835" s="3" t="s">
        <v>57</v>
      </c>
    </row>
    <row r="4836" spans="1:11" ht="42" customHeight="1">
      <c r="A4836" s="2" t="s">
        <v>11778</v>
      </c>
      <c r="B4836" s="2" t="s">
        <v>11778</v>
      </c>
      <c r="C4836" s="2" t="s">
        <v>25</v>
      </c>
      <c r="D4836" s="2" t="s">
        <v>18</v>
      </c>
      <c r="E4836" s="3" t="s">
        <v>904</v>
      </c>
      <c r="F4836" s="3" t="s">
        <v>905</v>
      </c>
      <c r="G4836" s="3" t="s">
        <v>9457</v>
      </c>
      <c r="H4836" s="2" t="s">
        <v>55</v>
      </c>
      <c r="I4836" s="2" t="s">
        <v>11780</v>
      </c>
      <c r="J4836" s="3" t="str">
        <f>HYPERLINK("https://www.boe.es/gazeta/dias/1809/07/07/pdfs/GGB-1809-43.pdf#page=1","Abrir facsímil")</f>
        <v>Abrir facsímil</v>
      </c>
      <c r="K4836" s="3" t="s">
        <v>57</v>
      </c>
    </row>
    <row r="4837" spans="1:11" ht="42" customHeight="1">
      <c r="A4837" s="2" t="s">
        <v>11778</v>
      </c>
      <c r="B4837" s="2" t="s">
        <v>11778</v>
      </c>
      <c r="C4837" s="2" t="s">
        <v>25</v>
      </c>
      <c r="D4837" s="2" t="s">
        <v>26</v>
      </c>
      <c r="E4837" s="3" t="s">
        <v>3714</v>
      </c>
      <c r="F4837" s="3" t="s">
        <v>3715</v>
      </c>
      <c r="G4837" s="3" t="s">
        <v>2337</v>
      </c>
      <c r="H4837" s="2" t="s">
        <v>55</v>
      </c>
      <c r="I4837" s="2" t="s">
        <v>11781</v>
      </c>
      <c r="J4837" s="3" t="str">
        <f>HYPERLINK("https://www.boe.es/gazeta/dias/1809/12/07/pdfs/GMD-1809-342.pdf#page=2","Abrir facsímil")</f>
        <v>Abrir facsímil</v>
      </c>
      <c r="K4837" s="3" t="s">
        <v>57</v>
      </c>
    </row>
    <row r="4838" spans="1:11" ht="42" customHeight="1">
      <c r="A4838" s="2" t="s">
        <v>11782</v>
      </c>
      <c r="B4838" s="2" t="s">
        <v>11782</v>
      </c>
      <c r="C4838" s="2" t="s">
        <v>25</v>
      </c>
      <c r="D4838" s="2" t="s">
        <v>26</v>
      </c>
      <c r="E4838" s="3" t="s">
        <v>4598</v>
      </c>
      <c r="F4838" s="3" t="s">
        <v>4599</v>
      </c>
      <c r="G4838" s="3" t="s">
        <v>29</v>
      </c>
      <c r="H4838" s="2" t="s">
        <v>55</v>
      </c>
      <c r="I4838" s="2" t="s">
        <v>11783</v>
      </c>
      <c r="J4838" s="3" t="str">
        <f>HYPERLINK("https://www.boe.es/gazeta/dias/1809/12/29/pdfs/GMD-1809-364.pdf#page=3","Abrir facsímil")</f>
        <v>Abrir facsímil</v>
      </c>
      <c r="K4838" s="3" t="s">
        <v>57</v>
      </c>
    </row>
    <row r="4839" spans="1:11" ht="42" customHeight="1">
      <c r="A4839" s="2" t="s">
        <v>11784</v>
      </c>
      <c r="B4839" s="2" t="s">
        <v>11784</v>
      </c>
      <c r="C4839" s="2" t="s">
        <v>25</v>
      </c>
      <c r="D4839" s="2" t="s">
        <v>26</v>
      </c>
      <c r="E4839" s="3" t="s">
        <v>739</v>
      </c>
      <c r="F4839" s="3" t="s">
        <v>1137</v>
      </c>
      <c r="G4839" s="3" t="s">
        <v>582</v>
      </c>
      <c r="H4839" s="2" t="s">
        <v>55</v>
      </c>
      <c r="I4839" s="2" t="s">
        <v>11785</v>
      </c>
      <c r="J4839" s="3" t="str">
        <f>HYPERLINK("https://www.boe.es/gazeta/dias/1809/05/08/pdfs/GGB-1809-25.pdf#page=4","Abrir facsímil")</f>
        <v>Abrir facsímil</v>
      </c>
      <c r="K4839" s="3" t="s">
        <v>57</v>
      </c>
    </row>
    <row r="4840" spans="1:11" ht="42" customHeight="1">
      <c r="A4840" s="2" t="s">
        <v>11786</v>
      </c>
      <c r="B4840" s="2" t="s">
        <v>11786</v>
      </c>
      <c r="C4840" s="2" t="s">
        <v>17</v>
      </c>
      <c r="D4840" s="2" t="s">
        <v>18</v>
      </c>
      <c r="E4840" s="3" t="s">
        <v>814</v>
      </c>
      <c r="F4840" s="3" t="s">
        <v>2095</v>
      </c>
      <c r="G4840" s="3" t="s">
        <v>239</v>
      </c>
      <c r="H4840" s="2" t="s">
        <v>55</v>
      </c>
      <c r="I4840" s="2" t="s">
        <v>11787</v>
      </c>
      <c r="J4840" s="3" t="str">
        <f>HYPERLINK("https://www.boe.es/gazeta/dias/1809/12/09/pdfs/GMD-1809-344.pdf#page=1","Abrir facsímil")</f>
        <v>Abrir facsímil</v>
      </c>
      <c r="K4840" s="3" t="s">
        <v>57</v>
      </c>
    </row>
    <row r="4841" spans="1:11" ht="42" customHeight="1">
      <c r="A4841" s="2" t="s">
        <v>11788</v>
      </c>
      <c r="B4841" s="2" t="s">
        <v>11788</v>
      </c>
      <c r="C4841" s="2" t="s">
        <v>25</v>
      </c>
      <c r="D4841" s="2" t="s">
        <v>18</v>
      </c>
      <c r="E4841" s="3" t="s">
        <v>2142</v>
      </c>
      <c r="F4841" s="3" t="s">
        <v>2143</v>
      </c>
      <c r="G4841" s="3" t="s">
        <v>154</v>
      </c>
      <c r="H4841" s="2" t="s">
        <v>55</v>
      </c>
      <c r="I4841" s="2" t="s">
        <v>11789</v>
      </c>
      <c r="J4841" s="3" t="str">
        <f>HYPERLINK("https://www.boe.es/gazeta/dias/1809/03/16/pdfs/GMD-1809-75.pdf#page=2","Abrir facsímil")</f>
        <v>Abrir facsímil</v>
      </c>
      <c r="K4841" s="3" t="s">
        <v>57</v>
      </c>
    </row>
    <row r="4842" spans="1:11" ht="42" customHeight="1">
      <c r="A4842" s="2" t="s">
        <v>11790</v>
      </c>
      <c r="B4842" s="2" t="s">
        <v>11791</v>
      </c>
      <c r="C4842" s="2" t="s">
        <v>25</v>
      </c>
      <c r="D4842" s="2" t="s">
        <v>18</v>
      </c>
      <c r="E4842" s="3" t="s">
        <v>4865</v>
      </c>
      <c r="F4842" s="3" t="s">
        <v>4866</v>
      </c>
      <c r="G4842" s="3" t="s">
        <v>4867</v>
      </c>
      <c r="H4842" s="2" t="s">
        <v>55</v>
      </c>
      <c r="I4842" s="2" t="s">
        <v>11792</v>
      </c>
      <c r="J4842" s="3" t="str">
        <f>HYPERLINK("https://www.boe.es/gazeta/dias/1809/05/17/pdfs/GMD-1809-137.pdf#page=1","Abrir facsímil")</f>
        <v>Abrir facsímil</v>
      </c>
      <c r="K4842" s="3" t="s">
        <v>57</v>
      </c>
    </row>
    <row r="4843" spans="1:11" ht="42" customHeight="1">
      <c r="A4843" s="2" t="s">
        <v>11793</v>
      </c>
      <c r="B4843" s="2" t="s">
        <v>11794</v>
      </c>
      <c r="C4843" s="2" t="s">
        <v>25</v>
      </c>
      <c r="D4843" s="2" t="s">
        <v>26</v>
      </c>
      <c r="E4843" s="3" t="s">
        <v>347</v>
      </c>
      <c r="F4843" s="3" t="s">
        <v>348</v>
      </c>
      <c r="G4843" s="3" t="s">
        <v>349</v>
      </c>
      <c r="H4843" s="2" t="s">
        <v>55</v>
      </c>
      <c r="I4843" s="2" t="s">
        <v>11795</v>
      </c>
      <c r="J4843" s="3" t="str">
        <f>HYPERLINK("https://www.boe.es/gazeta/dias/1809/03/07/pdfs/GMD-1809-66.pdf#page=3","Abrir facsímil")</f>
        <v>Abrir facsímil</v>
      </c>
      <c r="K4843" s="3" t="s">
        <v>57</v>
      </c>
    </row>
    <row r="4844" spans="1:11" ht="42" customHeight="1">
      <c r="A4844" s="2" t="s">
        <v>11796</v>
      </c>
      <c r="B4844" s="2" t="s">
        <v>11796</v>
      </c>
      <c r="C4844" s="2" t="s">
        <v>25</v>
      </c>
      <c r="D4844" s="2" t="s">
        <v>18</v>
      </c>
      <c r="E4844" s="3" t="s">
        <v>327</v>
      </c>
      <c r="F4844" s="3" t="s">
        <v>2138</v>
      </c>
      <c r="G4844" s="3" t="s">
        <v>2139</v>
      </c>
      <c r="H4844" s="2" t="s">
        <v>55</v>
      </c>
      <c r="I4844" s="2" t="s">
        <v>11797</v>
      </c>
      <c r="J4844" s="3" t="str">
        <f>HYPERLINK("https://www.boe.es/gazeta/dias/1809/09/14/pdfs/GMD-1809-258.pdf#page=1","Abrir facsímil")</f>
        <v>Abrir facsímil</v>
      </c>
      <c r="K4844" s="3" t="s">
        <v>57</v>
      </c>
    </row>
    <row r="4845" spans="1:11" ht="42" customHeight="1">
      <c r="A4845" s="2" t="s">
        <v>11798</v>
      </c>
      <c r="B4845" s="2" t="s">
        <v>11798</v>
      </c>
      <c r="C4845" s="2" t="s">
        <v>25</v>
      </c>
      <c r="D4845" s="2" t="s">
        <v>18</v>
      </c>
      <c r="E4845" s="3" t="s">
        <v>6618</v>
      </c>
      <c r="F4845" s="3" t="s">
        <v>6619</v>
      </c>
      <c r="G4845" s="3" t="s">
        <v>687</v>
      </c>
      <c r="H4845" s="2" t="s">
        <v>55</v>
      </c>
      <c r="I4845" s="2" t="s">
        <v>11799</v>
      </c>
      <c r="J4845" s="3" t="str">
        <f>HYPERLINK("https://www.boe.es/gazeta/dias/1809/09/18/pdfs/GMD-1809-262.pdf#page=2","Abrir facsímil")</f>
        <v>Abrir facsímil</v>
      </c>
      <c r="K4845" s="3" t="s">
        <v>57</v>
      </c>
    </row>
    <row r="4846" spans="1:11" ht="42" customHeight="1">
      <c r="A4846" s="2" t="s">
        <v>11800</v>
      </c>
      <c r="B4846" s="2" t="s">
        <v>11800</v>
      </c>
      <c r="C4846" s="2" t="s">
        <v>25</v>
      </c>
      <c r="D4846" s="2" t="s">
        <v>107</v>
      </c>
      <c r="E4846" s="3" t="s">
        <v>3425</v>
      </c>
      <c r="F4846" s="3" t="s">
        <v>3426</v>
      </c>
      <c r="G4846" s="3" t="s">
        <v>6241</v>
      </c>
      <c r="H4846" s="2" t="s">
        <v>55</v>
      </c>
      <c r="I4846" s="2" t="s">
        <v>11801</v>
      </c>
      <c r="J4846" s="3" t="str">
        <f>HYPERLINK("https://www.boe.es/gazeta/dias/1809/07/23/pdfs/GMD-1809-204.pdf#page=1","Abrir facsímil")</f>
        <v>Abrir facsímil</v>
      </c>
      <c r="K4846" s="3" t="s">
        <v>57</v>
      </c>
    </row>
    <row r="4847" spans="1:11" ht="42" customHeight="1">
      <c r="A4847" s="2" t="s">
        <v>11802</v>
      </c>
      <c r="B4847" s="2" t="s">
        <v>11803</v>
      </c>
      <c r="C4847" s="2" t="s">
        <v>25</v>
      </c>
      <c r="D4847" s="2" t="s">
        <v>26</v>
      </c>
      <c r="E4847" s="3" t="s">
        <v>776</v>
      </c>
      <c r="F4847" s="3" t="s">
        <v>777</v>
      </c>
      <c r="G4847" s="3" t="s">
        <v>21</v>
      </c>
      <c r="H4847" s="2" t="s">
        <v>55</v>
      </c>
      <c r="I4847" s="2" t="s">
        <v>11804</v>
      </c>
      <c r="J4847" s="3" t="str">
        <f>HYPERLINK("https://www.boe.es/gazeta/dias/1809/05/28/pdfs/GMD-E-1809-148.pdf#page=2","Abrir facsímil")</f>
        <v>Abrir facsímil</v>
      </c>
      <c r="K4847" s="3" t="s">
        <v>57</v>
      </c>
    </row>
    <row r="4848" spans="1:11" ht="42" customHeight="1">
      <c r="A4848" s="2" t="s">
        <v>11805</v>
      </c>
      <c r="B4848" s="2" t="s">
        <v>11806</v>
      </c>
      <c r="C4848" s="2" t="s">
        <v>39</v>
      </c>
      <c r="D4848" s="2" t="s">
        <v>18</v>
      </c>
      <c r="E4848" s="3" t="s">
        <v>666</v>
      </c>
      <c r="F4848" s="3" t="s">
        <v>667</v>
      </c>
      <c r="G4848" s="3" t="s">
        <v>1448</v>
      </c>
      <c r="H4848" s="2" t="s">
        <v>55</v>
      </c>
      <c r="I4848" s="2" t="s">
        <v>11807</v>
      </c>
      <c r="J4848" s="3" t="str">
        <f>HYPERLINK("https://www.boe.es/gazeta/dias/1809/08/29/pdfs/GGB-1809-122.pdf#page=7","Abrir facsímil")</f>
        <v>Abrir facsímil</v>
      </c>
      <c r="K4848" s="3" t="s">
        <v>57</v>
      </c>
    </row>
    <row r="4849" spans="1:11" ht="42" customHeight="1">
      <c r="A4849" s="2" t="s">
        <v>11805</v>
      </c>
      <c r="B4849" s="2" t="s">
        <v>11806</v>
      </c>
      <c r="C4849" s="2" t="s">
        <v>17</v>
      </c>
      <c r="D4849" s="2" t="s">
        <v>18</v>
      </c>
      <c r="E4849" s="3" t="s">
        <v>33</v>
      </c>
      <c r="F4849" s="3" t="s">
        <v>34</v>
      </c>
      <c r="G4849" s="3" t="s">
        <v>493</v>
      </c>
      <c r="H4849" s="2" t="s">
        <v>55</v>
      </c>
      <c r="I4849" s="2" t="s">
        <v>11808</v>
      </c>
      <c r="J4849" s="3" t="str">
        <f>HYPERLINK("https://www.boe.es/gazeta/dias/1809/12/19/pdfs/GGB-1809-602.pdf#page=6","Abrir facsímil")</f>
        <v>Abrir facsímil</v>
      </c>
      <c r="K4849" s="3" t="s">
        <v>57</v>
      </c>
    </row>
    <row r="4850" spans="1:11" ht="42" customHeight="1">
      <c r="A4850" s="2" t="s">
        <v>11809</v>
      </c>
      <c r="B4850" s="2" t="s">
        <v>11810</v>
      </c>
      <c r="C4850" s="2" t="s">
        <v>17</v>
      </c>
      <c r="D4850" s="2" t="s">
        <v>18</v>
      </c>
      <c r="E4850" s="3" t="s">
        <v>33</v>
      </c>
      <c r="F4850" s="3" t="s">
        <v>34</v>
      </c>
      <c r="G4850" s="3" t="s">
        <v>493</v>
      </c>
      <c r="H4850" s="2" t="s">
        <v>55</v>
      </c>
      <c r="I4850" s="2" t="s">
        <v>11811</v>
      </c>
      <c r="J4850" s="3" t="str">
        <f>HYPERLINK("https://www.boe.es/gazeta/dias/1809/12/19/pdfs/GGB-1809-602.pdf#page=6","Abrir facsímil")</f>
        <v>Abrir facsímil</v>
      </c>
      <c r="K4850" s="3" t="s">
        <v>57</v>
      </c>
    </row>
    <row r="4851" spans="1:11" ht="42" customHeight="1">
      <c r="A4851" s="2" t="s">
        <v>11812</v>
      </c>
      <c r="B4851" s="2" t="s">
        <v>11813</v>
      </c>
      <c r="C4851" s="2" t="s">
        <v>79</v>
      </c>
      <c r="D4851" s="2" t="s">
        <v>18</v>
      </c>
      <c r="E4851" s="3" t="s">
        <v>327</v>
      </c>
      <c r="F4851" s="3" t="s">
        <v>328</v>
      </c>
      <c r="G4851" s="3" t="s">
        <v>329</v>
      </c>
      <c r="H4851" s="2" t="s">
        <v>55</v>
      </c>
      <c r="I4851" s="2" t="s">
        <v>11814</v>
      </c>
      <c r="J4851" s="3" t="str">
        <f>HYPERLINK("https://www.boe.es/gazeta/dias/1809/09/14/pdfs/GGB-1809-192.pdf#page=8","Abrir facsímil")</f>
        <v>Abrir facsímil</v>
      </c>
      <c r="K4851" s="3" t="s">
        <v>57</v>
      </c>
    </row>
    <row r="4852" spans="1:11" ht="42" customHeight="1">
      <c r="A4852" s="2" t="s">
        <v>11815</v>
      </c>
      <c r="B4852" s="2" t="s">
        <v>11815</v>
      </c>
      <c r="C4852" s="2" t="s">
        <v>131</v>
      </c>
      <c r="D4852" s="2" t="s">
        <v>107</v>
      </c>
      <c r="E4852" s="3" t="s">
        <v>616</v>
      </c>
      <c r="F4852" s="3" t="s">
        <v>617</v>
      </c>
      <c r="G4852" s="3" t="s">
        <v>1152</v>
      </c>
      <c r="H4852" s="2" t="s">
        <v>55</v>
      </c>
      <c r="I4852" s="2" t="s">
        <v>11816</v>
      </c>
      <c r="J4852" s="3" t="str">
        <f>HYPERLINK("https://www.boe.es/gazeta/dias/1809/10/15/pdfs/GMD-1809-289.pdf#page=3","Abrir facsímil")</f>
        <v>Abrir facsímil</v>
      </c>
      <c r="K4852" s="3" t="s">
        <v>57</v>
      </c>
    </row>
    <row r="4853" spans="1:11" ht="42" customHeight="1">
      <c r="A4853" s="2" t="s">
        <v>11817</v>
      </c>
      <c r="B4853" s="2" t="s">
        <v>11818</v>
      </c>
      <c r="C4853" s="2" t="s">
        <v>25</v>
      </c>
      <c r="D4853" s="2" t="s">
        <v>72</v>
      </c>
      <c r="E4853" s="3" t="s">
        <v>1206</v>
      </c>
      <c r="F4853" s="3" t="s">
        <v>1207</v>
      </c>
      <c r="G4853" s="3" t="s">
        <v>2545</v>
      </c>
      <c r="H4853" s="2" t="s">
        <v>55</v>
      </c>
      <c r="I4853" s="2" t="s">
        <v>11819</v>
      </c>
      <c r="J4853" s="3" t="str">
        <f>HYPERLINK("https://www.boe.es/gazeta/dias/1809/09/23/pdfs/GGB-H-1809-232.pdf#page=6","Abrir facsímil")</f>
        <v>Abrir facsímil</v>
      </c>
      <c r="K4853" s="3" t="s">
        <v>57</v>
      </c>
    </row>
    <row r="4854" spans="1:11" ht="42" customHeight="1">
      <c r="A4854" s="2" t="s">
        <v>11820</v>
      </c>
      <c r="B4854" s="2" t="s">
        <v>11821</v>
      </c>
      <c r="C4854" s="2" t="s">
        <v>47</v>
      </c>
      <c r="D4854" s="2" t="s">
        <v>18</v>
      </c>
      <c r="E4854" s="3" t="s">
        <v>470</v>
      </c>
      <c r="F4854" s="3" t="s">
        <v>471</v>
      </c>
      <c r="G4854" s="3" t="s">
        <v>234</v>
      </c>
      <c r="H4854" s="2" t="s">
        <v>55</v>
      </c>
      <c r="I4854" s="2" t="s">
        <v>11822</v>
      </c>
      <c r="J4854" s="3" t="str">
        <f>HYPERLINK("https://www.boe.es/gazeta/dias/1809/12/15/pdfs/GMD-1809-350.pdf#page=4","Abrir facsímil")</f>
        <v>Abrir facsímil</v>
      </c>
      <c r="K4854" s="3" t="s">
        <v>57</v>
      </c>
    </row>
    <row r="4855" spans="1:11" ht="42" customHeight="1">
      <c r="A4855" s="2" t="s">
        <v>11823</v>
      </c>
      <c r="B4855" s="2" t="s">
        <v>11824</v>
      </c>
      <c r="C4855" s="2" t="s">
        <v>17</v>
      </c>
      <c r="D4855" s="2" t="s">
        <v>18</v>
      </c>
      <c r="E4855" s="3" t="s">
        <v>60</v>
      </c>
      <c r="F4855" s="3" t="s">
        <v>61</v>
      </c>
      <c r="G4855" s="3" t="s">
        <v>62</v>
      </c>
      <c r="H4855" s="2" t="s">
        <v>55</v>
      </c>
      <c r="I4855" s="2" t="s">
        <v>11825</v>
      </c>
      <c r="J4855" s="3" t="str">
        <f>HYPERLINK("https://www.boe.es/gazeta/dias/1809/02/07/pdfs/GMD-1809-38.pdf#page=4","Abrir facsímil")</f>
        <v>Abrir facsímil</v>
      </c>
      <c r="K4855" s="3" t="s">
        <v>57</v>
      </c>
    </row>
    <row r="4856" spans="1:11" ht="42" customHeight="1">
      <c r="A4856" s="2" t="s">
        <v>11826</v>
      </c>
      <c r="B4856" s="2" t="s">
        <v>11826</v>
      </c>
      <c r="C4856" s="2" t="s">
        <v>17</v>
      </c>
      <c r="D4856" s="2" t="s">
        <v>18</v>
      </c>
      <c r="E4856" s="3" t="s">
        <v>33</v>
      </c>
      <c r="F4856" s="3" t="s">
        <v>34</v>
      </c>
      <c r="G4856" s="3" t="s">
        <v>493</v>
      </c>
      <c r="H4856" s="2" t="s">
        <v>55</v>
      </c>
      <c r="I4856" s="2" t="s">
        <v>11827</v>
      </c>
      <c r="J4856" s="3" t="str">
        <f>HYPERLINK("https://www.boe.es/gazeta/dias/1809/12/19/pdfs/GGB-1809-602.pdf#page=6","Abrir facsímil")</f>
        <v>Abrir facsímil</v>
      </c>
      <c r="K4856" s="3" t="s">
        <v>57</v>
      </c>
    </row>
    <row r="4857" spans="1:11" ht="42" customHeight="1">
      <c r="A4857" s="2" t="s">
        <v>11828</v>
      </c>
      <c r="B4857" s="2" t="s">
        <v>11828</v>
      </c>
      <c r="C4857" s="2" t="s">
        <v>25</v>
      </c>
      <c r="D4857" s="2" t="s">
        <v>18</v>
      </c>
      <c r="E4857" s="3" t="s">
        <v>327</v>
      </c>
      <c r="F4857" s="3" t="s">
        <v>2138</v>
      </c>
      <c r="G4857" s="3" t="s">
        <v>2139</v>
      </c>
      <c r="H4857" s="2" t="s">
        <v>55</v>
      </c>
      <c r="I4857" s="2" t="s">
        <v>11829</v>
      </c>
      <c r="J4857" s="3" t="str">
        <f>HYPERLINK("https://www.boe.es/gazeta/dias/1809/09/14/pdfs/GMD-1809-258.pdf#page=1","Abrir facsímil")</f>
        <v>Abrir facsímil</v>
      </c>
      <c r="K4857" s="3" t="s">
        <v>57</v>
      </c>
    </row>
    <row r="4858" spans="1:11" ht="42" customHeight="1">
      <c r="A4858" s="2" t="s">
        <v>11830</v>
      </c>
      <c r="B4858" s="2" t="s">
        <v>11831</v>
      </c>
      <c r="C4858" s="2" t="s">
        <v>369</v>
      </c>
      <c r="D4858" s="2" t="s">
        <v>18</v>
      </c>
      <c r="E4858" s="3" t="s">
        <v>263</v>
      </c>
      <c r="F4858" s="3" t="s">
        <v>264</v>
      </c>
      <c r="G4858" s="3" t="s">
        <v>154</v>
      </c>
      <c r="H4858" s="2" t="s">
        <v>55</v>
      </c>
      <c r="I4858" s="2" t="s">
        <v>11832</v>
      </c>
      <c r="J4858" s="3" t="str">
        <f>HYPERLINK("https://www.boe.es/gazeta/dias/1809/11/21/pdfs/GGB-1809-482.pdf#page=4","Abrir facsímil")</f>
        <v>Abrir facsímil</v>
      </c>
      <c r="K4858" s="3" t="s">
        <v>57</v>
      </c>
    </row>
    <row r="4859" spans="1:11" ht="42" customHeight="1">
      <c r="A4859" s="2" t="s">
        <v>11833</v>
      </c>
      <c r="B4859" s="2" t="s">
        <v>11833</v>
      </c>
      <c r="C4859" s="2" t="s">
        <v>25</v>
      </c>
      <c r="D4859" s="2" t="s">
        <v>26</v>
      </c>
      <c r="E4859" s="3" t="s">
        <v>143</v>
      </c>
      <c r="F4859" s="3" t="s">
        <v>144</v>
      </c>
      <c r="G4859" s="3" t="s">
        <v>9118</v>
      </c>
      <c r="H4859" s="2" t="s">
        <v>55</v>
      </c>
      <c r="I4859" s="2" t="s">
        <v>11834</v>
      </c>
      <c r="J4859" s="3" t="str">
        <f>HYPERLINK("https://www.boe.es/gazeta/dias/1809/11/16/pdfs/GGB-1809-462.pdf#page=6","Abrir facsímil")</f>
        <v>Abrir facsímil</v>
      </c>
      <c r="K4859" s="3" t="s">
        <v>57</v>
      </c>
    </row>
    <row r="4860" spans="1:11" ht="42" customHeight="1">
      <c r="A4860" s="2" t="s">
        <v>11835</v>
      </c>
      <c r="B4860" s="2" t="s">
        <v>11835</v>
      </c>
      <c r="C4860" s="2" t="s">
        <v>25</v>
      </c>
      <c r="D4860" s="2" t="s">
        <v>26</v>
      </c>
      <c r="E4860" s="3" t="s">
        <v>3279</v>
      </c>
      <c r="F4860" s="3" t="s">
        <v>3280</v>
      </c>
      <c r="G4860" s="3" t="s">
        <v>225</v>
      </c>
      <c r="H4860" s="2" t="s">
        <v>55</v>
      </c>
      <c r="I4860" s="2" t="s">
        <v>11836</v>
      </c>
      <c r="J4860" s="3" t="str">
        <f>HYPERLINK("https://www.boe.es/gazeta/dias/1809/09/27/pdfs/GMD-1809-271.pdf#page=4","Abrir facsímil")</f>
        <v>Abrir facsímil</v>
      </c>
      <c r="K4860" s="3" t="s">
        <v>57</v>
      </c>
    </row>
    <row r="4861" spans="1:11" ht="42" customHeight="1">
      <c r="A4861" s="2" t="s">
        <v>11837</v>
      </c>
      <c r="B4861" s="2" t="s">
        <v>11837</v>
      </c>
      <c r="C4861" s="2" t="s">
        <v>25</v>
      </c>
      <c r="D4861" s="2" t="s">
        <v>26</v>
      </c>
      <c r="E4861" s="3" t="s">
        <v>621</v>
      </c>
      <c r="F4861" s="3" t="s">
        <v>913</v>
      </c>
      <c r="G4861" s="3" t="s">
        <v>192</v>
      </c>
      <c r="H4861" s="2" t="s">
        <v>55</v>
      </c>
      <c r="I4861" s="2" t="s">
        <v>11838</v>
      </c>
      <c r="J4861" s="3" t="str">
        <f>HYPERLINK("https://www.boe.es/gazeta/dias/1809/07/04/pdfs/GMD-1809-185.pdf#page=3","Abrir facsímil")</f>
        <v>Abrir facsímil</v>
      </c>
      <c r="K4861" s="3" t="s">
        <v>57</v>
      </c>
    </row>
    <row r="4862" spans="1:11" ht="42" customHeight="1">
      <c r="A4862" s="2" t="s">
        <v>11839</v>
      </c>
      <c r="B4862" s="2" t="s">
        <v>11840</v>
      </c>
      <c r="C4862" s="2" t="s">
        <v>17</v>
      </c>
      <c r="D4862" s="2" t="s">
        <v>18</v>
      </c>
      <c r="E4862" s="3" t="s">
        <v>33</v>
      </c>
      <c r="F4862" s="3" t="s">
        <v>34</v>
      </c>
      <c r="G4862" s="3" t="s">
        <v>35</v>
      </c>
      <c r="H4862" s="2" t="s">
        <v>55</v>
      </c>
      <c r="I4862" s="2" t="s">
        <v>11841</v>
      </c>
      <c r="J4862" s="3" t="str">
        <f>HYPERLINK("https://www.boe.es/gazeta/dias/1809/12/19/pdfs/GGB-1809-602.pdf#page=5","Abrir facsímil")</f>
        <v>Abrir facsímil</v>
      </c>
      <c r="K4862" s="3" t="s">
        <v>57</v>
      </c>
    </row>
    <row r="4863" spans="1:11" ht="42" customHeight="1">
      <c r="A4863" s="2" t="s">
        <v>11842</v>
      </c>
      <c r="B4863" s="2" t="s">
        <v>11843</v>
      </c>
      <c r="C4863" s="2" t="s">
        <v>288</v>
      </c>
      <c r="D4863" s="2" t="s">
        <v>40</v>
      </c>
      <c r="E4863" s="3" t="s">
        <v>2602</v>
      </c>
      <c r="F4863" s="3" t="s">
        <v>2603</v>
      </c>
      <c r="G4863" s="3" t="s">
        <v>89</v>
      </c>
      <c r="H4863" s="2" t="s">
        <v>55</v>
      </c>
      <c r="I4863" s="2" t="s">
        <v>11844</v>
      </c>
      <c r="J4863" s="3" t="str">
        <f>HYPERLINK("https://www.boe.es/gazeta/dias/1809/11/15/pdfs/GMD-1809-320.pdf#page=4","Abrir facsímil")</f>
        <v>Abrir facsímil</v>
      </c>
      <c r="K4863" s="3" t="s">
        <v>57</v>
      </c>
    </row>
    <row r="4864" spans="1:11" ht="42" customHeight="1">
      <c r="A4864" s="2" t="s">
        <v>11845</v>
      </c>
      <c r="B4864" s="2" t="s">
        <v>11846</v>
      </c>
      <c r="C4864" s="2" t="s">
        <v>25</v>
      </c>
      <c r="D4864" s="2" t="s">
        <v>26</v>
      </c>
      <c r="E4864" s="3" t="s">
        <v>635</v>
      </c>
      <c r="F4864" s="3" t="s">
        <v>636</v>
      </c>
      <c r="G4864" s="3" t="s">
        <v>11671</v>
      </c>
      <c r="H4864" s="2" t="s">
        <v>55</v>
      </c>
      <c r="I4864" s="2" t="s">
        <v>11847</v>
      </c>
      <c r="J4864" s="3" t="str">
        <f>HYPERLINK("https://www.boe.es/gazeta/dias/1809/12/16/pdfs/GGB-1809-592.pdf#page=3","Abrir facsímil")</f>
        <v>Abrir facsímil</v>
      </c>
      <c r="K4864" s="3" t="s">
        <v>57</v>
      </c>
    </row>
    <row r="4865" spans="1:11" ht="42" customHeight="1">
      <c r="A4865" s="2" t="s">
        <v>11848</v>
      </c>
      <c r="B4865" s="2" t="s">
        <v>11848</v>
      </c>
      <c r="C4865" s="2" t="s">
        <v>17</v>
      </c>
      <c r="D4865" s="2" t="s">
        <v>18</v>
      </c>
      <c r="E4865" s="3" t="s">
        <v>207</v>
      </c>
      <c r="F4865" s="3" t="s">
        <v>2864</v>
      </c>
      <c r="G4865" s="3" t="s">
        <v>2865</v>
      </c>
      <c r="H4865" s="2" t="s">
        <v>55</v>
      </c>
      <c r="I4865" s="2" t="s">
        <v>11849</v>
      </c>
      <c r="J4865" s="3" t="str">
        <f>HYPERLINK("https://www.boe.es/gazeta/dias/1809/09/16/pdfs/GGB-1809-202.pdf#page=6","Abrir facsímil")</f>
        <v>Abrir facsímil</v>
      </c>
      <c r="K4865" s="3" t="s">
        <v>57</v>
      </c>
    </row>
    <row r="4866" spans="1:11" ht="42" customHeight="1">
      <c r="A4866" s="2" t="s">
        <v>11850</v>
      </c>
      <c r="B4866" s="2" t="s">
        <v>11851</v>
      </c>
      <c r="C4866" s="2" t="s">
        <v>17</v>
      </c>
      <c r="D4866" s="2" t="s">
        <v>18</v>
      </c>
      <c r="E4866" s="3" t="s">
        <v>421</v>
      </c>
      <c r="F4866" s="3" t="s">
        <v>962</v>
      </c>
      <c r="G4866" s="3" t="s">
        <v>110</v>
      </c>
      <c r="H4866" s="2" t="s">
        <v>55</v>
      </c>
      <c r="I4866" s="2" t="s">
        <v>11852</v>
      </c>
      <c r="J4866" s="3" t="str">
        <f>HYPERLINK("https://www.boe.es/gazeta/dias/1809/04/28/pdfs/GGB-1809-22.pdf#page=7","Abrir facsímil")</f>
        <v>Abrir facsímil</v>
      </c>
      <c r="K4866" s="3" t="s">
        <v>57</v>
      </c>
    </row>
    <row r="4867" spans="1:11" ht="42" customHeight="1">
      <c r="A4867" s="2" t="s">
        <v>11850</v>
      </c>
      <c r="B4867" s="2" t="s">
        <v>11851</v>
      </c>
      <c r="C4867" s="2" t="s">
        <v>47</v>
      </c>
      <c r="D4867" s="2" t="s">
        <v>72</v>
      </c>
      <c r="E4867" s="3" t="s">
        <v>739</v>
      </c>
      <c r="F4867" s="3" t="s">
        <v>3666</v>
      </c>
      <c r="G4867" s="3" t="s">
        <v>3808</v>
      </c>
      <c r="H4867" s="2" t="s">
        <v>55</v>
      </c>
      <c r="I4867" s="2" t="s">
        <v>11853</v>
      </c>
      <c r="J4867" s="3" t="str">
        <f>HYPERLINK("https://www.boe.es/gazeta/dias/1809/05/08/pdfs/GGB-G-1809-25.pdf#page=5","Abrir facsímil")</f>
        <v>Abrir facsímil</v>
      </c>
      <c r="K4867" s="3" t="s">
        <v>57</v>
      </c>
    </row>
    <row r="4868" spans="1:11" ht="42" customHeight="1">
      <c r="A4868" s="2" t="s">
        <v>11850</v>
      </c>
      <c r="B4868" s="2" t="s">
        <v>11851</v>
      </c>
      <c r="C4868" s="2" t="s">
        <v>131</v>
      </c>
      <c r="D4868" s="2" t="s">
        <v>72</v>
      </c>
      <c r="E4868" s="3" t="s">
        <v>216</v>
      </c>
      <c r="F4868" s="3" t="s">
        <v>217</v>
      </c>
      <c r="G4868" s="3" t="s">
        <v>439</v>
      </c>
      <c r="H4868" s="2" t="s">
        <v>55</v>
      </c>
      <c r="I4868" s="2" t="s">
        <v>11854</v>
      </c>
      <c r="J4868" s="3" t="str">
        <f>HYPERLINK("https://www.boe.es/gazeta/dias/1809/12/05/pdfs/GGB-H-1809-542.pdf#page=7","Abrir facsímil")</f>
        <v>Abrir facsímil</v>
      </c>
      <c r="K4868" s="3" t="s">
        <v>57</v>
      </c>
    </row>
    <row r="4869" spans="1:11" ht="42" customHeight="1">
      <c r="A4869" s="2" t="s">
        <v>11855</v>
      </c>
      <c r="B4869" s="2" t="s">
        <v>11856</v>
      </c>
      <c r="C4869" s="2" t="s">
        <v>25</v>
      </c>
      <c r="D4869" s="2" t="s">
        <v>80</v>
      </c>
      <c r="E4869" s="3" t="s">
        <v>248</v>
      </c>
      <c r="F4869" s="3" t="s">
        <v>249</v>
      </c>
      <c r="G4869" s="3" t="s">
        <v>340</v>
      </c>
      <c r="H4869" s="2" t="s">
        <v>55</v>
      </c>
      <c r="I4869" s="2" t="s">
        <v>11857</v>
      </c>
      <c r="J4869" s="3" t="str">
        <f>HYPERLINK("https://www.boe.es/gazeta/dias/1809/07/26/pdfs/GGB-1809-48E.pdf#page=7","Abrir facsímil")</f>
        <v>Abrir facsímil</v>
      </c>
      <c r="K4869" s="3" t="s">
        <v>57</v>
      </c>
    </row>
    <row r="4870" spans="1:11" ht="42" customHeight="1">
      <c r="A4870" s="2" t="s">
        <v>11858</v>
      </c>
      <c r="B4870" s="2" t="s">
        <v>11859</v>
      </c>
      <c r="C4870" s="2" t="s">
        <v>25</v>
      </c>
      <c r="D4870" s="2" t="s">
        <v>26</v>
      </c>
      <c r="E4870" s="3" t="s">
        <v>143</v>
      </c>
      <c r="F4870" s="3" t="s">
        <v>705</v>
      </c>
      <c r="G4870" s="3" t="s">
        <v>225</v>
      </c>
      <c r="H4870" s="2" t="s">
        <v>55</v>
      </c>
      <c r="I4870" s="2" t="s">
        <v>11860</v>
      </c>
      <c r="J4870" s="3" t="str">
        <f>HYPERLINK("https://www.boe.es/gazeta/dias/1809/11/16/pdfs/GGB-H-1809-462.pdf#page=4","Abrir facsímil")</f>
        <v>Abrir facsímil</v>
      </c>
      <c r="K4870" s="3" t="s">
        <v>57</v>
      </c>
    </row>
    <row r="4871" spans="1:11" ht="42" customHeight="1">
      <c r="A4871" s="2" t="s">
        <v>11858</v>
      </c>
      <c r="B4871" s="2" t="s">
        <v>11859</v>
      </c>
      <c r="C4871" s="2" t="s">
        <v>25</v>
      </c>
      <c r="D4871" s="2" t="s">
        <v>72</v>
      </c>
      <c r="E4871" s="3" t="s">
        <v>143</v>
      </c>
      <c r="F4871" s="3" t="s">
        <v>705</v>
      </c>
      <c r="G4871" s="3" t="s">
        <v>260</v>
      </c>
      <c r="H4871" s="2" t="s">
        <v>55</v>
      </c>
      <c r="I4871" s="2" t="s">
        <v>11861</v>
      </c>
      <c r="J4871" s="3" t="str">
        <f>HYPERLINK("https://www.boe.es/gazeta/dias/1809/11/16/pdfs/GGB-H-1809-462.pdf#page=7","Abrir facsímil")</f>
        <v>Abrir facsímil</v>
      </c>
      <c r="K4871" s="3" t="s">
        <v>57</v>
      </c>
    </row>
    <row r="4872" spans="1:11" ht="42" customHeight="1">
      <c r="A4872" s="2" t="s">
        <v>11862</v>
      </c>
      <c r="B4872" s="2" t="s">
        <v>11863</v>
      </c>
      <c r="C4872" s="2" t="s">
        <v>17</v>
      </c>
      <c r="D4872" s="2" t="s">
        <v>18</v>
      </c>
      <c r="E4872" s="3" t="s">
        <v>473</v>
      </c>
      <c r="F4872" s="3" t="s">
        <v>474</v>
      </c>
      <c r="G4872" s="3" t="s">
        <v>234</v>
      </c>
      <c r="H4872" s="2" t="s">
        <v>55</v>
      </c>
      <c r="I4872" s="2" t="s">
        <v>11864</v>
      </c>
      <c r="J4872" s="3" t="str">
        <f>HYPERLINK("https://www.boe.es/gazeta/dias/1809/12/28/pdfs/GMD-1809-363.pdf#page=3","Abrir facsímil")</f>
        <v>Abrir facsímil</v>
      </c>
      <c r="K4872" s="3" t="s">
        <v>57</v>
      </c>
    </row>
    <row r="4873" spans="1:11" ht="42" customHeight="1">
      <c r="A4873" s="2" t="s">
        <v>11865</v>
      </c>
      <c r="B4873" s="2" t="s">
        <v>11865</v>
      </c>
      <c r="C4873" s="2" t="s">
        <v>25</v>
      </c>
      <c r="D4873" s="2" t="s">
        <v>18</v>
      </c>
      <c r="E4873" s="3" t="s">
        <v>2673</v>
      </c>
      <c r="F4873" s="3" t="s">
        <v>2674</v>
      </c>
      <c r="G4873" s="3" t="s">
        <v>2675</v>
      </c>
      <c r="H4873" s="2" t="s">
        <v>55</v>
      </c>
      <c r="I4873" s="2" t="s">
        <v>11866</v>
      </c>
      <c r="J4873" s="3" t="str">
        <f>HYPERLINK("https://www.boe.es/gazeta/dias/1809/02/05/pdfs/GMD-1809-36.pdf#page=3","Abrir facsímil")</f>
        <v>Abrir facsímil</v>
      </c>
      <c r="K4873" s="3" t="s">
        <v>57</v>
      </c>
    </row>
    <row r="4874" spans="1:11" ht="42" customHeight="1">
      <c r="A4874" s="2" t="s">
        <v>11867</v>
      </c>
      <c r="B4874" s="2" t="s">
        <v>11867</v>
      </c>
      <c r="C4874" s="2" t="s">
        <v>25</v>
      </c>
      <c r="D4874" s="2" t="s">
        <v>26</v>
      </c>
      <c r="E4874" s="3" t="s">
        <v>585</v>
      </c>
      <c r="F4874" s="3" t="s">
        <v>586</v>
      </c>
      <c r="G4874" s="3" t="s">
        <v>75</v>
      </c>
      <c r="H4874" s="2" t="s">
        <v>55</v>
      </c>
      <c r="I4874" s="2" t="s">
        <v>11868</v>
      </c>
      <c r="J4874" s="3" t="str">
        <f>HYPERLINK("https://www.boe.es/gazeta/dias/1809/01/09/pdfs/GMD-1809-9.pdf#page=4","Abrir facsímil")</f>
        <v>Abrir facsímil</v>
      </c>
      <c r="K4874" s="3" t="s">
        <v>57</v>
      </c>
    </row>
    <row r="4875" spans="1:11" ht="42" customHeight="1">
      <c r="A4875" s="2" t="s">
        <v>11867</v>
      </c>
      <c r="B4875" s="2" t="s">
        <v>11867</v>
      </c>
      <c r="C4875" s="2" t="s">
        <v>25</v>
      </c>
      <c r="D4875" s="2" t="s">
        <v>26</v>
      </c>
      <c r="E4875" s="3" t="s">
        <v>11265</v>
      </c>
      <c r="F4875" s="3" t="s">
        <v>11266</v>
      </c>
      <c r="G4875" s="3" t="s">
        <v>5377</v>
      </c>
      <c r="H4875" s="2" t="s">
        <v>55</v>
      </c>
      <c r="I4875" s="2" t="s">
        <v>11869</v>
      </c>
      <c r="J4875" s="3" t="str">
        <f>HYPERLINK("https://www.boe.es/gazeta/dias/1809/02/04/pdfs/GMD-1809-35.pdf#page=2","Abrir facsímil")</f>
        <v>Abrir facsímil</v>
      </c>
      <c r="K4875" s="3" t="s">
        <v>57</v>
      </c>
    </row>
    <row r="4876" spans="1:11" ht="42" customHeight="1">
      <c r="A4876" s="2" t="s">
        <v>11867</v>
      </c>
      <c r="B4876" s="2" t="s">
        <v>11867</v>
      </c>
      <c r="C4876" s="2" t="s">
        <v>25</v>
      </c>
      <c r="D4876" s="2" t="s">
        <v>40</v>
      </c>
      <c r="E4876" s="3" t="s">
        <v>11265</v>
      </c>
      <c r="F4876" s="3" t="s">
        <v>11266</v>
      </c>
      <c r="G4876" s="3" t="s">
        <v>75</v>
      </c>
      <c r="H4876" s="2" t="s">
        <v>55</v>
      </c>
      <c r="I4876" s="2" t="s">
        <v>11870</v>
      </c>
      <c r="J4876" s="3" t="str">
        <f>HYPERLINK("https://www.boe.es/gazeta/dias/1809/02/04/pdfs/GMD-1809-35.pdf#page=3","Abrir facsímil")</f>
        <v>Abrir facsímil</v>
      </c>
      <c r="K4876" s="3" t="s">
        <v>57</v>
      </c>
    </row>
    <row r="4877" spans="1:11" ht="42" customHeight="1">
      <c r="A4877" s="2" t="s">
        <v>11867</v>
      </c>
      <c r="B4877" s="2" t="s">
        <v>11867</v>
      </c>
      <c r="C4877" s="2" t="s">
        <v>25</v>
      </c>
      <c r="D4877" s="2" t="s">
        <v>26</v>
      </c>
      <c r="E4877" s="3" t="s">
        <v>2673</v>
      </c>
      <c r="F4877" s="3" t="s">
        <v>2674</v>
      </c>
      <c r="G4877" s="3" t="s">
        <v>2675</v>
      </c>
      <c r="H4877" s="2" t="s">
        <v>55</v>
      </c>
      <c r="I4877" s="2" t="s">
        <v>11871</v>
      </c>
      <c r="J4877" s="3" t="str">
        <f>HYPERLINK("https://www.boe.es/gazeta/dias/1809/02/05/pdfs/GMD-1809-36.pdf#page=3","Abrir facsímil")</f>
        <v>Abrir facsímil</v>
      </c>
      <c r="K4877" s="3" t="s">
        <v>57</v>
      </c>
    </row>
    <row r="4878" spans="1:11" ht="42" customHeight="1">
      <c r="A4878" s="2" t="s">
        <v>11867</v>
      </c>
      <c r="B4878" s="2" t="s">
        <v>11867</v>
      </c>
      <c r="C4878" s="2" t="s">
        <v>25</v>
      </c>
      <c r="D4878" s="2" t="s">
        <v>18</v>
      </c>
      <c r="E4878" s="3" t="s">
        <v>814</v>
      </c>
      <c r="F4878" s="3" t="s">
        <v>2095</v>
      </c>
      <c r="G4878" s="3" t="s">
        <v>62</v>
      </c>
      <c r="H4878" s="2" t="s">
        <v>55</v>
      </c>
      <c r="I4878" s="2" t="s">
        <v>11872</v>
      </c>
      <c r="J4878" s="3" t="str">
        <f>HYPERLINK("https://www.boe.es/gazeta/dias/1809/12/09/pdfs/GMD-1809-344.pdf#page=4","Abrir facsímil")</f>
        <v>Abrir facsímil</v>
      </c>
      <c r="K4878" s="3" t="s">
        <v>57</v>
      </c>
    </row>
    <row r="4879" spans="1:11" ht="42" customHeight="1">
      <c r="A4879" s="2" t="s">
        <v>11873</v>
      </c>
      <c r="B4879" s="2" t="s">
        <v>11873</v>
      </c>
      <c r="C4879" s="2" t="s">
        <v>25</v>
      </c>
      <c r="D4879" s="2" t="s">
        <v>18</v>
      </c>
      <c r="E4879" s="3" t="s">
        <v>184</v>
      </c>
      <c r="F4879" s="3" t="s">
        <v>7090</v>
      </c>
      <c r="G4879" s="3" t="s">
        <v>89</v>
      </c>
      <c r="H4879" s="2" t="s">
        <v>55</v>
      </c>
      <c r="I4879" s="2" t="s">
        <v>11874</v>
      </c>
      <c r="J4879" s="3" t="str">
        <f>HYPERLINK("https://www.boe.es/gazeta/dias/1809/01/07/pdfs/GMD-1809-7.pdf#page=4","Abrir facsímil")</f>
        <v>Abrir facsímil</v>
      </c>
      <c r="K4879" s="3" t="s">
        <v>57</v>
      </c>
    </row>
    <row r="4880" spans="1:11" ht="42" customHeight="1">
      <c r="A4880" s="2" t="s">
        <v>11873</v>
      </c>
      <c r="B4880" s="2" t="s">
        <v>11873</v>
      </c>
      <c r="C4880" s="2" t="s">
        <v>17</v>
      </c>
      <c r="D4880" s="2" t="s">
        <v>18</v>
      </c>
      <c r="E4880" s="3" t="s">
        <v>1123</v>
      </c>
      <c r="F4880" s="3" t="s">
        <v>1124</v>
      </c>
      <c r="G4880" s="3" t="s">
        <v>154</v>
      </c>
      <c r="H4880" s="2" t="s">
        <v>55</v>
      </c>
      <c r="I4880" s="2" t="s">
        <v>11875</v>
      </c>
      <c r="J4880" s="3" t="str">
        <f>HYPERLINK("https://www.boe.es/gazeta/dias/1809/01/08/pdfs/GMD-1809-8.pdf#page=2","Abrir facsímil")</f>
        <v>Abrir facsímil</v>
      </c>
      <c r="K4880" s="3" t="s">
        <v>57</v>
      </c>
    </row>
    <row r="4881" spans="1:11" ht="42" customHeight="1">
      <c r="A4881" s="2" t="s">
        <v>11873</v>
      </c>
      <c r="B4881" s="2" t="s">
        <v>11873</v>
      </c>
      <c r="C4881" s="2" t="s">
        <v>25</v>
      </c>
      <c r="D4881" s="2" t="s">
        <v>26</v>
      </c>
      <c r="E4881" s="3" t="s">
        <v>1123</v>
      </c>
      <c r="F4881" s="3" t="s">
        <v>1124</v>
      </c>
      <c r="G4881" s="3" t="s">
        <v>154</v>
      </c>
      <c r="H4881" s="2" t="s">
        <v>55</v>
      </c>
      <c r="I4881" s="2" t="s">
        <v>11876</v>
      </c>
      <c r="J4881" s="3" t="str">
        <f>HYPERLINK("https://www.boe.es/gazeta/dias/1809/01/08/pdfs/GMD-1809-8.pdf#page=4","Abrir facsímil")</f>
        <v>Abrir facsímil</v>
      </c>
      <c r="K4881" s="3" t="s">
        <v>57</v>
      </c>
    </row>
    <row r="4882" spans="1:11" ht="42" customHeight="1">
      <c r="A4882" s="2" t="s">
        <v>11873</v>
      </c>
      <c r="B4882" s="2" t="s">
        <v>11873</v>
      </c>
      <c r="C4882" s="2" t="s">
        <v>17</v>
      </c>
      <c r="D4882" s="2" t="s">
        <v>18</v>
      </c>
      <c r="E4882" s="3" t="s">
        <v>19</v>
      </c>
      <c r="F4882" s="3" t="s">
        <v>20</v>
      </c>
      <c r="G4882" s="3" t="s">
        <v>75</v>
      </c>
      <c r="H4882" s="2" t="s">
        <v>55</v>
      </c>
      <c r="I4882" s="2" t="s">
        <v>11877</v>
      </c>
      <c r="J4882" s="3" t="str">
        <f>HYPERLINK("https://www.boe.es/gazeta/dias/1809/02/11/pdfs/GMD-1809-42.pdf#page=2","Abrir facsímil")</f>
        <v>Abrir facsímil</v>
      </c>
      <c r="K4882" s="3" t="s">
        <v>57</v>
      </c>
    </row>
    <row r="4883" spans="1:11" ht="42" customHeight="1">
      <c r="A4883" s="2" t="s">
        <v>11873</v>
      </c>
      <c r="B4883" s="2" t="s">
        <v>11873</v>
      </c>
      <c r="C4883" s="2" t="s">
        <v>25</v>
      </c>
      <c r="D4883" s="2" t="s">
        <v>18</v>
      </c>
      <c r="E4883" s="3" t="s">
        <v>5172</v>
      </c>
      <c r="F4883" s="3" t="s">
        <v>5173</v>
      </c>
      <c r="G4883" s="3" t="s">
        <v>2444</v>
      </c>
      <c r="H4883" s="2" t="s">
        <v>55</v>
      </c>
      <c r="I4883" s="2" t="s">
        <v>11878</v>
      </c>
      <c r="J4883" s="3" t="str">
        <f>HYPERLINK("https://www.boe.es/gazeta/dias/1809/03/06/pdfs/GMD-1809-65.pdf#page=3","Abrir facsímil")</f>
        <v>Abrir facsímil</v>
      </c>
      <c r="K4883" s="3" t="s">
        <v>57</v>
      </c>
    </row>
    <row r="4884" spans="1:11" ht="42" customHeight="1">
      <c r="A4884" s="2" t="s">
        <v>11873</v>
      </c>
      <c r="B4884" s="2" t="s">
        <v>11873</v>
      </c>
      <c r="C4884" s="2" t="s">
        <v>17</v>
      </c>
      <c r="D4884" s="2" t="s">
        <v>107</v>
      </c>
      <c r="E4884" s="3" t="s">
        <v>9593</v>
      </c>
      <c r="F4884" s="3" t="s">
        <v>9594</v>
      </c>
      <c r="G4884" s="3" t="s">
        <v>110</v>
      </c>
      <c r="H4884" s="2" t="s">
        <v>55</v>
      </c>
      <c r="I4884" s="2" t="s">
        <v>11879</v>
      </c>
      <c r="J4884" s="3" t="str">
        <f>HYPERLINK("https://www.boe.es/gazeta/dias/1809/03/18/pdfs/GMD-1809-77.pdf#page=4","Abrir facsímil")</f>
        <v>Abrir facsímil</v>
      </c>
      <c r="K4884" s="3" t="s">
        <v>57</v>
      </c>
    </row>
    <row r="4885" spans="1:11" ht="42" customHeight="1">
      <c r="A4885" s="2" t="s">
        <v>11873</v>
      </c>
      <c r="B4885" s="2" t="s">
        <v>11873</v>
      </c>
      <c r="C4885" s="2" t="s">
        <v>25</v>
      </c>
      <c r="D4885" s="2" t="s">
        <v>26</v>
      </c>
      <c r="E4885" s="3" t="s">
        <v>2244</v>
      </c>
      <c r="F4885" s="3" t="s">
        <v>2245</v>
      </c>
      <c r="G4885" s="3" t="s">
        <v>6084</v>
      </c>
      <c r="H4885" s="2" t="s">
        <v>55</v>
      </c>
      <c r="I4885" s="2" t="s">
        <v>11880</v>
      </c>
      <c r="J4885" s="3" t="str">
        <f>HYPERLINK("https://www.boe.es/gazeta/dias/1809/03/27/pdfs/GGB-1809-13B.pdf#page=4","Abrir facsímil")</f>
        <v>Abrir facsímil</v>
      </c>
      <c r="K4885" s="3" t="s">
        <v>57</v>
      </c>
    </row>
    <row r="4886" spans="1:11" ht="42" customHeight="1">
      <c r="A4886" s="2" t="s">
        <v>11873</v>
      </c>
      <c r="B4886" s="2" t="s">
        <v>11873</v>
      </c>
      <c r="C4886" s="2" t="s">
        <v>25</v>
      </c>
      <c r="D4886" s="2" t="s">
        <v>72</v>
      </c>
      <c r="E4886" s="3" t="s">
        <v>2244</v>
      </c>
      <c r="F4886" s="3" t="s">
        <v>2871</v>
      </c>
      <c r="G4886" s="3" t="s">
        <v>62</v>
      </c>
      <c r="H4886" s="2" t="s">
        <v>55</v>
      </c>
      <c r="I4886" s="2" t="s">
        <v>11881</v>
      </c>
      <c r="J4886" s="3" t="str">
        <f>HYPERLINK("https://www.boe.es/gazeta/dias/1809/03/27/pdfs/GGB-G-1809-13B.pdf#page=1","Abrir facsímil")</f>
        <v>Abrir facsímil</v>
      </c>
      <c r="K4886" s="3" t="s">
        <v>57</v>
      </c>
    </row>
    <row r="4887" spans="1:11" ht="42" customHeight="1">
      <c r="A4887" s="2" t="s">
        <v>11873</v>
      </c>
      <c r="B4887" s="2" t="s">
        <v>11873</v>
      </c>
      <c r="C4887" s="2" t="s">
        <v>25</v>
      </c>
      <c r="D4887" s="2" t="s">
        <v>26</v>
      </c>
      <c r="E4887" s="3" t="s">
        <v>11882</v>
      </c>
      <c r="F4887" s="3" t="s">
        <v>11883</v>
      </c>
      <c r="G4887" s="3" t="s">
        <v>29</v>
      </c>
      <c r="H4887" s="2" t="s">
        <v>55</v>
      </c>
      <c r="I4887" s="2" t="s">
        <v>11884</v>
      </c>
      <c r="J4887" s="3" t="str">
        <f>HYPERLINK("https://www.boe.es/gazeta/dias/1809/04/08/pdfs/GMD-1809-98.pdf#page=3","Abrir facsímil")</f>
        <v>Abrir facsímil</v>
      </c>
      <c r="K4887" s="3" t="s">
        <v>57</v>
      </c>
    </row>
    <row r="4888" spans="1:11" ht="42" customHeight="1">
      <c r="A4888" s="2" t="s">
        <v>11873</v>
      </c>
      <c r="B4888" s="2" t="s">
        <v>11873</v>
      </c>
      <c r="C4888" s="2" t="s">
        <v>25</v>
      </c>
      <c r="D4888" s="2" t="s">
        <v>18</v>
      </c>
      <c r="E4888" s="3" t="s">
        <v>81</v>
      </c>
      <c r="F4888" s="3" t="s">
        <v>1251</v>
      </c>
      <c r="G4888" s="3" t="s">
        <v>129</v>
      </c>
      <c r="H4888" s="2" t="s">
        <v>55</v>
      </c>
      <c r="I4888" s="2" t="s">
        <v>11885</v>
      </c>
      <c r="J4888" s="3" t="str">
        <f>HYPERLINK("https://www.boe.es/gazeta/dias/1809/04/11/pdfs/GMD-1809-101.pdf#page=2","Abrir facsímil")</f>
        <v>Abrir facsímil</v>
      </c>
      <c r="K4888" s="3" t="s">
        <v>57</v>
      </c>
    </row>
    <row r="4889" spans="1:11" ht="42" customHeight="1">
      <c r="A4889" s="2" t="s">
        <v>11873</v>
      </c>
      <c r="B4889" s="2" t="s">
        <v>11873</v>
      </c>
      <c r="C4889" s="2" t="s">
        <v>25</v>
      </c>
      <c r="D4889" s="2" t="s">
        <v>26</v>
      </c>
      <c r="E4889" s="3" t="s">
        <v>1608</v>
      </c>
      <c r="F4889" s="3" t="s">
        <v>1609</v>
      </c>
      <c r="G4889" s="3" t="s">
        <v>11886</v>
      </c>
      <c r="H4889" s="2" t="s">
        <v>55</v>
      </c>
      <c r="I4889" s="2" t="s">
        <v>11887</v>
      </c>
      <c r="J4889" s="3" t="str">
        <f>HYPERLINK("https://www.boe.es/gazeta/dias/1809/04/15/pdfs/GGB-1809-18E.pdf#page=4","Abrir facsímil")</f>
        <v>Abrir facsímil</v>
      </c>
      <c r="K4889" s="3" t="s">
        <v>57</v>
      </c>
    </row>
    <row r="4890" spans="1:11" ht="42" customHeight="1">
      <c r="A4890" s="2" t="s">
        <v>11873</v>
      </c>
      <c r="B4890" s="2" t="s">
        <v>11873</v>
      </c>
      <c r="C4890" s="2" t="s">
        <v>25</v>
      </c>
      <c r="D4890" s="2" t="s">
        <v>26</v>
      </c>
      <c r="E4890" s="3" t="s">
        <v>749</v>
      </c>
      <c r="F4890" s="3" t="s">
        <v>11888</v>
      </c>
      <c r="G4890" s="3" t="s">
        <v>62</v>
      </c>
      <c r="H4890" s="2" t="s">
        <v>55</v>
      </c>
      <c r="I4890" s="2" t="s">
        <v>11889</v>
      </c>
      <c r="J4890" s="3" t="str">
        <f>HYPERLINK("https://www.boe.es/gazeta/dias/1809/05/19/pdfs/GGB-1809-29E.pdf#page=1","Abrir facsímil")</f>
        <v>Abrir facsímil</v>
      </c>
      <c r="K4890" s="3" t="s">
        <v>57</v>
      </c>
    </row>
    <row r="4891" spans="1:11" ht="42" customHeight="1">
      <c r="A4891" s="2" t="s">
        <v>11873</v>
      </c>
      <c r="B4891" s="2" t="s">
        <v>11873</v>
      </c>
      <c r="C4891" s="2" t="s">
        <v>25</v>
      </c>
      <c r="D4891" s="2" t="s">
        <v>26</v>
      </c>
      <c r="E4891" s="3" t="s">
        <v>92</v>
      </c>
      <c r="F4891" s="3" t="s">
        <v>1383</v>
      </c>
      <c r="G4891" s="3" t="s">
        <v>120</v>
      </c>
      <c r="H4891" s="2" t="s">
        <v>55</v>
      </c>
      <c r="I4891" s="2" t="s">
        <v>11890</v>
      </c>
      <c r="J4891" s="3" t="str">
        <f>HYPERLINK("https://www.boe.es/gazeta/dias/1809/05/22/pdfs/GGB-1809-30.pdf#page=6","Abrir facsímil")</f>
        <v>Abrir facsímil</v>
      </c>
      <c r="K4891" s="3" t="s">
        <v>57</v>
      </c>
    </row>
    <row r="4892" spans="1:11" ht="42" customHeight="1">
      <c r="A4892" s="2" t="s">
        <v>11873</v>
      </c>
      <c r="B4892" s="2" t="s">
        <v>11873</v>
      </c>
      <c r="C4892" s="2" t="s">
        <v>25</v>
      </c>
      <c r="D4892" s="2" t="s">
        <v>26</v>
      </c>
      <c r="E4892" s="3" t="s">
        <v>1678</v>
      </c>
      <c r="F4892" s="3" t="s">
        <v>1679</v>
      </c>
      <c r="G4892" s="3" t="s">
        <v>62</v>
      </c>
      <c r="H4892" s="2" t="s">
        <v>55</v>
      </c>
      <c r="I4892" s="2" t="s">
        <v>11891</v>
      </c>
      <c r="J4892" s="3" t="str">
        <f>HYPERLINK("https://www.boe.es/gazeta/dias/1809/05/29/pdfs/GGB-1809-32.pdf#page=5","Abrir facsímil")</f>
        <v>Abrir facsímil</v>
      </c>
      <c r="K4892" s="3" t="s">
        <v>57</v>
      </c>
    </row>
    <row r="4893" spans="1:11" ht="42" customHeight="1">
      <c r="A4893" s="2" t="s">
        <v>11873</v>
      </c>
      <c r="B4893" s="2" t="s">
        <v>11873</v>
      </c>
      <c r="C4893" s="2" t="s">
        <v>25</v>
      </c>
      <c r="D4893" s="2" t="s">
        <v>26</v>
      </c>
      <c r="E4893" s="3" t="s">
        <v>1581</v>
      </c>
      <c r="F4893" s="3" t="s">
        <v>3668</v>
      </c>
      <c r="G4893" s="3" t="s">
        <v>62</v>
      </c>
      <c r="H4893" s="2" t="s">
        <v>55</v>
      </c>
      <c r="I4893" s="2" t="s">
        <v>11892</v>
      </c>
      <c r="J4893" s="3" t="str">
        <f>HYPERLINK("https://www.boe.es/gazeta/dias/1809/05/30/pdfs/GGB-1809-32E.pdf#page=1","Abrir facsímil")</f>
        <v>Abrir facsímil</v>
      </c>
      <c r="K4893" s="3" t="s">
        <v>57</v>
      </c>
    </row>
    <row r="4894" spans="1:11" ht="42" customHeight="1">
      <c r="A4894" s="2" t="s">
        <v>11873</v>
      </c>
      <c r="B4894" s="2" t="s">
        <v>11873</v>
      </c>
      <c r="C4894" s="2" t="s">
        <v>25</v>
      </c>
      <c r="D4894" s="2" t="s">
        <v>26</v>
      </c>
      <c r="E4894" s="3" t="s">
        <v>1652</v>
      </c>
      <c r="F4894" s="3" t="s">
        <v>1653</v>
      </c>
      <c r="G4894" s="3" t="s">
        <v>6015</v>
      </c>
      <c r="H4894" s="2" t="s">
        <v>55</v>
      </c>
      <c r="I4894" s="2" t="s">
        <v>11893</v>
      </c>
      <c r="J4894" s="3" t="str">
        <f>HYPERLINK("https://www.boe.es/gazeta/dias/1809/07/25/pdfs/GGB-1809-48.pdf#page=7","Abrir facsímil")</f>
        <v>Abrir facsímil</v>
      </c>
      <c r="K4894" s="3" t="s">
        <v>57</v>
      </c>
    </row>
    <row r="4895" spans="1:11" ht="42" customHeight="1">
      <c r="A4895" s="2" t="s">
        <v>11873</v>
      </c>
      <c r="B4895" s="2" t="s">
        <v>11873</v>
      </c>
      <c r="C4895" s="2" t="s">
        <v>25</v>
      </c>
      <c r="D4895" s="2" t="s">
        <v>40</v>
      </c>
      <c r="E4895" s="3" t="s">
        <v>1652</v>
      </c>
      <c r="F4895" s="3" t="s">
        <v>1653</v>
      </c>
      <c r="G4895" s="3" t="s">
        <v>5263</v>
      </c>
      <c r="H4895" s="2" t="s">
        <v>55</v>
      </c>
      <c r="I4895" s="2" t="s">
        <v>11894</v>
      </c>
      <c r="J4895" s="3" t="str">
        <f>HYPERLINK("https://www.boe.es/gazeta/dias/1809/07/25/pdfs/GGB-1809-48.pdf#page=10","Abrir facsímil")</f>
        <v>Abrir facsímil</v>
      </c>
      <c r="K4895" s="3" t="s">
        <v>57</v>
      </c>
    </row>
    <row r="4896" spans="1:11" ht="42" customHeight="1">
      <c r="A4896" s="2" t="s">
        <v>11873</v>
      </c>
      <c r="B4896" s="2" t="s">
        <v>11873</v>
      </c>
      <c r="C4896" s="2" t="s">
        <v>25</v>
      </c>
      <c r="D4896" s="2" t="s">
        <v>107</v>
      </c>
      <c r="E4896" s="3" t="s">
        <v>1288</v>
      </c>
      <c r="F4896" s="3" t="s">
        <v>1289</v>
      </c>
      <c r="G4896" s="3" t="s">
        <v>5230</v>
      </c>
      <c r="H4896" s="2" t="s">
        <v>55</v>
      </c>
      <c r="I4896" s="2" t="s">
        <v>11895</v>
      </c>
      <c r="J4896" s="3" t="str">
        <f>HYPERLINK("https://www.boe.es/gazeta/dias/1809/07/28/pdfs/GGB-1809-49.pdf#page=5","Abrir facsímil")</f>
        <v>Abrir facsímil</v>
      </c>
      <c r="K4896" s="3" t="s">
        <v>57</v>
      </c>
    </row>
    <row r="4897" spans="1:11" ht="42" customHeight="1">
      <c r="A4897" s="2" t="s">
        <v>11873</v>
      </c>
      <c r="B4897" s="2" t="s">
        <v>11873</v>
      </c>
      <c r="C4897" s="2" t="s">
        <v>25</v>
      </c>
      <c r="D4897" s="2" t="s">
        <v>26</v>
      </c>
      <c r="E4897" s="3" t="s">
        <v>1865</v>
      </c>
      <c r="F4897" s="3" t="s">
        <v>3270</v>
      </c>
      <c r="G4897" s="3" t="s">
        <v>484</v>
      </c>
      <c r="H4897" s="2" t="s">
        <v>55</v>
      </c>
      <c r="I4897" s="2" t="s">
        <v>11896</v>
      </c>
      <c r="J4897" s="3" t="str">
        <f>HYPERLINK("https://www.boe.es/gazeta/dias/1809/08/08/pdfs/GGB-1809-32E.pdf#page=1","Abrir facsímil")</f>
        <v>Abrir facsímil</v>
      </c>
      <c r="K4897" s="3" t="s">
        <v>57</v>
      </c>
    </row>
    <row r="4898" spans="1:11" ht="42" customHeight="1">
      <c r="A4898" s="2" t="s">
        <v>11873</v>
      </c>
      <c r="B4898" s="2" t="s">
        <v>11873</v>
      </c>
      <c r="C4898" s="2" t="s">
        <v>131</v>
      </c>
      <c r="D4898" s="2" t="s">
        <v>18</v>
      </c>
      <c r="E4898" s="3" t="s">
        <v>1872</v>
      </c>
      <c r="F4898" s="3" t="s">
        <v>1873</v>
      </c>
      <c r="G4898" s="3" t="s">
        <v>1880</v>
      </c>
      <c r="H4898" s="2" t="s">
        <v>55</v>
      </c>
      <c r="I4898" s="2" t="s">
        <v>11897</v>
      </c>
      <c r="J4898" s="3" t="str">
        <f>HYPERLINK("https://www.boe.es/gazeta/dias/1809/11/07/pdfs/GGB-1809-422.pdf#page=8","Abrir facsímil")</f>
        <v>Abrir facsímil</v>
      </c>
      <c r="K4898" s="3" t="s">
        <v>57</v>
      </c>
    </row>
    <row r="4899" spans="1:11" ht="42" customHeight="1">
      <c r="A4899" s="2" t="s">
        <v>11873</v>
      </c>
      <c r="B4899" s="2" t="s">
        <v>11873</v>
      </c>
      <c r="C4899" s="2" t="s">
        <v>25</v>
      </c>
      <c r="D4899" s="2" t="s">
        <v>26</v>
      </c>
      <c r="E4899" s="3" t="s">
        <v>814</v>
      </c>
      <c r="F4899" s="3" t="s">
        <v>815</v>
      </c>
      <c r="G4899" s="3" t="s">
        <v>816</v>
      </c>
      <c r="H4899" s="2" t="s">
        <v>55</v>
      </c>
      <c r="I4899" s="2" t="s">
        <v>11898</v>
      </c>
      <c r="J4899" s="3" t="str">
        <f>HYPERLINK("https://www.boe.es/gazeta/dias/1809/12/09/pdfs/GGB-1809-562.pdf#page=5","Abrir facsímil")</f>
        <v>Abrir facsímil</v>
      </c>
      <c r="K4899" s="3" t="s">
        <v>57</v>
      </c>
    </row>
    <row r="4900" spans="1:11" ht="42" customHeight="1">
      <c r="A4900" s="2" t="s">
        <v>11899</v>
      </c>
      <c r="B4900" s="2" t="s">
        <v>11899</v>
      </c>
      <c r="C4900" s="2" t="s">
        <v>25</v>
      </c>
      <c r="D4900" s="2" t="s">
        <v>26</v>
      </c>
      <c r="E4900" s="3" t="s">
        <v>92</v>
      </c>
      <c r="F4900" s="3" t="s">
        <v>1383</v>
      </c>
      <c r="G4900" s="3" t="s">
        <v>110</v>
      </c>
      <c r="H4900" s="2" t="s">
        <v>55</v>
      </c>
      <c r="I4900" s="2" t="s">
        <v>11900</v>
      </c>
      <c r="J4900" s="3" t="str">
        <f>HYPERLINK("https://www.boe.es/gazeta/dias/1809/05/22/pdfs/GGB-1809-30.pdf#page=4","Abrir facsímil")</f>
        <v>Abrir facsímil</v>
      </c>
      <c r="K4900" s="3" t="s">
        <v>57</v>
      </c>
    </row>
    <row r="4901" spans="1:11" ht="42" customHeight="1">
      <c r="A4901" s="2" t="s">
        <v>11901</v>
      </c>
      <c r="B4901" s="2" t="s">
        <v>11901</v>
      </c>
      <c r="C4901" s="2" t="s">
        <v>25</v>
      </c>
      <c r="D4901" s="2" t="s">
        <v>26</v>
      </c>
      <c r="E4901" s="3" t="s">
        <v>223</v>
      </c>
      <c r="F4901" s="3" t="s">
        <v>224</v>
      </c>
      <c r="G4901" s="3" t="s">
        <v>129</v>
      </c>
      <c r="H4901" s="2" t="s">
        <v>55</v>
      </c>
      <c r="I4901" s="2" t="s">
        <v>11902</v>
      </c>
      <c r="J4901" s="3" t="str">
        <f>HYPERLINK("https://www.boe.es/gazeta/dias/1809/12/17/pdfs/GMD-1809-352.pdf#page=2","Abrir facsímil")</f>
        <v>Abrir facsímil</v>
      </c>
      <c r="K4901" s="3" t="s">
        <v>57</v>
      </c>
    </row>
    <row r="4902" spans="1:11" ht="42" customHeight="1">
      <c r="A4902" s="2" t="s">
        <v>11903</v>
      </c>
      <c r="B4902" s="2" t="s">
        <v>11903</v>
      </c>
      <c r="C4902" s="2" t="s">
        <v>17</v>
      </c>
      <c r="D4902" s="2" t="s">
        <v>80</v>
      </c>
      <c r="E4902" s="3" t="s">
        <v>3796</v>
      </c>
      <c r="F4902" s="3" t="s">
        <v>3797</v>
      </c>
      <c r="G4902" s="3" t="s">
        <v>136</v>
      </c>
      <c r="H4902" s="2" t="s">
        <v>55</v>
      </c>
      <c r="I4902" s="2" t="s">
        <v>11904</v>
      </c>
      <c r="J4902" s="3" t="str">
        <f>HYPERLINK("https://www.boe.es/gazeta/dias/1809/02/18/pdfs/GGB-1809-8E.pdf#page=2","Abrir facsímil")</f>
        <v>Abrir facsímil</v>
      </c>
      <c r="K4902" s="3" t="s">
        <v>57</v>
      </c>
    </row>
    <row r="4903" spans="1:11" ht="42" customHeight="1">
      <c r="A4903" s="2" t="s">
        <v>11905</v>
      </c>
      <c r="B4903" s="2" t="s">
        <v>11905</v>
      </c>
      <c r="C4903" s="2" t="s">
        <v>25</v>
      </c>
      <c r="D4903" s="2" t="s">
        <v>26</v>
      </c>
      <c r="E4903" s="3" t="s">
        <v>530</v>
      </c>
      <c r="F4903" s="3" t="s">
        <v>531</v>
      </c>
      <c r="G4903" s="3" t="s">
        <v>11906</v>
      </c>
      <c r="H4903" s="2" t="s">
        <v>55</v>
      </c>
      <c r="I4903" s="2" t="s">
        <v>11907</v>
      </c>
      <c r="J4903" s="3" t="str">
        <f>HYPERLINK("https://www.boe.es/gazeta/dias/1809/07/10/pdfs/GMD-1809-191.pdf#page=1","Abrir facsímil")</f>
        <v>Abrir facsímil</v>
      </c>
      <c r="K4903" s="3" t="s">
        <v>57</v>
      </c>
    </row>
    <row r="4904" spans="1:11" ht="42" customHeight="1">
      <c r="A4904" s="2" t="s">
        <v>11908</v>
      </c>
      <c r="B4904" s="2" t="s">
        <v>11909</v>
      </c>
      <c r="C4904" s="2" t="s">
        <v>288</v>
      </c>
      <c r="D4904" s="2" t="s">
        <v>80</v>
      </c>
      <c r="E4904" s="3" t="s">
        <v>179</v>
      </c>
      <c r="F4904" s="3" t="s">
        <v>180</v>
      </c>
      <c r="G4904" s="3" t="s">
        <v>2814</v>
      </c>
      <c r="H4904" s="2" t="s">
        <v>55</v>
      </c>
      <c r="I4904" s="2" t="s">
        <v>11910</v>
      </c>
      <c r="J4904" s="3" t="str">
        <f>HYPERLINK("https://www.boe.es/gazeta/dias/1809/12/08/pdfs/GGB-1809-552E.pdf#page=4","Abrir facsímil")</f>
        <v>Abrir facsímil</v>
      </c>
      <c r="K4904" s="3" t="s">
        <v>57</v>
      </c>
    </row>
    <row r="4905" spans="1:11" ht="42" customHeight="1">
      <c r="A4905" s="2" t="s">
        <v>11911</v>
      </c>
      <c r="B4905" s="2" t="s">
        <v>11911</v>
      </c>
      <c r="C4905" s="2" t="s">
        <v>25</v>
      </c>
      <c r="D4905" s="2" t="s">
        <v>18</v>
      </c>
      <c r="E4905" s="3" t="s">
        <v>2595</v>
      </c>
      <c r="F4905" s="3" t="s">
        <v>2596</v>
      </c>
      <c r="G4905" s="3" t="s">
        <v>426</v>
      </c>
      <c r="H4905" s="2" t="s">
        <v>55</v>
      </c>
      <c r="I4905" s="2" t="s">
        <v>11912</v>
      </c>
      <c r="J4905" s="3" t="str">
        <f>HYPERLINK("https://www.boe.es/gazeta/dias/1809/06/16/pdfs/GMD-1809-167.pdf#page=2","Abrir facsímil")</f>
        <v>Abrir facsímil</v>
      </c>
      <c r="K4905" s="3" t="s">
        <v>57</v>
      </c>
    </row>
    <row r="4906" spans="1:11" ht="42" customHeight="1">
      <c r="A4906" s="2" t="s">
        <v>11911</v>
      </c>
      <c r="B4906" s="2" t="s">
        <v>11911</v>
      </c>
      <c r="C4906" s="2" t="s">
        <v>25</v>
      </c>
      <c r="D4906" s="2" t="s">
        <v>26</v>
      </c>
      <c r="E4906" s="3" t="s">
        <v>1282</v>
      </c>
      <c r="F4906" s="3" t="s">
        <v>1743</v>
      </c>
      <c r="G4906" s="3" t="s">
        <v>234</v>
      </c>
      <c r="H4906" s="2" t="s">
        <v>55</v>
      </c>
      <c r="I4906" s="2" t="s">
        <v>11913</v>
      </c>
      <c r="J4906" s="3" t="str">
        <f>HYPERLINK("https://www.boe.es/gazeta/dias/1809/06/26/pdfs/GMD-1809-177.pdf#page=2","Abrir facsímil")</f>
        <v>Abrir facsímil</v>
      </c>
      <c r="K4906" s="3" t="s">
        <v>57</v>
      </c>
    </row>
    <row r="4907" spans="1:11" ht="42" customHeight="1">
      <c r="A4907" s="2" t="s">
        <v>11914</v>
      </c>
      <c r="B4907" s="2" t="s">
        <v>11914</v>
      </c>
      <c r="C4907" s="2" t="s">
        <v>25</v>
      </c>
      <c r="D4907" s="2" t="s">
        <v>26</v>
      </c>
      <c r="E4907" s="3" t="s">
        <v>196</v>
      </c>
      <c r="F4907" s="3" t="s">
        <v>197</v>
      </c>
      <c r="G4907" s="3" t="s">
        <v>374</v>
      </c>
      <c r="H4907" s="2" t="s">
        <v>55</v>
      </c>
      <c r="I4907" s="2" t="s">
        <v>11915</v>
      </c>
      <c r="J4907" s="3" t="str">
        <f>HYPERLINK("https://www.boe.es/gazeta/dias/1809/09/04/pdfs/GMD-1809-248.pdf#page=2","Abrir facsímil")</f>
        <v>Abrir facsímil</v>
      </c>
      <c r="K4907" s="3" t="s">
        <v>57</v>
      </c>
    </row>
    <row r="4908" spans="1:11" ht="42" customHeight="1">
      <c r="A4908" s="2" t="s">
        <v>11916</v>
      </c>
      <c r="B4908" s="2" t="s">
        <v>11916</v>
      </c>
      <c r="C4908" s="2" t="s">
        <v>47</v>
      </c>
      <c r="D4908" s="2" t="s">
        <v>18</v>
      </c>
      <c r="E4908" s="3" t="s">
        <v>1007</v>
      </c>
      <c r="F4908" s="3" t="s">
        <v>3043</v>
      </c>
      <c r="G4908" s="3" t="s">
        <v>29</v>
      </c>
      <c r="H4908" s="2" t="s">
        <v>55</v>
      </c>
      <c r="I4908" s="2" t="s">
        <v>11917</v>
      </c>
      <c r="J4908" s="3" t="str">
        <f>HYPERLINK("https://www.boe.es/gazeta/dias/1809/04/14/pdfs/GGB-1809-17.pdf#page=3","Abrir facsímil")</f>
        <v>Abrir facsímil</v>
      </c>
      <c r="K4908" s="3" t="s">
        <v>57</v>
      </c>
    </row>
    <row r="4909" spans="1:11" ht="42" customHeight="1">
      <c r="A4909" s="2" t="s">
        <v>11918</v>
      </c>
      <c r="B4909" s="2" t="s">
        <v>11918</v>
      </c>
      <c r="C4909" s="2" t="s">
        <v>25</v>
      </c>
      <c r="D4909" s="2" t="s">
        <v>18</v>
      </c>
      <c r="E4909" s="3" t="s">
        <v>1598</v>
      </c>
      <c r="F4909" s="3" t="s">
        <v>7529</v>
      </c>
      <c r="G4909" s="3" t="s">
        <v>154</v>
      </c>
      <c r="H4909" s="2" t="s">
        <v>55</v>
      </c>
      <c r="I4909" s="2" t="s">
        <v>11919</v>
      </c>
      <c r="J4909" s="3" t="str">
        <f>HYPERLINK("https://www.boe.es/gazeta/dias/1809/01/10/pdfs/GMD-1809-10.pdf#page=1","Abrir facsímil")</f>
        <v>Abrir facsímil</v>
      </c>
      <c r="K4909" s="3" t="s">
        <v>57</v>
      </c>
    </row>
    <row r="4910" spans="1:11" ht="42" customHeight="1">
      <c r="A4910" s="2" t="s">
        <v>11920</v>
      </c>
      <c r="B4910" s="2" t="s">
        <v>11920</v>
      </c>
      <c r="C4910" s="2" t="s">
        <v>47</v>
      </c>
      <c r="D4910" s="2" t="s">
        <v>107</v>
      </c>
      <c r="E4910" s="3" t="s">
        <v>761</v>
      </c>
      <c r="F4910" s="3" t="s">
        <v>762</v>
      </c>
      <c r="G4910" s="3" t="s">
        <v>3771</v>
      </c>
      <c r="H4910" s="2" t="s">
        <v>55</v>
      </c>
      <c r="I4910" s="2" t="s">
        <v>11921</v>
      </c>
      <c r="J4910" s="3" t="str">
        <f>HYPERLINK("https://www.boe.es/gazeta/dias/1809/06/02/pdfs/GMD-1809-153.pdf#page=2","Abrir facsímil")</f>
        <v>Abrir facsímil</v>
      </c>
      <c r="K4910" s="3" t="s">
        <v>57</v>
      </c>
    </row>
    <row r="4911" spans="1:11" ht="42" customHeight="1">
      <c r="A4911" s="2" t="s">
        <v>11922</v>
      </c>
      <c r="B4911" s="2" t="s">
        <v>11923</v>
      </c>
      <c r="C4911" s="2" t="s">
        <v>25</v>
      </c>
      <c r="D4911" s="2" t="s">
        <v>26</v>
      </c>
      <c r="E4911" s="3" t="s">
        <v>585</v>
      </c>
      <c r="F4911" s="3" t="s">
        <v>586</v>
      </c>
      <c r="G4911" s="3" t="s">
        <v>75</v>
      </c>
      <c r="H4911" s="2" t="s">
        <v>55</v>
      </c>
      <c r="I4911" s="2" t="s">
        <v>11924</v>
      </c>
      <c r="J4911" s="3" t="str">
        <f>HYPERLINK("https://www.boe.es/gazeta/dias/1809/01/09/pdfs/GMD-1809-9.pdf#page=4","Abrir facsímil")</f>
        <v>Abrir facsímil</v>
      </c>
      <c r="K4911" s="3" t="s">
        <v>57</v>
      </c>
    </row>
    <row r="4912" spans="1:11" ht="42" customHeight="1">
      <c r="A4912" s="2" t="s">
        <v>11925</v>
      </c>
      <c r="B4912" s="2" t="s">
        <v>11926</v>
      </c>
      <c r="C4912" s="2" t="s">
        <v>25</v>
      </c>
      <c r="D4912" s="2" t="s">
        <v>26</v>
      </c>
      <c r="E4912" s="3" t="s">
        <v>1123</v>
      </c>
      <c r="F4912" s="3" t="s">
        <v>1124</v>
      </c>
      <c r="G4912" s="3" t="s">
        <v>154</v>
      </c>
      <c r="H4912" s="2" t="s">
        <v>55</v>
      </c>
      <c r="I4912" s="2" t="s">
        <v>11927</v>
      </c>
      <c r="J4912" s="3" t="str">
        <f>HYPERLINK("https://www.boe.es/gazeta/dias/1809/01/08/pdfs/GMD-1809-8.pdf#page=8","Abrir facsímil")</f>
        <v>Abrir facsímil</v>
      </c>
      <c r="K4912" s="3" t="s">
        <v>57</v>
      </c>
    </row>
    <row r="4913" spans="1:11" ht="42" customHeight="1">
      <c r="A4913" s="2" t="s">
        <v>11925</v>
      </c>
      <c r="B4913" s="2" t="s">
        <v>11926</v>
      </c>
      <c r="C4913" s="2" t="s">
        <v>25</v>
      </c>
      <c r="D4913" s="2" t="s">
        <v>18</v>
      </c>
      <c r="E4913" s="3" t="s">
        <v>1616</v>
      </c>
      <c r="F4913" s="3" t="s">
        <v>2656</v>
      </c>
      <c r="G4913" s="3" t="s">
        <v>21</v>
      </c>
      <c r="H4913" s="2" t="s">
        <v>55</v>
      </c>
      <c r="I4913" s="2" t="s">
        <v>11928</v>
      </c>
      <c r="J4913" s="3" t="str">
        <f>HYPERLINK("https://www.boe.es/gazeta/dias/1809/01/14/pdfs/GMD-1809-14.pdf#page=3","Abrir facsímil")</f>
        <v>Abrir facsímil</v>
      </c>
      <c r="K4913" s="3" t="s">
        <v>57</v>
      </c>
    </row>
    <row r="4914" spans="1:11" ht="42" customHeight="1">
      <c r="A4914" s="2" t="s">
        <v>11925</v>
      </c>
      <c r="B4914" s="2" t="s">
        <v>11926</v>
      </c>
      <c r="C4914" s="2" t="s">
        <v>25</v>
      </c>
      <c r="D4914" s="2" t="s">
        <v>107</v>
      </c>
      <c r="E4914" s="3" t="s">
        <v>5247</v>
      </c>
      <c r="F4914" s="3" t="s">
        <v>5248</v>
      </c>
      <c r="G4914" s="3" t="s">
        <v>654</v>
      </c>
      <c r="H4914" s="2" t="s">
        <v>55</v>
      </c>
      <c r="I4914" s="2" t="s">
        <v>11929</v>
      </c>
      <c r="J4914" s="3" t="str">
        <f>HYPERLINK("https://www.boe.es/gazeta/dias/1809/01/25/pdfs/GMD-1809-25.pdf#page=2","Abrir facsímil")</f>
        <v>Abrir facsímil</v>
      </c>
      <c r="K4914" s="3" t="s">
        <v>57</v>
      </c>
    </row>
    <row r="4915" spans="1:11" ht="42" customHeight="1">
      <c r="A4915" s="2" t="s">
        <v>11930</v>
      </c>
      <c r="B4915" s="2" t="s">
        <v>11930</v>
      </c>
      <c r="C4915" s="2" t="s">
        <v>25</v>
      </c>
      <c r="D4915" s="2" t="s">
        <v>26</v>
      </c>
      <c r="E4915" s="3" t="s">
        <v>163</v>
      </c>
      <c r="F4915" s="3" t="s">
        <v>478</v>
      </c>
      <c r="G4915" s="3" t="s">
        <v>5377</v>
      </c>
      <c r="H4915" s="2" t="s">
        <v>55</v>
      </c>
      <c r="I4915" s="2" t="s">
        <v>11931</v>
      </c>
      <c r="J4915" s="3" t="str">
        <f>HYPERLINK("https://www.boe.es/gazeta/dias/1809/03/10/pdfs/GGB-1809-11.pdf#page=2","Abrir facsímil")</f>
        <v>Abrir facsímil</v>
      </c>
      <c r="K4915" s="3" t="s">
        <v>57</v>
      </c>
    </row>
    <row r="4916" spans="1:11" ht="42" customHeight="1">
      <c r="A4916" s="2" t="s">
        <v>11930</v>
      </c>
      <c r="B4916" s="2" t="s">
        <v>11930</v>
      </c>
      <c r="C4916" s="2" t="s">
        <v>25</v>
      </c>
      <c r="D4916" s="2" t="s">
        <v>26</v>
      </c>
      <c r="E4916" s="3" t="s">
        <v>258</v>
      </c>
      <c r="F4916" s="3" t="s">
        <v>1673</v>
      </c>
      <c r="G4916" s="3" t="s">
        <v>239</v>
      </c>
      <c r="H4916" s="2" t="s">
        <v>55</v>
      </c>
      <c r="I4916" s="2" t="s">
        <v>11932</v>
      </c>
      <c r="J4916" s="3" t="str">
        <f>HYPERLINK("https://www.boe.es/gazeta/dias/1809/03/17/pdfs/GGB-G-1809-12.pdf#page=5","Abrir facsímil")</f>
        <v>Abrir facsímil</v>
      </c>
      <c r="K4916" s="3" t="s">
        <v>57</v>
      </c>
    </row>
    <row r="4917" spans="1:11" ht="42" customHeight="1">
      <c r="A4917" s="2" t="s">
        <v>11933</v>
      </c>
      <c r="B4917" s="2" t="s">
        <v>11933</v>
      </c>
      <c r="C4917" s="2" t="s">
        <v>25</v>
      </c>
      <c r="D4917" s="2" t="s">
        <v>40</v>
      </c>
      <c r="E4917" s="3" t="s">
        <v>500</v>
      </c>
      <c r="F4917" s="3" t="s">
        <v>2357</v>
      </c>
      <c r="G4917" s="3" t="s">
        <v>94</v>
      </c>
      <c r="H4917" s="2" t="s">
        <v>55</v>
      </c>
      <c r="I4917" s="2" t="s">
        <v>11934</v>
      </c>
      <c r="J4917" s="3" t="str">
        <f>HYPERLINK("https://www.boe.es/gazeta/dias/1809/03/24/pdfs/GGB-1809-13.pdf#page=5","Abrir facsímil")</f>
        <v>Abrir facsímil</v>
      </c>
      <c r="K4917" s="3" t="s">
        <v>57</v>
      </c>
    </row>
    <row r="4918" spans="1:11" ht="42" customHeight="1">
      <c r="A4918" s="2" t="s">
        <v>11935</v>
      </c>
      <c r="B4918" s="2" t="s">
        <v>11936</v>
      </c>
      <c r="C4918" s="2" t="s">
        <v>17</v>
      </c>
      <c r="D4918" s="2" t="s">
        <v>18</v>
      </c>
      <c r="E4918" s="3" t="s">
        <v>33</v>
      </c>
      <c r="F4918" s="3" t="s">
        <v>34</v>
      </c>
      <c r="G4918" s="3" t="s">
        <v>493</v>
      </c>
      <c r="H4918" s="2" t="s">
        <v>55</v>
      </c>
      <c r="I4918" s="2" t="s">
        <v>11937</v>
      </c>
      <c r="J4918" s="3" t="str">
        <f>HYPERLINK("https://www.boe.es/gazeta/dias/1809/12/19/pdfs/GGB-1809-602.pdf#page=6","Abrir facsímil")</f>
        <v>Abrir facsímil</v>
      </c>
      <c r="K4918" s="3" t="s">
        <v>57</v>
      </c>
    </row>
    <row r="4919" spans="1:11" ht="42" customHeight="1">
      <c r="A4919" s="2" t="s">
        <v>11938</v>
      </c>
      <c r="B4919" s="2" t="s">
        <v>11938</v>
      </c>
      <c r="C4919" s="2" t="s">
        <v>39</v>
      </c>
      <c r="D4919" s="2" t="s">
        <v>18</v>
      </c>
      <c r="E4919" s="3" t="s">
        <v>237</v>
      </c>
      <c r="F4919" s="3" t="s">
        <v>238</v>
      </c>
      <c r="G4919" s="3" t="s">
        <v>29</v>
      </c>
      <c r="H4919" s="2" t="s">
        <v>55</v>
      </c>
      <c r="I4919" s="2" t="s">
        <v>11939</v>
      </c>
      <c r="J4919" s="3" t="str">
        <f>HYPERLINK("https://www.boe.es/gazeta/dias/1809/07/30/pdfs/GMD-1809-212.pdf#page=3","Abrir facsímil")</f>
        <v>Abrir facsímil</v>
      </c>
      <c r="K4919" s="3" t="s">
        <v>57</v>
      </c>
    </row>
    <row r="4920" spans="1:11" ht="42" customHeight="1">
      <c r="A4920" s="2" t="s">
        <v>11938</v>
      </c>
      <c r="B4920" s="2" t="s">
        <v>11938</v>
      </c>
      <c r="C4920" s="2" t="s">
        <v>17</v>
      </c>
      <c r="D4920" s="2" t="s">
        <v>18</v>
      </c>
      <c r="E4920" s="3" t="s">
        <v>3949</v>
      </c>
      <c r="F4920" s="3" t="s">
        <v>3950</v>
      </c>
      <c r="G4920" s="3" t="s">
        <v>234</v>
      </c>
      <c r="H4920" s="2" t="s">
        <v>55</v>
      </c>
      <c r="I4920" s="2" t="s">
        <v>11940</v>
      </c>
      <c r="J4920" s="3" t="str">
        <f>HYPERLINK("https://www.boe.es/gazeta/dias/1809/09/09/pdfs/GGB-1809-172.pdf#page=3","Abrir facsímil")</f>
        <v>Abrir facsímil</v>
      </c>
      <c r="K4920" s="3" t="s">
        <v>57</v>
      </c>
    </row>
    <row r="4921" spans="1:11" ht="42" customHeight="1">
      <c r="A4921" s="2" t="s">
        <v>11941</v>
      </c>
      <c r="B4921" s="2" t="s">
        <v>11941</v>
      </c>
      <c r="C4921" s="2" t="s">
        <v>17</v>
      </c>
      <c r="D4921" s="2" t="s">
        <v>107</v>
      </c>
      <c r="E4921" s="3" t="s">
        <v>7514</v>
      </c>
      <c r="F4921" s="3" t="s">
        <v>7515</v>
      </c>
      <c r="G4921" s="3" t="s">
        <v>11942</v>
      </c>
      <c r="H4921" s="2" t="s">
        <v>55</v>
      </c>
      <c r="I4921" s="2" t="s">
        <v>11943</v>
      </c>
      <c r="J4921" s="3" t="str">
        <f>HYPERLINK("https://www.boe.es/gazeta/dias/1809/10/17/pdfs/GGB-1809-332.pdf#page=2","Abrir facsímil")</f>
        <v>Abrir facsímil</v>
      </c>
      <c r="K4921" s="3" t="s">
        <v>57</v>
      </c>
    </row>
    <row r="4922" spans="1:11" ht="42" customHeight="1">
      <c r="A4922" s="2" t="s">
        <v>11944</v>
      </c>
      <c r="B4922" s="2" t="s">
        <v>11944</v>
      </c>
      <c r="C4922" s="2" t="s">
        <v>47</v>
      </c>
      <c r="D4922" s="2" t="s">
        <v>107</v>
      </c>
      <c r="E4922" s="3" t="s">
        <v>969</v>
      </c>
      <c r="F4922" s="3" t="s">
        <v>970</v>
      </c>
      <c r="G4922" s="3" t="s">
        <v>8497</v>
      </c>
      <c r="H4922" s="2" t="s">
        <v>55</v>
      </c>
      <c r="I4922" s="2" t="s">
        <v>11945</v>
      </c>
      <c r="J4922" s="3" t="str">
        <f>HYPERLINK("https://www.boe.es/gazeta/dias/1809/09/19/pdfs/GGB-1809-212.pdf#page=3","Abrir facsímil")</f>
        <v>Abrir facsímil</v>
      </c>
      <c r="K4922" s="3" t="s">
        <v>57</v>
      </c>
    </row>
    <row r="4923" spans="1:11" ht="42" customHeight="1">
      <c r="A4923" s="2" t="s">
        <v>11946</v>
      </c>
      <c r="B4923" s="2" t="s">
        <v>11946</v>
      </c>
      <c r="C4923" s="2" t="s">
        <v>47</v>
      </c>
      <c r="D4923" s="2" t="s">
        <v>107</v>
      </c>
      <c r="E4923" s="3" t="s">
        <v>263</v>
      </c>
      <c r="F4923" s="3" t="s">
        <v>264</v>
      </c>
      <c r="G4923" s="3" t="s">
        <v>265</v>
      </c>
      <c r="H4923" s="2" t="s">
        <v>55</v>
      </c>
      <c r="I4923" s="2" t="s">
        <v>11947</v>
      </c>
      <c r="J4923" s="3" t="str">
        <f>HYPERLINK("https://www.boe.es/gazeta/dias/1809/11/21/pdfs/GGB-1809-482.pdf#page=2","Abrir facsímil")</f>
        <v>Abrir facsímil</v>
      </c>
      <c r="K4923" s="3" t="s">
        <v>57</v>
      </c>
    </row>
    <row r="4924" spans="1:11" ht="42" customHeight="1">
      <c r="A4924" s="2" t="s">
        <v>11948</v>
      </c>
      <c r="B4924" s="2" t="s">
        <v>11948</v>
      </c>
      <c r="C4924" s="2" t="s">
        <v>47</v>
      </c>
      <c r="D4924" s="2" t="s">
        <v>18</v>
      </c>
      <c r="E4924" s="3" t="s">
        <v>289</v>
      </c>
      <c r="F4924" s="3" t="s">
        <v>3937</v>
      </c>
      <c r="G4924" s="3" t="s">
        <v>94</v>
      </c>
      <c r="H4924" s="2" t="s">
        <v>55</v>
      </c>
      <c r="I4924" s="2" t="s">
        <v>11949</v>
      </c>
      <c r="J4924" s="3" t="str">
        <f>HYPERLINK("https://www.boe.es/gazeta/dias/1809/05/15/pdfs/GGB-1809-27.pdf#page=5","Abrir facsímil")</f>
        <v>Abrir facsímil</v>
      </c>
      <c r="K4924" s="3" t="s">
        <v>57</v>
      </c>
    </row>
    <row r="4925" spans="1:11" ht="42" customHeight="1">
      <c r="A4925" s="2" t="s">
        <v>11950</v>
      </c>
      <c r="B4925" s="2" t="s">
        <v>11950</v>
      </c>
      <c r="C4925" s="2" t="s">
        <v>17</v>
      </c>
      <c r="D4925" s="2" t="s">
        <v>18</v>
      </c>
      <c r="E4925" s="3" t="s">
        <v>1076</v>
      </c>
      <c r="F4925" s="3" t="s">
        <v>1645</v>
      </c>
      <c r="G4925" s="3" t="s">
        <v>129</v>
      </c>
      <c r="H4925" s="2" t="s">
        <v>55</v>
      </c>
      <c r="I4925" s="2" t="s">
        <v>11951</v>
      </c>
      <c r="J4925" s="3" t="str">
        <f>HYPERLINK("https://www.boe.es/gazeta/dias/1809/04/13/pdfs/GMD-1809-103.pdf#page=2","Abrir facsímil")</f>
        <v>Abrir facsímil</v>
      </c>
      <c r="K4925" s="3" t="s">
        <v>57</v>
      </c>
    </row>
    <row r="4926" spans="1:11" ht="42" customHeight="1">
      <c r="A4926" s="2" t="s">
        <v>11952</v>
      </c>
      <c r="B4926" s="2" t="s">
        <v>11952</v>
      </c>
      <c r="C4926" s="2" t="s">
        <v>131</v>
      </c>
      <c r="D4926" s="2" t="s">
        <v>107</v>
      </c>
      <c r="E4926" s="3" t="s">
        <v>3366</v>
      </c>
      <c r="F4926" s="3" t="s">
        <v>8835</v>
      </c>
      <c r="G4926" s="3" t="s">
        <v>861</v>
      </c>
      <c r="H4926" s="2" t="s">
        <v>55</v>
      </c>
      <c r="I4926" s="2" t="s">
        <v>11953</v>
      </c>
      <c r="J4926" s="3" t="str">
        <f>HYPERLINK("https://www.boe.es/gazeta/dias/1809/04/10/pdfs/GMD-1809-100.pdf#page=1","Abrir facsímil")</f>
        <v>Abrir facsímil</v>
      </c>
      <c r="K4926" s="3" t="s">
        <v>57</v>
      </c>
    </row>
    <row r="4927" spans="1:11" ht="42" customHeight="1">
      <c r="A4927" s="2" t="s">
        <v>11954</v>
      </c>
      <c r="B4927" s="2" t="s">
        <v>11954</v>
      </c>
      <c r="C4927" s="2" t="s">
        <v>25</v>
      </c>
      <c r="D4927" s="2" t="s">
        <v>18</v>
      </c>
      <c r="E4927" s="3" t="s">
        <v>11882</v>
      </c>
      <c r="F4927" s="3" t="s">
        <v>11883</v>
      </c>
      <c r="G4927" s="3" t="s">
        <v>29</v>
      </c>
      <c r="H4927" s="2" t="s">
        <v>55</v>
      </c>
      <c r="I4927" s="2" t="s">
        <v>11955</v>
      </c>
      <c r="J4927" s="3" t="str">
        <f>HYPERLINK("https://www.boe.es/gazeta/dias/1809/04/08/pdfs/GMD-1809-98.pdf#page=3","Abrir facsímil")</f>
        <v>Abrir facsímil</v>
      </c>
      <c r="K4927" s="3" t="s">
        <v>57</v>
      </c>
    </row>
    <row r="4928" spans="1:11" ht="42" customHeight="1">
      <c r="A4928" s="2" t="s">
        <v>11954</v>
      </c>
      <c r="B4928" s="2" t="s">
        <v>11954</v>
      </c>
      <c r="C4928" s="2" t="s">
        <v>25</v>
      </c>
      <c r="D4928" s="2" t="s">
        <v>107</v>
      </c>
      <c r="E4928" s="3" t="s">
        <v>81</v>
      </c>
      <c r="F4928" s="3" t="s">
        <v>1251</v>
      </c>
      <c r="G4928" s="3" t="s">
        <v>129</v>
      </c>
      <c r="H4928" s="2" t="s">
        <v>55</v>
      </c>
      <c r="I4928" s="2" t="s">
        <v>11956</v>
      </c>
      <c r="J4928" s="3" t="str">
        <f>HYPERLINK("https://www.boe.es/gazeta/dias/1809/04/11/pdfs/GMD-1809-101.pdf#page=2","Abrir facsímil")</f>
        <v>Abrir facsímil</v>
      </c>
      <c r="K4928" s="3" t="s">
        <v>57</v>
      </c>
    </row>
    <row r="4929" spans="1:11" ht="42" customHeight="1">
      <c r="A4929" s="2" t="s">
        <v>11957</v>
      </c>
      <c r="B4929" s="2" t="s">
        <v>11957</v>
      </c>
      <c r="C4929" s="2" t="s">
        <v>25</v>
      </c>
      <c r="D4929" s="2" t="s">
        <v>26</v>
      </c>
      <c r="E4929" s="3" t="s">
        <v>278</v>
      </c>
      <c r="F4929" s="3" t="s">
        <v>279</v>
      </c>
      <c r="G4929" s="3" t="s">
        <v>280</v>
      </c>
      <c r="H4929" s="2" t="s">
        <v>55</v>
      </c>
      <c r="I4929" s="2" t="s">
        <v>11958</v>
      </c>
      <c r="J4929" s="3" t="str">
        <f>HYPERLINK("https://www.boe.es/gazeta/dias/1809/03/26/pdfs/GMD-1809-85.pdf#page=1","Abrir facsímil")</f>
        <v>Abrir facsímil</v>
      </c>
      <c r="K4929" s="3" t="s">
        <v>57</v>
      </c>
    </row>
    <row r="4930" spans="1:11" ht="42" customHeight="1">
      <c r="A4930" s="2" t="s">
        <v>11959</v>
      </c>
      <c r="B4930" s="2" t="s">
        <v>11959</v>
      </c>
      <c r="C4930" s="2" t="s">
        <v>131</v>
      </c>
      <c r="D4930" s="2" t="s">
        <v>107</v>
      </c>
      <c r="E4930" s="3" t="s">
        <v>2976</v>
      </c>
      <c r="F4930" s="3" t="s">
        <v>2977</v>
      </c>
      <c r="G4930" s="3" t="s">
        <v>110</v>
      </c>
      <c r="H4930" s="2" t="s">
        <v>55</v>
      </c>
      <c r="I4930" s="2" t="s">
        <v>11960</v>
      </c>
      <c r="J4930" s="3" t="str">
        <f>HYPERLINK("https://www.boe.es/gazeta/dias/1809/05/05/pdfs/GGB-1809-24.pdf#page=1","Abrir facsímil")</f>
        <v>Abrir facsímil</v>
      </c>
      <c r="K4930" s="3" t="s">
        <v>57</v>
      </c>
    </row>
    <row r="4931" spans="1:11" ht="42" customHeight="1">
      <c r="A4931" s="2" t="s">
        <v>11961</v>
      </c>
      <c r="B4931" s="2" t="s">
        <v>11961</v>
      </c>
      <c r="C4931" s="2" t="s">
        <v>25</v>
      </c>
      <c r="D4931" s="2" t="s">
        <v>18</v>
      </c>
      <c r="E4931" s="3" t="s">
        <v>1129</v>
      </c>
      <c r="F4931" s="3" t="s">
        <v>1507</v>
      </c>
      <c r="G4931" s="3" t="s">
        <v>6046</v>
      </c>
      <c r="H4931" s="2" t="s">
        <v>55</v>
      </c>
      <c r="I4931" s="2" t="s">
        <v>11962</v>
      </c>
      <c r="J4931" s="3" t="str">
        <f>HYPERLINK("https://www.boe.es/gazeta/dias/1809/08/17/pdfs/GMD-1809-230.pdf#page=2","Abrir facsímil")</f>
        <v>Abrir facsímil</v>
      </c>
      <c r="K4931" s="3" t="s">
        <v>57</v>
      </c>
    </row>
    <row r="4932" spans="1:11" ht="42" customHeight="1">
      <c r="A4932" s="2" t="s">
        <v>11963</v>
      </c>
      <c r="B4932" s="2" t="s">
        <v>11963</v>
      </c>
      <c r="C4932" s="2" t="s">
        <v>25</v>
      </c>
      <c r="D4932" s="2" t="s">
        <v>107</v>
      </c>
      <c r="E4932" s="3" t="s">
        <v>1132</v>
      </c>
      <c r="F4932" s="3" t="s">
        <v>1133</v>
      </c>
      <c r="G4932" s="3" t="s">
        <v>11964</v>
      </c>
      <c r="H4932" s="2" t="s">
        <v>55</v>
      </c>
      <c r="I4932" s="2" t="s">
        <v>11965</v>
      </c>
      <c r="J4932" s="3" t="str">
        <f>HYPERLINK("https://www.boe.es/gazeta/dias/1809/11/11/pdfs/GGB-1809-442.pdf#page=3","Abrir facsímil")</f>
        <v>Abrir facsímil</v>
      </c>
      <c r="K4932" s="3" t="s">
        <v>57</v>
      </c>
    </row>
    <row r="4933" spans="1:11" ht="42" customHeight="1">
      <c r="A4933" s="2" t="s">
        <v>11966</v>
      </c>
      <c r="B4933" s="2" t="s">
        <v>11967</v>
      </c>
      <c r="C4933" s="2" t="s">
        <v>47</v>
      </c>
      <c r="D4933" s="2" t="s">
        <v>18</v>
      </c>
      <c r="E4933" s="3" t="s">
        <v>2512</v>
      </c>
      <c r="F4933" s="3" t="s">
        <v>2513</v>
      </c>
      <c r="G4933" s="3" t="s">
        <v>439</v>
      </c>
      <c r="H4933" s="2" t="s">
        <v>55</v>
      </c>
      <c r="I4933" s="2" t="s">
        <v>11968</v>
      </c>
      <c r="J4933" s="3" t="str">
        <f>HYPERLINK("https://www.boe.es/gazeta/dias/1809/11/27/pdfs/GMD-1809-332.pdf#page=2","Abrir facsímil")</f>
        <v>Abrir facsímil</v>
      </c>
      <c r="K4933" s="3" t="s">
        <v>57</v>
      </c>
    </row>
    <row r="4934" spans="1:11" ht="42" customHeight="1">
      <c r="A4934" s="2" t="s">
        <v>11969</v>
      </c>
      <c r="B4934" s="2" t="s">
        <v>11969</v>
      </c>
      <c r="C4934" s="2" t="s">
        <v>25</v>
      </c>
      <c r="D4934" s="2" t="s">
        <v>18</v>
      </c>
      <c r="E4934" s="3" t="s">
        <v>2888</v>
      </c>
      <c r="F4934" s="3" t="s">
        <v>2889</v>
      </c>
      <c r="G4934" s="3" t="s">
        <v>62</v>
      </c>
      <c r="H4934" s="2" t="s">
        <v>55</v>
      </c>
      <c r="I4934" s="2" t="s">
        <v>11970</v>
      </c>
      <c r="J4934" s="3" t="str">
        <f>HYPERLINK("https://www.boe.es/gazeta/dias/1809/06/25/pdfs/GMD-1809-176.pdf#page=2","Abrir facsímil")</f>
        <v>Abrir facsímil</v>
      </c>
      <c r="K4934" s="3" t="s">
        <v>57</v>
      </c>
    </row>
    <row r="4935" spans="1:11" ht="42" customHeight="1">
      <c r="A4935" s="2" t="s">
        <v>11969</v>
      </c>
      <c r="B4935" s="2" t="s">
        <v>11969</v>
      </c>
      <c r="C4935" s="2" t="s">
        <v>25</v>
      </c>
      <c r="D4935" s="2" t="s">
        <v>18</v>
      </c>
      <c r="E4935" s="3" t="s">
        <v>179</v>
      </c>
      <c r="F4935" s="3" t="s">
        <v>2418</v>
      </c>
      <c r="G4935" s="3" t="s">
        <v>129</v>
      </c>
      <c r="H4935" s="2" t="s">
        <v>55</v>
      </c>
      <c r="I4935" s="2" t="s">
        <v>11971</v>
      </c>
      <c r="J4935" s="3" t="str">
        <f>HYPERLINK("https://www.boe.es/gazeta/dias/1809/12/08/pdfs/GMD-1809-343.pdf#page=2","Abrir facsímil")</f>
        <v>Abrir facsímil</v>
      </c>
      <c r="K4935" s="3" t="s">
        <v>57</v>
      </c>
    </row>
    <row r="4936" spans="1:11" ht="42" customHeight="1">
      <c r="A4936" s="2" t="s">
        <v>11972</v>
      </c>
      <c r="B4936" s="2" t="s">
        <v>11972</v>
      </c>
      <c r="C4936" s="2" t="s">
        <v>25</v>
      </c>
      <c r="D4936" s="2" t="s">
        <v>107</v>
      </c>
      <c r="E4936" s="3" t="s">
        <v>508</v>
      </c>
      <c r="F4936" s="3" t="s">
        <v>509</v>
      </c>
      <c r="G4936" s="3" t="s">
        <v>11973</v>
      </c>
      <c r="H4936" s="2" t="s">
        <v>55</v>
      </c>
      <c r="I4936" s="2" t="s">
        <v>11974</v>
      </c>
      <c r="J4936" s="3" t="str">
        <f>HYPERLINK("https://www.boe.es/gazeta/dias/1809/06/21/pdfs/GMD-1809-172.pdf#page=1","Abrir facsímil")</f>
        <v>Abrir facsímil</v>
      </c>
      <c r="K4936" s="3" t="s">
        <v>57</v>
      </c>
    </row>
    <row r="4937" spans="1:11" ht="42" customHeight="1">
      <c r="A4937" s="2" t="s">
        <v>11972</v>
      </c>
      <c r="B4937" s="2" t="s">
        <v>11972</v>
      </c>
      <c r="C4937" s="2" t="s">
        <v>25</v>
      </c>
      <c r="D4937" s="2" t="s">
        <v>18</v>
      </c>
      <c r="E4937" s="3" t="s">
        <v>338</v>
      </c>
      <c r="F4937" s="3" t="s">
        <v>339</v>
      </c>
      <c r="G4937" s="3" t="s">
        <v>7558</v>
      </c>
      <c r="H4937" s="2" t="s">
        <v>55</v>
      </c>
      <c r="I4937" s="2" t="s">
        <v>11975</v>
      </c>
      <c r="J4937" s="3" t="str">
        <f>HYPERLINK("https://www.boe.es/gazeta/dias/1809/08/04/pdfs/GMD-1809-217.pdf#page=1","Abrir facsímil")</f>
        <v>Abrir facsímil</v>
      </c>
      <c r="K4937" s="3" t="s">
        <v>57</v>
      </c>
    </row>
    <row r="4938" spans="1:11" ht="42" customHeight="1">
      <c r="A4938" s="2" t="s">
        <v>11976</v>
      </c>
      <c r="B4938" s="2" t="s">
        <v>11977</v>
      </c>
      <c r="C4938" s="2" t="s">
        <v>17</v>
      </c>
      <c r="D4938" s="2" t="s">
        <v>72</v>
      </c>
      <c r="E4938" s="3" t="s">
        <v>3178</v>
      </c>
      <c r="F4938" s="3" t="s">
        <v>3179</v>
      </c>
      <c r="G4938" s="3" t="s">
        <v>75</v>
      </c>
      <c r="H4938" s="2" t="s">
        <v>55</v>
      </c>
      <c r="I4938" s="2" t="s">
        <v>11978</v>
      </c>
      <c r="J4938" s="3" t="str">
        <f>HYPERLINK("https://www.boe.es/gazeta/dias/1809/04/20/pdfs/GMD-E-1809-110.pdf#page=2","Abrir facsímil")</f>
        <v>Abrir facsímil</v>
      </c>
      <c r="K4938" s="3" t="s">
        <v>57</v>
      </c>
    </row>
    <row r="4939" spans="1:11" ht="42" customHeight="1">
      <c r="A4939" s="2" t="s">
        <v>11979</v>
      </c>
      <c r="B4939" s="2" t="s">
        <v>11980</v>
      </c>
      <c r="C4939" s="2" t="s">
        <v>17</v>
      </c>
      <c r="D4939" s="2" t="s">
        <v>80</v>
      </c>
      <c r="E4939" s="3" t="s">
        <v>179</v>
      </c>
      <c r="F4939" s="3" t="s">
        <v>180</v>
      </c>
      <c r="G4939" s="3" t="s">
        <v>966</v>
      </c>
      <c r="H4939" s="2" t="s">
        <v>55</v>
      </c>
      <c r="I4939" s="2" t="s">
        <v>11981</v>
      </c>
      <c r="J4939" s="3" t="str">
        <f>HYPERLINK("https://www.boe.es/gazeta/dias/1809/12/08/pdfs/GGB-1809-552E.pdf#page=3","Abrir facsímil")</f>
        <v>Abrir facsímil</v>
      </c>
      <c r="K4939" s="3" t="s">
        <v>57</v>
      </c>
    </row>
    <row r="4940" spans="1:11" ht="42" customHeight="1">
      <c r="A4940" s="2" t="s">
        <v>11982</v>
      </c>
      <c r="B4940" s="2" t="s">
        <v>11982</v>
      </c>
      <c r="C4940" s="2" t="s">
        <v>17</v>
      </c>
      <c r="D4940" s="2" t="s">
        <v>72</v>
      </c>
      <c r="E4940" s="3" t="s">
        <v>258</v>
      </c>
      <c r="F4940" s="3" t="s">
        <v>2612</v>
      </c>
      <c r="G4940" s="3" t="s">
        <v>89</v>
      </c>
      <c r="H4940" s="2" t="s">
        <v>55</v>
      </c>
      <c r="I4940" s="2" t="s">
        <v>11983</v>
      </c>
      <c r="J4940" s="3" t="str">
        <f>HYPERLINK("https://www.boe.es/gazeta/dias/1809/03/17/pdfs/GGB-H-1809-12.pdf#page=7","Abrir facsímil")</f>
        <v>Abrir facsímil</v>
      </c>
      <c r="K4940" s="3" t="s">
        <v>57</v>
      </c>
    </row>
    <row r="4941" spans="1:11" ht="42" customHeight="1">
      <c r="A4941" s="2" t="s">
        <v>11984</v>
      </c>
      <c r="B4941" s="2" t="s">
        <v>11984</v>
      </c>
      <c r="C4941" s="2" t="s">
        <v>25</v>
      </c>
      <c r="D4941" s="2" t="s">
        <v>26</v>
      </c>
      <c r="E4941" s="3" t="s">
        <v>883</v>
      </c>
      <c r="F4941" s="3" t="s">
        <v>884</v>
      </c>
      <c r="G4941" s="3" t="s">
        <v>21</v>
      </c>
      <c r="H4941" s="2" t="s">
        <v>55</v>
      </c>
      <c r="I4941" s="2" t="s">
        <v>11985</v>
      </c>
      <c r="J4941" s="3" t="str">
        <f>HYPERLINK("https://www.boe.es/gazeta/dias/1809/12/21/pdfs/GMD-1809-356.pdf#page=3","Abrir facsímil")</f>
        <v>Abrir facsímil</v>
      </c>
      <c r="K4941" s="3" t="s">
        <v>57</v>
      </c>
    </row>
    <row r="4942" spans="1:11" ht="42" customHeight="1">
      <c r="A4942" s="2" t="s">
        <v>11986</v>
      </c>
      <c r="B4942" s="2" t="s">
        <v>11986</v>
      </c>
      <c r="C4942" s="2" t="s">
        <v>25</v>
      </c>
      <c r="D4942" s="2" t="s">
        <v>26</v>
      </c>
      <c r="E4942" s="3" t="s">
        <v>567</v>
      </c>
      <c r="F4942" s="3" t="s">
        <v>6568</v>
      </c>
      <c r="G4942" s="3" t="s">
        <v>62</v>
      </c>
      <c r="H4942" s="2" t="s">
        <v>55</v>
      </c>
      <c r="I4942" s="2" t="s">
        <v>11987</v>
      </c>
      <c r="J4942" s="3" t="str">
        <f>HYPERLINK("https://www.boe.es/gazeta/dias/1809/06/03/pdfs/GGB-1809-33E2.pdf#page=1","Abrir facsímil")</f>
        <v>Abrir facsímil</v>
      </c>
      <c r="K4942" s="3" t="s">
        <v>57</v>
      </c>
    </row>
    <row r="4943" spans="1:11" ht="42" customHeight="1">
      <c r="A4943" s="2" t="s">
        <v>11986</v>
      </c>
      <c r="B4943" s="2" t="s">
        <v>11986</v>
      </c>
      <c r="C4943" s="2" t="s">
        <v>25</v>
      </c>
      <c r="D4943" s="2" t="s">
        <v>26</v>
      </c>
      <c r="E4943" s="3" t="s">
        <v>567</v>
      </c>
      <c r="F4943" s="3" t="s">
        <v>6568</v>
      </c>
      <c r="G4943" s="3" t="s">
        <v>129</v>
      </c>
      <c r="H4943" s="2" t="s">
        <v>55</v>
      </c>
      <c r="I4943" s="2" t="s">
        <v>11988</v>
      </c>
      <c r="J4943" s="3" t="str">
        <f>HYPERLINK("https://www.boe.es/gazeta/dias/1809/06/03/pdfs/GGB-1809-33E2.pdf#page=2","Abrir facsímil")</f>
        <v>Abrir facsímil</v>
      </c>
      <c r="K4943" s="3" t="s">
        <v>57</v>
      </c>
    </row>
    <row r="4944" spans="1:11" ht="42" customHeight="1">
      <c r="A4944" s="2" t="s">
        <v>11986</v>
      </c>
      <c r="B4944" s="2" t="s">
        <v>11986</v>
      </c>
      <c r="C4944" s="2" t="s">
        <v>25</v>
      </c>
      <c r="D4944" s="2" t="s">
        <v>26</v>
      </c>
      <c r="E4944" s="3" t="s">
        <v>167</v>
      </c>
      <c r="F4944" s="3" t="s">
        <v>11989</v>
      </c>
      <c r="G4944" s="3" t="s">
        <v>62</v>
      </c>
      <c r="H4944" s="2" t="s">
        <v>55</v>
      </c>
      <c r="I4944" s="2" t="s">
        <v>11990</v>
      </c>
      <c r="J4944" s="3" t="str">
        <f>HYPERLINK("https://www.boe.es/gazeta/dias/1809/06/19/pdfs/GGB-1809-38E.pdf#page=1","Abrir facsímil")</f>
        <v>Abrir facsímil</v>
      </c>
      <c r="K4944" s="3" t="s">
        <v>57</v>
      </c>
    </row>
    <row r="4945" spans="1:11" ht="42" customHeight="1">
      <c r="A4945" s="2" t="s">
        <v>11986</v>
      </c>
      <c r="B4945" s="2" t="s">
        <v>11986</v>
      </c>
      <c r="C4945" s="2" t="s">
        <v>25</v>
      </c>
      <c r="D4945" s="2" t="s">
        <v>26</v>
      </c>
      <c r="E4945" s="3" t="s">
        <v>1282</v>
      </c>
      <c r="F4945" s="3" t="s">
        <v>1743</v>
      </c>
      <c r="G4945" s="3" t="s">
        <v>1801</v>
      </c>
      <c r="H4945" s="2" t="s">
        <v>55</v>
      </c>
      <c r="I4945" s="2" t="s">
        <v>11991</v>
      </c>
      <c r="J4945" s="3" t="str">
        <f>HYPERLINK("https://www.boe.es/gazeta/dias/1809/06/26/pdfs/GMD-1809-177.pdf#page=4","Abrir facsímil")</f>
        <v>Abrir facsímil</v>
      </c>
      <c r="K4945" s="3" t="s">
        <v>57</v>
      </c>
    </row>
    <row r="4946" spans="1:11" ht="42" customHeight="1">
      <c r="A4946" s="2" t="s">
        <v>11986</v>
      </c>
      <c r="B4946" s="2" t="s">
        <v>11986</v>
      </c>
      <c r="C4946" s="2" t="s">
        <v>25</v>
      </c>
      <c r="D4946" s="2" t="s">
        <v>18</v>
      </c>
      <c r="E4946" s="3" t="s">
        <v>9352</v>
      </c>
      <c r="F4946" s="3" t="s">
        <v>9353</v>
      </c>
      <c r="G4946" s="3" t="s">
        <v>3004</v>
      </c>
      <c r="H4946" s="2" t="s">
        <v>55</v>
      </c>
      <c r="I4946" s="2" t="s">
        <v>11992</v>
      </c>
      <c r="J4946" s="3" t="str">
        <f>HYPERLINK("https://www.boe.es/gazeta/dias/1809/07/15/pdfs/GMD-1809-196.pdf#page=4","Abrir facsímil")</f>
        <v>Abrir facsímil</v>
      </c>
      <c r="K4946" s="3" t="s">
        <v>57</v>
      </c>
    </row>
    <row r="4947" spans="1:11" ht="42" customHeight="1">
      <c r="A4947" s="2" t="s">
        <v>11986</v>
      </c>
      <c r="B4947" s="2" t="s">
        <v>11986</v>
      </c>
      <c r="C4947" s="2" t="s">
        <v>25</v>
      </c>
      <c r="D4947" s="2" t="s">
        <v>18</v>
      </c>
      <c r="E4947" s="3" t="s">
        <v>666</v>
      </c>
      <c r="F4947" s="3" t="s">
        <v>667</v>
      </c>
      <c r="G4947" s="3" t="s">
        <v>1448</v>
      </c>
      <c r="H4947" s="2" t="s">
        <v>55</v>
      </c>
      <c r="I4947" s="2" t="s">
        <v>11993</v>
      </c>
      <c r="J4947" s="3" t="str">
        <f>HYPERLINK("https://www.boe.es/gazeta/dias/1809/08/29/pdfs/GGB-1809-122.pdf#page=7","Abrir facsímil")</f>
        <v>Abrir facsímil</v>
      </c>
      <c r="K4947" s="3" t="s">
        <v>57</v>
      </c>
    </row>
    <row r="4948" spans="1:11" ht="42" customHeight="1">
      <c r="A4948" s="2" t="s">
        <v>11986</v>
      </c>
      <c r="B4948" s="2" t="s">
        <v>11986</v>
      </c>
      <c r="C4948" s="2" t="s">
        <v>25</v>
      </c>
      <c r="D4948" s="2" t="s">
        <v>18</v>
      </c>
      <c r="E4948" s="3" t="s">
        <v>207</v>
      </c>
      <c r="F4948" s="3" t="s">
        <v>2864</v>
      </c>
      <c r="G4948" s="3" t="s">
        <v>6383</v>
      </c>
      <c r="H4948" s="2" t="s">
        <v>55</v>
      </c>
      <c r="I4948" s="2" t="s">
        <v>11994</v>
      </c>
      <c r="J4948" s="3" t="str">
        <f>HYPERLINK("https://www.boe.es/gazeta/dias/1809/09/16/pdfs/GGB-1809-202.pdf#page=7","Abrir facsímil")</f>
        <v>Abrir facsímil</v>
      </c>
      <c r="K4948" s="3" t="s">
        <v>57</v>
      </c>
    </row>
    <row r="4949" spans="1:11" ht="42" customHeight="1">
      <c r="A4949" s="2" t="s">
        <v>11986</v>
      </c>
      <c r="B4949" s="2" t="s">
        <v>11986</v>
      </c>
      <c r="C4949" s="2" t="s">
        <v>25</v>
      </c>
      <c r="D4949" s="2" t="s">
        <v>40</v>
      </c>
      <c r="E4949" s="3" t="s">
        <v>724</v>
      </c>
      <c r="F4949" s="3" t="s">
        <v>725</v>
      </c>
      <c r="G4949" s="3" t="s">
        <v>5045</v>
      </c>
      <c r="H4949" s="2" t="s">
        <v>55</v>
      </c>
      <c r="I4949" s="2" t="s">
        <v>11995</v>
      </c>
      <c r="J4949" s="3" t="str">
        <f>HYPERLINK("https://www.boe.es/gazeta/dias/1809/11/19/pdfs/GMD-1809-324.pdf#page=4","Abrir facsímil")</f>
        <v>Abrir facsímil</v>
      </c>
      <c r="K4949" s="3" t="s">
        <v>57</v>
      </c>
    </row>
    <row r="4950" spans="1:11" ht="42" customHeight="1">
      <c r="A4950" s="2" t="s">
        <v>11986</v>
      </c>
      <c r="B4950" s="2" t="s">
        <v>11986</v>
      </c>
      <c r="C4950" s="2" t="s">
        <v>25</v>
      </c>
      <c r="D4950" s="2" t="s">
        <v>18</v>
      </c>
      <c r="E4950" s="3" t="s">
        <v>1396</v>
      </c>
      <c r="F4950" s="3" t="s">
        <v>2912</v>
      </c>
      <c r="G4950" s="3" t="s">
        <v>234</v>
      </c>
      <c r="H4950" s="2" t="s">
        <v>55</v>
      </c>
      <c r="I4950" s="2" t="s">
        <v>11996</v>
      </c>
      <c r="J4950" s="3" t="str">
        <f>HYPERLINK("https://www.boe.es/gazeta/dias/1809/11/28/pdfs/GMD-1809-333.pdf#page=4","Abrir facsímil")</f>
        <v>Abrir facsímil</v>
      </c>
      <c r="K4950" s="3" t="s">
        <v>57</v>
      </c>
    </row>
    <row r="4951" spans="1:11" ht="42" customHeight="1">
      <c r="A4951" s="2" t="s">
        <v>11986</v>
      </c>
      <c r="B4951" s="2" t="s">
        <v>11986</v>
      </c>
      <c r="C4951" s="2" t="s">
        <v>25</v>
      </c>
      <c r="D4951" s="2" t="s">
        <v>72</v>
      </c>
      <c r="E4951" s="3" t="s">
        <v>394</v>
      </c>
      <c r="F4951" s="3" t="s">
        <v>395</v>
      </c>
      <c r="G4951" s="3" t="s">
        <v>94</v>
      </c>
      <c r="H4951" s="2" t="s">
        <v>55</v>
      </c>
      <c r="I4951" s="2" t="s">
        <v>11997</v>
      </c>
      <c r="J4951" s="3" t="str">
        <f>HYPERLINK("https://www.boe.es/gazeta/dias/1809/12/14/pdfs/GGB-H-1809-582.pdf#page=5","Abrir facsímil")</f>
        <v>Abrir facsímil</v>
      </c>
      <c r="K4951" s="3" t="s">
        <v>57</v>
      </c>
    </row>
    <row r="4952" spans="1:11" ht="42" customHeight="1">
      <c r="A4952" s="2" t="s">
        <v>11986</v>
      </c>
      <c r="B4952" s="2" t="s">
        <v>11986</v>
      </c>
      <c r="C4952" s="2" t="s">
        <v>25</v>
      </c>
      <c r="D4952" s="2" t="s">
        <v>26</v>
      </c>
      <c r="E4952" s="3" t="s">
        <v>635</v>
      </c>
      <c r="F4952" s="3" t="s">
        <v>2073</v>
      </c>
      <c r="G4952" s="3" t="s">
        <v>129</v>
      </c>
      <c r="H4952" s="2" t="s">
        <v>55</v>
      </c>
      <c r="I4952" s="2" t="s">
        <v>11998</v>
      </c>
      <c r="J4952" s="3" t="str">
        <f>HYPERLINK("https://www.boe.es/gazeta/dias/1809/12/16/pdfs/GGB-H-1809-592.pdf#page=2","Abrir facsímil")</f>
        <v>Abrir facsímil</v>
      </c>
      <c r="K4952" s="3" t="s">
        <v>57</v>
      </c>
    </row>
    <row r="4953" spans="1:11" ht="42" customHeight="1">
      <c r="A4953" s="2" t="s">
        <v>11986</v>
      </c>
      <c r="B4953" s="2" t="s">
        <v>11986</v>
      </c>
      <c r="C4953" s="2" t="s">
        <v>25</v>
      </c>
      <c r="D4953" s="2" t="s">
        <v>18</v>
      </c>
      <c r="E4953" s="3" t="s">
        <v>1213</v>
      </c>
      <c r="F4953" s="3" t="s">
        <v>1214</v>
      </c>
      <c r="G4953" s="3" t="s">
        <v>29</v>
      </c>
      <c r="H4953" s="2" t="s">
        <v>55</v>
      </c>
      <c r="I4953" s="2" t="s">
        <v>11999</v>
      </c>
      <c r="J4953" s="3" t="str">
        <f>HYPERLINK("https://www.boe.es/gazeta/dias/1809/12/20/pdfs/GMD-1809-355.pdf#page=3","Abrir facsímil")</f>
        <v>Abrir facsímil</v>
      </c>
      <c r="K4953" s="3" t="s">
        <v>57</v>
      </c>
    </row>
    <row r="4954" spans="1:11" ht="42" customHeight="1">
      <c r="A4954" s="2" t="s">
        <v>11986</v>
      </c>
      <c r="B4954" s="2" t="s">
        <v>11986</v>
      </c>
      <c r="C4954" s="2" t="s">
        <v>25</v>
      </c>
      <c r="D4954" s="2" t="s">
        <v>26</v>
      </c>
      <c r="E4954" s="3" t="s">
        <v>66</v>
      </c>
      <c r="F4954" s="3" t="s">
        <v>67</v>
      </c>
      <c r="G4954" s="3" t="s">
        <v>7338</v>
      </c>
      <c r="H4954" s="2" t="s">
        <v>55</v>
      </c>
      <c r="I4954" s="2" t="s">
        <v>12000</v>
      </c>
      <c r="J4954" s="3" t="str">
        <f>HYPERLINK("https://www.boe.es/gazeta/dias/1809/12/30/pdfs/GGB-1809-652.pdf#page=3","Abrir facsímil")</f>
        <v>Abrir facsímil</v>
      </c>
      <c r="K4954" s="3" t="s">
        <v>57</v>
      </c>
    </row>
    <row r="4955" spans="1:11" ht="42" customHeight="1">
      <c r="A4955" s="2" t="s">
        <v>12001</v>
      </c>
      <c r="B4955" s="2" t="s">
        <v>12001</v>
      </c>
      <c r="C4955" s="2" t="s">
        <v>25</v>
      </c>
      <c r="D4955" s="2" t="s">
        <v>26</v>
      </c>
      <c r="E4955" s="3" t="s">
        <v>243</v>
      </c>
      <c r="F4955" s="3" t="s">
        <v>352</v>
      </c>
      <c r="G4955" s="3" t="s">
        <v>426</v>
      </c>
      <c r="H4955" s="2" t="s">
        <v>55</v>
      </c>
      <c r="I4955" s="2" t="s">
        <v>12002</v>
      </c>
      <c r="J4955" s="3" t="str">
        <f>HYPERLINK("https://www.boe.es/gazeta/dias/1809/02/17/pdfs/GMD-1809-48.pdf#page=1","Abrir facsímil")</f>
        <v>Abrir facsímil</v>
      </c>
      <c r="K4955" s="3" t="s">
        <v>57</v>
      </c>
    </row>
    <row r="4956" spans="1:11" ht="42" customHeight="1">
      <c r="A4956" s="2" t="s">
        <v>12003</v>
      </c>
      <c r="B4956" s="2" t="s">
        <v>12003</v>
      </c>
      <c r="C4956" s="2" t="s">
        <v>25</v>
      </c>
      <c r="D4956" s="2" t="s">
        <v>26</v>
      </c>
      <c r="E4956" s="3" t="s">
        <v>4624</v>
      </c>
      <c r="F4956" s="3" t="s">
        <v>4625</v>
      </c>
      <c r="G4956" s="3" t="s">
        <v>29</v>
      </c>
      <c r="H4956" s="2" t="s">
        <v>55</v>
      </c>
      <c r="I4956" s="2" t="s">
        <v>12004</v>
      </c>
      <c r="J4956" s="3" t="str">
        <f>HYPERLINK("https://www.boe.es/gazeta/dias/1809/01/31/pdfs/GMD-1809-31.pdf#page=3","Abrir facsímil")</f>
        <v>Abrir facsímil</v>
      </c>
      <c r="K4956" s="3" t="s">
        <v>57</v>
      </c>
    </row>
    <row r="4957" spans="1:11" ht="42" customHeight="1">
      <c r="A4957" s="2" t="s">
        <v>12005</v>
      </c>
      <c r="B4957" s="2" t="s">
        <v>12005</v>
      </c>
      <c r="C4957" s="2" t="s">
        <v>25</v>
      </c>
      <c r="D4957" s="2" t="s">
        <v>40</v>
      </c>
      <c r="E4957" s="3" t="s">
        <v>66</v>
      </c>
      <c r="F4957" s="3" t="s">
        <v>67</v>
      </c>
      <c r="G4957" s="3" t="s">
        <v>225</v>
      </c>
      <c r="H4957" s="2" t="s">
        <v>55</v>
      </c>
      <c r="I4957" s="2" t="s">
        <v>12006</v>
      </c>
      <c r="J4957" s="3" t="str">
        <f>HYPERLINK("https://www.boe.es/gazeta/dias/1809/12/30/pdfs/GGB-1809-652.pdf#page=4","Abrir facsímil")</f>
        <v>Abrir facsímil</v>
      </c>
      <c r="K4957" s="3" t="s">
        <v>57</v>
      </c>
    </row>
    <row r="4958" spans="1:11" ht="42" customHeight="1">
      <c r="A4958" s="2" t="s">
        <v>12007</v>
      </c>
      <c r="B4958" s="2" t="s">
        <v>12007</v>
      </c>
      <c r="C4958" s="2" t="s">
        <v>25</v>
      </c>
      <c r="D4958" s="2" t="s">
        <v>18</v>
      </c>
      <c r="E4958" s="3" t="s">
        <v>207</v>
      </c>
      <c r="F4958" s="3" t="s">
        <v>208</v>
      </c>
      <c r="G4958" s="3" t="s">
        <v>654</v>
      </c>
      <c r="H4958" s="2" t="s">
        <v>55</v>
      </c>
      <c r="I4958" s="2" t="s">
        <v>12008</v>
      </c>
      <c r="J4958" s="3" t="str">
        <f>HYPERLINK("https://www.boe.es/gazeta/dias/1809/09/16/pdfs/GMD-1809-260.pdf#page=3","Abrir facsímil")</f>
        <v>Abrir facsímil</v>
      </c>
      <c r="K4958" s="3" t="s">
        <v>57</v>
      </c>
    </row>
    <row r="4959" spans="1:11" ht="42" customHeight="1">
      <c r="A4959" s="2" t="s">
        <v>12009</v>
      </c>
      <c r="B4959" s="2" t="s">
        <v>12010</v>
      </c>
      <c r="C4959" s="2" t="s">
        <v>17</v>
      </c>
      <c r="D4959" s="2" t="s">
        <v>18</v>
      </c>
      <c r="E4959" s="3" t="s">
        <v>33</v>
      </c>
      <c r="F4959" s="3" t="s">
        <v>34</v>
      </c>
      <c r="G4959" s="3" t="s">
        <v>595</v>
      </c>
      <c r="H4959" s="2" t="s">
        <v>55</v>
      </c>
      <c r="I4959" s="2" t="s">
        <v>12011</v>
      </c>
      <c r="J4959" s="3" t="str">
        <f>HYPERLINK("https://www.boe.es/gazeta/dias/1809/12/19/pdfs/GGB-1809-602.pdf#page=7","Abrir facsímil")</f>
        <v>Abrir facsímil</v>
      </c>
      <c r="K4959" s="3" t="s">
        <v>57</v>
      </c>
    </row>
    <row r="4960" spans="1:11" ht="42" customHeight="1">
      <c r="A4960" s="2" t="s">
        <v>12012</v>
      </c>
      <c r="B4960" s="2" t="s">
        <v>12013</v>
      </c>
      <c r="C4960" s="2" t="s">
        <v>25</v>
      </c>
      <c r="D4960" s="2" t="s">
        <v>72</v>
      </c>
      <c r="E4960" s="3" t="s">
        <v>147</v>
      </c>
      <c r="F4960" s="3" t="s">
        <v>562</v>
      </c>
      <c r="G4960" s="3" t="s">
        <v>10615</v>
      </c>
      <c r="H4960" s="2" t="s">
        <v>55</v>
      </c>
      <c r="I4960" s="2" t="s">
        <v>12014</v>
      </c>
      <c r="J4960" s="3" t="str">
        <f>HYPERLINK("https://www.boe.es/gazeta/dias/1809/10/07/pdfs/GGB-H-1809-292.pdf#page=3","Abrir facsímil")</f>
        <v>Abrir facsímil</v>
      </c>
      <c r="K4960" s="3" t="s">
        <v>57</v>
      </c>
    </row>
    <row r="4961" spans="1:11" ht="42" customHeight="1">
      <c r="A4961" s="2" t="s">
        <v>12015</v>
      </c>
      <c r="B4961" s="2" t="s">
        <v>12015</v>
      </c>
      <c r="C4961" s="2" t="s">
        <v>25</v>
      </c>
      <c r="D4961" s="2" t="s">
        <v>107</v>
      </c>
      <c r="E4961" s="3" t="s">
        <v>1856</v>
      </c>
      <c r="F4961" s="3" t="s">
        <v>1857</v>
      </c>
      <c r="G4961" s="3" t="s">
        <v>1504</v>
      </c>
      <c r="H4961" s="2" t="s">
        <v>55</v>
      </c>
      <c r="I4961" s="2" t="s">
        <v>12016</v>
      </c>
      <c r="J4961" s="3" t="str">
        <f>HYPERLINK("https://www.boe.es/gazeta/dias/1809/07/12/pdfs/GMD-1809-193.pdf#page=4","Abrir facsímil")</f>
        <v>Abrir facsímil</v>
      </c>
      <c r="K4961" s="3" t="s">
        <v>57</v>
      </c>
    </row>
    <row r="4962" spans="1:11" ht="42" customHeight="1">
      <c r="A4962" s="2" t="s">
        <v>12017</v>
      </c>
      <c r="B4962" s="2" t="s">
        <v>12018</v>
      </c>
      <c r="C4962" s="2" t="s">
        <v>131</v>
      </c>
      <c r="D4962" s="2" t="s">
        <v>26</v>
      </c>
      <c r="E4962" s="3" t="s">
        <v>515</v>
      </c>
      <c r="F4962" s="3" t="s">
        <v>516</v>
      </c>
      <c r="G4962" s="3" t="s">
        <v>1380</v>
      </c>
      <c r="H4962" s="2" t="s">
        <v>55</v>
      </c>
      <c r="I4962" s="2" t="s">
        <v>12019</v>
      </c>
      <c r="J4962" s="3" t="str">
        <f>HYPERLINK("https://www.boe.es/gazeta/dias/1809/09/02/pdfs/GMD-1809-246.pdf#page=3","Abrir facsímil")</f>
        <v>Abrir facsímil</v>
      </c>
      <c r="K4962" s="3" t="s">
        <v>57</v>
      </c>
    </row>
    <row r="4963" spans="1:11" ht="42" customHeight="1">
      <c r="A4963" s="2" t="s">
        <v>12020</v>
      </c>
      <c r="B4963" s="2" t="s">
        <v>12020</v>
      </c>
      <c r="C4963" s="2" t="s">
        <v>47</v>
      </c>
      <c r="D4963" s="2" t="s">
        <v>18</v>
      </c>
      <c r="E4963" s="3" t="s">
        <v>1856</v>
      </c>
      <c r="F4963" s="3" t="s">
        <v>1857</v>
      </c>
      <c r="G4963" s="3" t="s">
        <v>9491</v>
      </c>
      <c r="H4963" s="2" t="s">
        <v>55</v>
      </c>
      <c r="I4963" s="2" t="s">
        <v>12021</v>
      </c>
      <c r="J4963" s="3" t="str">
        <f>HYPERLINK("https://www.boe.es/gazeta/dias/1809/07/12/pdfs/GMD-1809-193.pdf#page=2","Abrir facsímil")</f>
        <v>Abrir facsímil</v>
      </c>
      <c r="K4963" s="3" t="s">
        <v>57</v>
      </c>
    </row>
    <row r="4964" spans="1:11" ht="42" customHeight="1">
      <c r="A4964" s="2" t="s">
        <v>12022</v>
      </c>
      <c r="B4964" s="2" t="s">
        <v>12022</v>
      </c>
      <c r="C4964" s="2" t="s">
        <v>25</v>
      </c>
      <c r="D4964" s="2" t="s">
        <v>18</v>
      </c>
      <c r="E4964" s="3" t="s">
        <v>1551</v>
      </c>
      <c r="F4964" s="3" t="s">
        <v>1552</v>
      </c>
      <c r="G4964" s="3" t="s">
        <v>906</v>
      </c>
      <c r="H4964" s="2" t="s">
        <v>55</v>
      </c>
      <c r="I4964" s="2" t="s">
        <v>12023</v>
      </c>
      <c r="J4964" s="3" t="str">
        <f>HYPERLINK("https://www.boe.es/gazeta/dias/1809/06/12/pdfs/GGB-1809-36.pdf#page=8","Abrir facsímil")</f>
        <v>Abrir facsímil</v>
      </c>
      <c r="K4964" s="3" t="s">
        <v>57</v>
      </c>
    </row>
    <row r="4965" spans="1:11" ht="42" customHeight="1">
      <c r="A4965" s="2" t="s">
        <v>12024</v>
      </c>
      <c r="B4965" s="2" t="s">
        <v>12025</v>
      </c>
      <c r="C4965" s="2" t="s">
        <v>25</v>
      </c>
      <c r="D4965" s="2" t="s">
        <v>26</v>
      </c>
      <c r="E4965" s="3" t="s">
        <v>143</v>
      </c>
      <c r="F4965" s="3" t="s">
        <v>705</v>
      </c>
      <c r="G4965" s="3" t="s">
        <v>225</v>
      </c>
      <c r="H4965" s="2" t="s">
        <v>55</v>
      </c>
      <c r="I4965" s="2" t="s">
        <v>12026</v>
      </c>
      <c r="J4965" s="3" t="str">
        <f>HYPERLINK("https://www.boe.es/gazeta/dias/1809/11/16/pdfs/GGB-H-1809-462.pdf#page=4","Abrir facsímil")</f>
        <v>Abrir facsímil</v>
      </c>
      <c r="K4965" s="3" t="s">
        <v>57</v>
      </c>
    </row>
    <row r="4966" spans="1:11" ht="42" customHeight="1">
      <c r="A4966" s="2" t="s">
        <v>12027</v>
      </c>
      <c r="B4966" s="2" t="s">
        <v>12028</v>
      </c>
      <c r="C4966" s="2" t="s">
        <v>25</v>
      </c>
      <c r="D4966" s="2" t="s">
        <v>26</v>
      </c>
      <c r="E4966" s="3" t="s">
        <v>621</v>
      </c>
      <c r="F4966" s="3" t="s">
        <v>622</v>
      </c>
      <c r="G4966" s="3" t="s">
        <v>623</v>
      </c>
      <c r="H4966" s="2" t="s">
        <v>55</v>
      </c>
      <c r="I4966" s="2" t="s">
        <v>12029</v>
      </c>
      <c r="J4966" s="3" t="str">
        <f>HYPERLINK("https://www.boe.es/gazeta/dias/1809/07/04/pdfs/GGB-1809-42.pdf#page=6","Abrir facsímil")</f>
        <v>Abrir facsímil</v>
      </c>
      <c r="K4966" s="3" t="s">
        <v>57</v>
      </c>
    </row>
    <row r="4967" spans="1:11" ht="42" customHeight="1">
      <c r="A4967" s="2" t="s">
        <v>12030</v>
      </c>
      <c r="B4967" s="2" t="s">
        <v>12031</v>
      </c>
      <c r="C4967" s="2" t="s">
        <v>17</v>
      </c>
      <c r="D4967" s="2" t="s">
        <v>72</v>
      </c>
      <c r="E4967" s="3" t="s">
        <v>243</v>
      </c>
      <c r="F4967" s="3" t="s">
        <v>244</v>
      </c>
      <c r="G4967" s="3" t="s">
        <v>110</v>
      </c>
      <c r="H4967" s="2" t="s">
        <v>55</v>
      </c>
      <c r="I4967" s="2" t="s">
        <v>12032</v>
      </c>
      <c r="J4967" s="3" t="str">
        <f>HYPERLINK("https://www.boe.es/gazeta/dias/1809/02/17/pdfs/GGB-G-1809-8.pdf#page=6","Abrir facsímil")</f>
        <v>Abrir facsímil</v>
      </c>
      <c r="K4967" s="3" t="s">
        <v>57</v>
      </c>
    </row>
    <row r="4968" spans="1:11" ht="42" customHeight="1">
      <c r="A4968" s="2" t="s">
        <v>12033</v>
      </c>
      <c r="B4968" s="2" t="s">
        <v>12033</v>
      </c>
      <c r="C4968" s="2" t="s">
        <v>17</v>
      </c>
      <c r="D4968" s="2" t="s">
        <v>40</v>
      </c>
      <c r="E4968" s="3" t="s">
        <v>211</v>
      </c>
      <c r="F4968" s="3" t="s">
        <v>212</v>
      </c>
      <c r="G4968" s="3" t="s">
        <v>872</v>
      </c>
      <c r="H4968" s="2" t="s">
        <v>55</v>
      </c>
      <c r="I4968" s="2" t="s">
        <v>12034</v>
      </c>
      <c r="J4968" s="3" t="str">
        <f>HYPERLINK("https://www.boe.es/gazeta/dias/1809/10/27/pdfs/GMD-1809-301.pdf#page=1","Abrir facsímil")</f>
        <v>Abrir facsímil</v>
      </c>
      <c r="K4968" s="3" t="s">
        <v>57</v>
      </c>
    </row>
    <row r="4969" spans="1:11" ht="42" customHeight="1">
      <c r="A4969" s="2" t="s">
        <v>12033</v>
      </c>
      <c r="B4969" s="2" t="s">
        <v>12033</v>
      </c>
      <c r="C4969" s="2" t="s">
        <v>25</v>
      </c>
      <c r="D4969" s="2" t="s">
        <v>40</v>
      </c>
      <c r="E4969" s="3" t="s">
        <v>216</v>
      </c>
      <c r="F4969" s="3" t="s">
        <v>217</v>
      </c>
      <c r="G4969" s="3" t="s">
        <v>75</v>
      </c>
      <c r="H4969" s="2" t="s">
        <v>55</v>
      </c>
      <c r="I4969" s="2" t="s">
        <v>12035</v>
      </c>
      <c r="J4969" s="3" t="str">
        <f>HYPERLINK("https://www.boe.es/gazeta/dias/1809/12/05/pdfs/GGB-H-1809-542.pdf#page=2","Abrir facsímil")</f>
        <v>Abrir facsímil</v>
      </c>
      <c r="K4969" s="3" t="s">
        <v>57</v>
      </c>
    </row>
    <row r="4970" spans="1:11" ht="42" customHeight="1">
      <c r="A4970" s="2" t="s">
        <v>12036</v>
      </c>
      <c r="B4970" s="2" t="s">
        <v>12037</v>
      </c>
      <c r="C4970" s="2" t="s">
        <v>131</v>
      </c>
      <c r="D4970" s="2" t="s">
        <v>18</v>
      </c>
      <c r="E4970" s="3" t="s">
        <v>2060</v>
      </c>
      <c r="F4970" s="3" t="s">
        <v>2061</v>
      </c>
      <c r="G4970" s="3" t="s">
        <v>110</v>
      </c>
      <c r="H4970" s="2" t="s">
        <v>55</v>
      </c>
      <c r="I4970" s="2" t="s">
        <v>12038</v>
      </c>
      <c r="J4970" s="3" t="str">
        <f>HYPERLINK("https://www.boe.es/gazeta/dias/1809/07/18/pdfs/GGB-1809-46.pdf#page=12","Abrir facsímil")</f>
        <v>Abrir facsímil</v>
      </c>
      <c r="K4970" s="3" t="s">
        <v>57</v>
      </c>
    </row>
    <row r="4971" spans="1:11" ht="42" customHeight="1">
      <c r="A4971" s="2" t="s">
        <v>12036</v>
      </c>
      <c r="B4971" s="2" t="s">
        <v>12037</v>
      </c>
      <c r="C4971" s="2" t="s">
        <v>17</v>
      </c>
      <c r="D4971" s="2" t="s">
        <v>80</v>
      </c>
      <c r="E4971" s="3" t="s">
        <v>248</v>
      </c>
      <c r="F4971" s="3" t="s">
        <v>249</v>
      </c>
      <c r="G4971" s="3" t="s">
        <v>169</v>
      </c>
      <c r="H4971" s="2" t="s">
        <v>55</v>
      </c>
      <c r="I4971" s="2" t="s">
        <v>12039</v>
      </c>
      <c r="J4971" s="3" t="str">
        <f>HYPERLINK("https://www.boe.es/gazeta/dias/1809/07/26/pdfs/GGB-1809-48E.pdf#page=11","Abrir facsímil")</f>
        <v>Abrir facsímil</v>
      </c>
      <c r="K4971" s="3" t="s">
        <v>57</v>
      </c>
    </row>
    <row r="4972" spans="1:11" ht="42" customHeight="1">
      <c r="A4972" s="2" t="s">
        <v>12040</v>
      </c>
      <c r="B4972" s="2" t="s">
        <v>12040</v>
      </c>
      <c r="C4972" s="2" t="s">
        <v>25</v>
      </c>
      <c r="D4972" s="2" t="s">
        <v>26</v>
      </c>
      <c r="E4972" s="3" t="s">
        <v>1648</v>
      </c>
      <c r="F4972" s="3" t="s">
        <v>1649</v>
      </c>
      <c r="G4972" s="3" t="s">
        <v>1935</v>
      </c>
      <c r="H4972" s="2" t="s">
        <v>55</v>
      </c>
      <c r="I4972" s="2" t="s">
        <v>12041</v>
      </c>
      <c r="J4972" s="3" t="str">
        <f>HYPERLINK("https://www.boe.es/gazeta/dias/1809/05/16/pdfs/GMD-1809-136.pdf#page=1","Abrir facsímil")</f>
        <v>Abrir facsímil</v>
      </c>
      <c r="K4972" s="3" t="s">
        <v>57</v>
      </c>
    </row>
    <row r="4973" spans="1:11" ht="42" customHeight="1">
      <c r="A4973" s="2" t="s">
        <v>12042</v>
      </c>
      <c r="B4973" s="2" t="s">
        <v>12042</v>
      </c>
      <c r="C4973" s="2" t="s">
        <v>25</v>
      </c>
      <c r="D4973" s="2" t="s">
        <v>72</v>
      </c>
      <c r="E4973" s="3" t="s">
        <v>118</v>
      </c>
      <c r="F4973" s="3" t="s">
        <v>819</v>
      </c>
      <c r="G4973" s="3" t="s">
        <v>820</v>
      </c>
      <c r="H4973" s="2" t="s">
        <v>55</v>
      </c>
      <c r="I4973" s="2" t="s">
        <v>12043</v>
      </c>
      <c r="J4973" s="3" t="str">
        <f>HYPERLINK("https://www.boe.es/gazeta/dias/1809/09/07/pdfs/GGB-H-1809-162.pdf#page=5","Abrir facsímil")</f>
        <v>Abrir facsímil</v>
      </c>
      <c r="K4973" s="3" t="s">
        <v>57</v>
      </c>
    </row>
    <row r="4974" spans="1:11" ht="42" customHeight="1">
      <c r="A4974" s="2" t="s">
        <v>12044</v>
      </c>
      <c r="B4974" s="2" t="s">
        <v>12044</v>
      </c>
      <c r="C4974" s="2" t="s">
        <v>47</v>
      </c>
      <c r="D4974" s="2" t="s">
        <v>18</v>
      </c>
      <c r="E4974" s="3" t="s">
        <v>11616</v>
      </c>
      <c r="F4974" s="3" t="s">
        <v>11617</v>
      </c>
      <c r="G4974" s="3" t="s">
        <v>234</v>
      </c>
      <c r="H4974" s="2" t="s">
        <v>55</v>
      </c>
      <c r="I4974" s="2" t="s">
        <v>12045</v>
      </c>
      <c r="J4974" s="3" t="str">
        <f>HYPERLINK("https://www.boe.es/gazeta/dias/1809/04/18/pdfs/GMD-1809-108.pdf#page=4","Abrir facsímil")</f>
        <v>Abrir facsímil</v>
      </c>
      <c r="K4974" s="3" t="s">
        <v>57</v>
      </c>
    </row>
    <row r="4975" spans="1:11" ht="42" customHeight="1">
      <c r="A4975" s="2" t="s">
        <v>12046</v>
      </c>
      <c r="B4975" s="2" t="s">
        <v>12047</v>
      </c>
      <c r="C4975" s="2" t="s">
        <v>17</v>
      </c>
      <c r="D4975" s="2" t="s">
        <v>18</v>
      </c>
      <c r="E4975" s="3" t="s">
        <v>33</v>
      </c>
      <c r="F4975" s="3" t="s">
        <v>34</v>
      </c>
      <c r="G4975" s="3" t="s">
        <v>493</v>
      </c>
      <c r="H4975" s="2" t="s">
        <v>55</v>
      </c>
      <c r="I4975" s="2" t="s">
        <v>12048</v>
      </c>
      <c r="J4975" s="3" t="str">
        <f>HYPERLINK("https://www.boe.es/gazeta/dias/1809/12/19/pdfs/GGB-1809-602.pdf#page=6","Abrir facsímil")</f>
        <v>Abrir facsímil</v>
      </c>
      <c r="K4975" s="3" t="s">
        <v>57</v>
      </c>
    </row>
    <row r="4976" spans="1:11" ht="42" customHeight="1">
      <c r="A4976" s="2" t="s">
        <v>12049</v>
      </c>
      <c r="B4976" s="2" t="s">
        <v>12049</v>
      </c>
      <c r="C4976" s="2" t="s">
        <v>25</v>
      </c>
      <c r="D4976" s="2" t="s">
        <v>26</v>
      </c>
      <c r="E4976" s="3" t="s">
        <v>1786</v>
      </c>
      <c r="F4976" s="3" t="s">
        <v>1787</v>
      </c>
      <c r="G4976" s="3" t="s">
        <v>1788</v>
      </c>
      <c r="H4976" s="2" t="s">
        <v>55</v>
      </c>
      <c r="I4976" s="2" t="s">
        <v>12050</v>
      </c>
      <c r="J4976" s="3" t="str">
        <f>HYPERLINK("https://www.boe.es/gazeta/dias/1809/08/24/pdfs/GMD-1809-237.pdf#page=1","Abrir facsímil")</f>
        <v>Abrir facsímil</v>
      </c>
      <c r="K4976" s="3" t="s">
        <v>57</v>
      </c>
    </row>
    <row r="4977" spans="1:11" ht="42" customHeight="1">
      <c r="A4977" s="2" t="s">
        <v>12051</v>
      </c>
      <c r="B4977" s="2" t="s">
        <v>12052</v>
      </c>
      <c r="C4977" s="2" t="s">
        <v>79</v>
      </c>
      <c r="D4977" s="2" t="s">
        <v>18</v>
      </c>
      <c r="E4977" s="3" t="s">
        <v>327</v>
      </c>
      <c r="F4977" s="3" t="s">
        <v>328</v>
      </c>
      <c r="G4977" s="3" t="s">
        <v>329</v>
      </c>
      <c r="H4977" s="2" t="s">
        <v>55</v>
      </c>
      <c r="I4977" s="2" t="s">
        <v>12053</v>
      </c>
      <c r="J4977" s="3" t="str">
        <f>HYPERLINK("https://www.boe.es/gazeta/dias/1809/09/14/pdfs/GGB-1809-192.pdf#page=8","Abrir facsímil")</f>
        <v>Abrir facsímil</v>
      </c>
      <c r="K4977" s="3" t="s">
        <v>57</v>
      </c>
    </row>
    <row r="4978" spans="1:11" ht="42" customHeight="1">
      <c r="A4978" s="2" t="s">
        <v>12054</v>
      </c>
      <c r="B4978" s="2" t="s">
        <v>12054</v>
      </c>
      <c r="C4978" s="2" t="s">
        <v>25</v>
      </c>
      <c r="D4978" s="2" t="s">
        <v>26</v>
      </c>
      <c r="E4978" s="3" t="s">
        <v>152</v>
      </c>
      <c r="F4978" s="3" t="s">
        <v>2067</v>
      </c>
      <c r="G4978" s="3" t="s">
        <v>75</v>
      </c>
      <c r="H4978" s="2" t="s">
        <v>55</v>
      </c>
      <c r="I4978" s="2" t="s">
        <v>12055</v>
      </c>
      <c r="J4978" s="3" t="str">
        <f>HYPERLINK("https://www.boe.es/gazeta/dias/1809/08/26/pdfs/GMD-1809-239.pdf#page=2","Abrir facsímil")</f>
        <v>Abrir facsímil</v>
      </c>
      <c r="K4978" s="3" t="s">
        <v>57</v>
      </c>
    </row>
    <row r="4979" spans="1:11" ht="42" customHeight="1">
      <c r="A4979" s="2" t="s">
        <v>12056</v>
      </c>
      <c r="B4979" s="2" t="s">
        <v>12056</v>
      </c>
      <c r="C4979" s="2" t="s">
        <v>25</v>
      </c>
      <c r="D4979" s="2" t="s">
        <v>40</v>
      </c>
      <c r="E4979" s="3" t="s">
        <v>2331</v>
      </c>
      <c r="F4979" s="3" t="s">
        <v>2332</v>
      </c>
      <c r="G4979" s="3" t="s">
        <v>374</v>
      </c>
      <c r="H4979" s="2" t="s">
        <v>55</v>
      </c>
      <c r="I4979" s="2" t="s">
        <v>12057</v>
      </c>
      <c r="J4979" s="3" t="str">
        <f>HYPERLINK("https://www.boe.es/gazeta/dias/1809/03/22/pdfs/GMD-1809-81.pdf#page=4","Abrir facsímil")</f>
        <v>Abrir facsímil</v>
      </c>
      <c r="K4979" s="3" t="s">
        <v>57</v>
      </c>
    </row>
    <row r="4980" spans="1:11" ht="42" customHeight="1">
      <c r="A4980" s="2" t="s">
        <v>12058</v>
      </c>
      <c r="B4980" s="2" t="s">
        <v>12058</v>
      </c>
      <c r="C4980" s="2" t="s">
        <v>25</v>
      </c>
      <c r="D4980" s="2" t="s">
        <v>18</v>
      </c>
      <c r="E4980" s="3" t="s">
        <v>508</v>
      </c>
      <c r="F4980" s="3" t="s">
        <v>509</v>
      </c>
      <c r="G4980" s="3" t="s">
        <v>11973</v>
      </c>
      <c r="H4980" s="2" t="s">
        <v>55</v>
      </c>
      <c r="I4980" s="2" t="s">
        <v>12059</v>
      </c>
      <c r="J4980" s="3" t="str">
        <f>HYPERLINK("https://www.boe.es/gazeta/dias/1809/06/21/pdfs/GMD-1809-172.pdf#page=1","Abrir facsímil")</f>
        <v>Abrir facsímil</v>
      </c>
      <c r="K4980" s="3" t="s">
        <v>57</v>
      </c>
    </row>
    <row r="4981" spans="1:11" ht="42" customHeight="1">
      <c r="A4981" s="2" t="s">
        <v>12060</v>
      </c>
      <c r="B4981" s="2" t="s">
        <v>12061</v>
      </c>
      <c r="C4981" s="2" t="s">
        <v>25</v>
      </c>
      <c r="D4981" s="2" t="s">
        <v>26</v>
      </c>
      <c r="E4981" s="3" t="s">
        <v>108</v>
      </c>
      <c r="F4981" s="3" t="s">
        <v>109</v>
      </c>
      <c r="G4981" s="3" t="s">
        <v>110</v>
      </c>
      <c r="H4981" s="2" t="s">
        <v>55</v>
      </c>
      <c r="I4981" s="2" t="s">
        <v>12062</v>
      </c>
      <c r="J4981" s="3" t="str">
        <f>HYPERLINK("https://www.boe.es/gazeta/dias/1809/09/08/pdfs/GMD-1809-252.pdf#page=2","Abrir facsímil")</f>
        <v>Abrir facsímil</v>
      </c>
      <c r="K4981" s="3" t="s">
        <v>57</v>
      </c>
    </row>
    <row r="4982" spans="1:11" ht="42" customHeight="1">
      <c r="A4982" s="2" t="s">
        <v>12063</v>
      </c>
      <c r="B4982" s="2" t="s">
        <v>12063</v>
      </c>
      <c r="C4982" s="2" t="s">
        <v>25</v>
      </c>
      <c r="D4982" s="2" t="s">
        <v>18</v>
      </c>
      <c r="E4982" s="3" t="s">
        <v>458</v>
      </c>
      <c r="F4982" s="3" t="s">
        <v>459</v>
      </c>
      <c r="G4982" s="3" t="s">
        <v>4673</v>
      </c>
      <c r="H4982" s="2" t="s">
        <v>55</v>
      </c>
      <c r="I4982" s="2" t="s">
        <v>12064</v>
      </c>
      <c r="J4982" s="3" t="str">
        <f>HYPERLINK("https://www.boe.es/gazeta/dias/1809/03/14/pdfs/GMD-1809-73.pdf#page=1","Abrir facsímil")</f>
        <v>Abrir facsímil</v>
      </c>
      <c r="K4982" s="3" t="s">
        <v>57</v>
      </c>
    </row>
    <row r="4983" spans="1:11" ht="42" customHeight="1">
      <c r="A4983" s="2" t="s">
        <v>12065</v>
      </c>
      <c r="B4983" s="2" t="s">
        <v>12065</v>
      </c>
      <c r="C4983" s="2" t="s">
        <v>25</v>
      </c>
      <c r="D4983" s="2" t="s">
        <v>107</v>
      </c>
      <c r="E4983" s="3" t="s">
        <v>167</v>
      </c>
      <c r="F4983" s="3" t="s">
        <v>168</v>
      </c>
      <c r="G4983" s="3" t="s">
        <v>62</v>
      </c>
      <c r="H4983" s="2" t="s">
        <v>55</v>
      </c>
      <c r="I4983" s="2" t="s">
        <v>12066</v>
      </c>
      <c r="J4983" s="3" t="str">
        <f>HYPERLINK("https://www.boe.es/gazeta/dias/1809/06/19/pdfs/GGB-1809-38.pdf#page=1","Abrir facsímil")</f>
        <v>Abrir facsímil</v>
      </c>
      <c r="K4983" s="3" t="s">
        <v>57</v>
      </c>
    </row>
    <row r="4984" spans="1:11" ht="42" customHeight="1">
      <c r="A4984" s="2" t="s">
        <v>12067</v>
      </c>
      <c r="B4984" s="2" t="s">
        <v>12067</v>
      </c>
      <c r="C4984" s="2" t="s">
        <v>25</v>
      </c>
      <c r="D4984" s="2" t="s">
        <v>72</v>
      </c>
      <c r="E4984" s="3" t="s">
        <v>1514</v>
      </c>
      <c r="F4984" s="3" t="s">
        <v>1515</v>
      </c>
      <c r="G4984" s="3" t="s">
        <v>239</v>
      </c>
      <c r="H4984" s="2" t="s">
        <v>55</v>
      </c>
      <c r="I4984" s="2" t="s">
        <v>12068</v>
      </c>
      <c r="J4984" s="3" t="str">
        <f>HYPERLINK("https://www.boe.es/gazeta/dias/1809/04/17/pdfs/GGB-G-1809-19.pdf#page=5","Abrir facsímil")</f>
        <v>Abrir facsímil</v>
      </c>
      <c r="K4984" s="3" t="s">
        <v>57</v>
      </c>
    </row>
    <row r="4985" spans="1:11" ht="42" customHeight="1">
      <c r="A4985" s="2" t="s">
        <v>12067</v>
      </c>
      <c r="B4985" s="2" t="s">
        <v>12067</v>
      </c>
      <c r="C4985" s="2" t="s">
        <v>25</v>
      </c>
      <c r="D4985" s="2" t="s">
        <v>72</v>
      </c>
      <c r="E4985" s="3" t="s">
        <v>113</v>
      </c>
      <c r="F4985" s="3" t="s">
        <v>3549</v>
      </c>
      <c r="G4985" s="3" t="s">
        <v>62</v>
      </c>
      <c r="H4985" s="2" t="s">
        <v>55</v>
      </c>
      <c r="I4985" s="2" t="s">
        <v>12069</v>
      </c>
      <c r="J4985" s="3" t="str">
        <f>HYPERLINK("https://www.boe.es/gazeta/dias/1809/04/24/pdfs/GGB-G-1809-21.pdf#page=1","Abrir facsímil")</f>
        <v>Abrir facsímil</v>
      </c>
      <c r="K4985" s="3" t="s">
        <v>57</v>
      </c>
    </row>
    <row r="4986" spans="1:11" ht="42" customHeight="1">
      <c r="A4986" s="2" t="s">
        <v>12070</v>
      </c>
      <c r="B4986" s="2" t="s">
        <v>12070</v>
      </c>
      <c r="C4986" s="2" t="s">
        <v>25</v>
      </c>
      <c r="D4986" s="2" t="s">
        <v>18</v>
      </c>
      <c r="E4986" s="3" t="s">
        <v>1011</v>
      </c>
      <c r="F4986" s="3" t="s">
        <v>1511</v>
      </c>
      <c r="G4986" s="3" t="s">
        <v>62</v>
      </c>
      <c r="H4986" s="2" t="s">
        <v>55</v>
      </c>
      <c r="I4986" s="2" t="s">
        <v>12071</v>
      </c>
      <c r="J4986" s="3" t="str">
        <f>HYPERLINK("https://www.boe.es/gazeta/dias/1809/08/01/pdfs/GMD-1809-214.pdf#page=2","Abrir facsímil")</f>
        <v>Abrir facsímil</v>
      </c>
      <c r="K4986" s="3" t="s">
        <v>57</v>
      </c>
    </row>
    <row r="4987" spans="1:11" ht="42" customHeight="1">
      <c r="A4987" s="2" t="s">
        <v>12072</v>
      </c>
      <c r="B4987" s="2" t="s">
        <v>12073</v>
      </c>
      <c r="C4987" s="2" t="s">
        <v>17</v>
      </c>
      <c r="D4987" s="2" t="s">
        <v>72</v>
      </c>
      <c r="E4987" s="3" t="s">
        <v>243</v>
      </c>
      <c r="F4987" s="3" t="s">
        <v>244</v>
      </c>
      <c r="G4987" s="3" t="s">
        <v>525</v>
      </c>
      <c r="H4987" s="2" t="s">
        <v>55</v>
      </c>
      <c r="I4987" s="2" t="s">
        <v>12074</v>
      </c>
      <c r="J4987" s="3" t="str">
        <f>HYPERLINK("https://www.boe.es/gazeta/dias/1809/02/17/pdfs/GGB-G-1809-8.pdf#page=4","Abrir facsímil")</f>
        <v>Abrir facsímil</v>
      </c>
      <c r="K4987" s="3" t="s">
        <v>57</v>
      </c>
    </row>
    <row r="4988" spans="1:11" ht="42" customHeight="1">
      <c r="A4988" s="2" t="s">
        <v>12075</v>
      </c>
      <c r="B4988" s="2" t="s">
        <v>12076</v>
      </c>
      <c r="C4988" s="2" t="s">
        <v>17</v>
      </c>
      <c r="D4988" s="2" t="s">
        <v>18</v>
      </c>
      <c r="E4988" s="3" t="s">
        <v>712</v>
      </c>
      <c r="F4988" s="3" t="s">
        <v>713</v>
      </c>
      <c r="G4988" s="3" t="s">
        <v>154</v>
      </c>
      <c r="H4988" s="2" t="s">
        <v>55</v>
      </c>
      <c r="I4988" s="2" t="s">
        <v>12077</v>
      </c>
      <c r="J4988" s="3" t="str">
        <f>HYPERLINK("https://www.boe.es/gazeta/dias/1809/09/10/pdfs/GMD-1809-254.pdf#page=3","Abrir facsímil")</f>
        <v>Abrir facsímil</v>
      </c>
      <c r="K4988" s="3" t="s">
        <v>57</v>
      </c>
    </row>
    <row r="4989" spans="1:11" ht="42" customHeight="1">
      <c r="A4989" s="2" t="s">
        <v>12075</v>
      </c>
      <c r="B4989" s="2" t="s">
        <v>12076</v>
      </c>
      <c r="C4989" s="2" t="s">
        <v>39</v>
      </c>
      <c r="D4989" s="2" t="s">
        <v>18</v>
      </c>
      <c r="E4989" s="3" t="s">
        <v>102</v>
      </c>
      <c r="F4989" s="3" t="s">
        <v>103</v>
      </c>
      <c r="G4989" s="3" t="s">
        <v>1706</v>
      </c>
      <c r="H4989" s="2" t="s">
        <v>55</v>
      </c>
      <c r="I4989" s="2" t="s">
        <v>12078</v>
      </c>
      <c r="J4989" s="3" t="str">
        <f>HYPERLINK("https://www.boe.es/gazeta/dias/1809/09/28/pdfs/GGB-1809-252.pdf#page=5","Abrir facsímil")</f>
        <v>Abrir facsímil</v>
      </c>
      <c r="K4989" s="3" t="s">
        <v>57</v>
      </c>
    </row>
    <row r="4990" spans="1:11" ht="42" customHeight="1">
      <c r="A4990" s="2" t="s">
        <v>12079</v>
      </c>
      <c r="B4990" s="2" t="s">
        <v>12080</v>
      </c>
      <c r="C4990" s="2" t="s">
        <v>25</v>
      </c>
      <c r="D4990" s="2" t="s">
        <v>72</v>
      </c>
      <c r="E4990" s="3" t="s">
        <v>1206</v>
      </c>
      <c r="F4990" s="3" t="s">
        <v>1207</v>
      </c>
      <c r="G4990" s="3" t="s">
        <v>4236</v>
      </c>
      <c r="H4990" s="2" t="s">
        <v>55</v>
      </c>
      <c r="I4990" s="2" t="s">
        <v>12081</v>
      </c>
      <c r="J4990" s="3" t="str">
        <f>HYPERLINK("https://www.boe.es/gazeta/dias/1809/09/23/pdfs/GGB-H-1809-232.pdf#page=4","Abrir facsímil")</f>
        <v>Abrir facsímil</v>
      </c>
      <c r="K4990" s="3" t="s">
        <v>57</v>
      </c>
    </row>
    <row r="4991" spans="1:11" ht="42" customHeight="1">
      <c r="A4991" s="2" t="s">
        <v>12082</v>
      </c>
      <c r="B4991" s="2" t="s">
        <v>12083</v>
      </c>
      <c r="C4991" s="2" t="s">
        <v>25</v>
      </c>
      <c r="D4991" s="2" t="s">
        <v>107</v>
      </c>
      <c r="E4991" s="3" t="s">
        <v>712</v>
      </c>
      <c r="F4991" s="3" t="s">
        <v>713</v>
      </c>
      <c r="G4991" s="3" t="s">
        <v>120</v>
      </c>
      <c r="H4991" s="2" t="s">
        <v>55</v>
      </c>
      <c r="I4991" s="2" t="s">
        <v>12084</v>
      </c>
      <c r="J4991" s="3" t="str">
        <f>HYPERLINK("https://www.boe.es/gazeta/dias/1809/09/10/pdfs/GMD-1809-254.pdf#page=2","Abrir facsímil")</f>
        <v>Abrir facsímil</v>
      </c>
      <c r="K4991" s="3" t="s">
        <v>57</v>
      </c>
    </row>
    <row r="4992" spans="1:11" ht="42" customHeight="1">
      <c r="A4992" s="2" t="s">
        <v>12082</v>
      </c>
      <c r="B4992" s="2" t="s">
        <v>12083</v>
      </c>
      <c r="C4992" s="2" t="s">
        <v>131</v>
      </c>
      <c r="D4992" s="2" t="s">
        <v>18</v>
      </c>
      <c r="E4992" s="3" t="s">
        <v>102</v>
      </c>
      <c r="F4992" s="3" t="s">
        <v>103</v>
      </c>
      <c r="G4992" s="3" t="s">
        <v>1706</v>
      </c>
      <c r="H4992" s="2" t="s">
        <v>55</v>
      </c>
      <c r="I4992" s="2" t="s">
        <v>12085</v>
      </c>
      <c r="J4992" s="3" t="str">
        <f>HYPERLINK("https://www.boe.es/gazeta/dias/1809/09/28/pdfs/GGB-1809-252.pdf#page=5","Abrir facsímil")</f>
        <v>Abrir facsímil</v>
      </c>
      <c r="K4992" s="3" t="s">
        <v>57</v>
      </c>
    </row>
    <row r="4993" spans="1:11" ht="42" customHeight="1">
      <c r="A4993" s="2" t="s">
        <v>12086</v>
      </c>
      <c r="B4993" s="2" t="s">
        <v>12087</v>
      </c>
      <c r="C4993" s="2" t="s">
        <v>17</v>
      </c>
      <c r="D4993" s="2" t="s">
        <v>18</v>
      </c>
      <c r="E4993" s="3" t="s">
        <v>442</v>
      </c>
      <c r="F4993" s="3" t="s">
        <v>2171</v>
      </c>
      <c r="G4993" s="3" t="s">
        <v>2172</v>
      </c>
      <c r="H4993" s="2" t="s">
        <v>55</v>
      </c>
      <c r="I4993" s="2" t="s">
        <v>12088</v>
      </c>
      <c r="J4993" s="3" t="str">
        <f>HYPERLINK("https://www.boe.es/gazeta/dias/1809/09/05/pdfs/GMD-1809-249.pdf#page=4","Abrir facsímil")</f>
        <v>Abrir facsímil</v>
      </c>
      <c r="K4993" s="3" t="s">
        <v>57</v>
      </c>
    </row>
    <row r="4994" spans="1:11" ht="42" customHeight="1">
      <c r="A4994" s="2" t="s">
        <v>12089</v>
      </c>
      <c r="B4994" s="2" t="s">
        <v>12090</v>
      </c>
      <c r="C4994" s="2" t="s">
        <v>17</v>
      </c>
      <c r="D4994" s="2" t="s">
        <v>72</v>
      </c>
      <c r="E4994" s="3" t="s">
        <v>243</v>
      </c>
      <c r="F4994" s="3" t="s">
        <v>244</v>
      </c>
      <c r="G4994" s="3" t="s">
        <v>541</v>
      </c>
      <c r="H4994" s="2" t="s">
        <v>55</v>
      </c>
      <c r="I4994" s="2" t="s">
        <v>12091</v>
      </c>
      <c r="J4994" s="3" t="str">
        <f>HYPERLINK("https://www.boe.es/gazeta/dias/1809/02/17/pdfs/GGB-G-1809-8.pdf#page=8","Abrir facsímil")</f>
        <v>Abrir facsímil</v>
      </c>
      <c r="K4994" s="3" t="s">
        <v>57</v>
      </c>
    </row>
    <row r="4995" spans="1:11" ht="42" customHeight="1">
      <c r="A4995" s="2" t="s">
        <v>12092</v>
      </c>
      <c r="B4995" s="2" t="s">
        <v>12093</v>
      </c>
      <c r="C4995" s="2" t="s">
        <v>47</v>
      </c>
      <c r="D4995" s="2" t="s">
        <v>18</v>
      </c>
      <c r="E4995" s="3" t="s">
        <v>147</v>
      </c>
      <c r="F4995" s="3" t="s">
        <v>148</v>
      </c>
      <c r="G4995" s="3" t="s">
        <v>2046</v>
      </c>
      <c r="H4995" s="2" t="s">
        <v>55</v>
      </c>
      <c r="I4995" s="2" t="s">
        <v>12094</v>
      </c>
      <c r="J4995" s="3" t="str">
        <f>HYPERLINK("https://www.boe.es/gazeta/dias/1809/10/07/pdfs/GGB-1809-292.pdf#page=8","Abrir facsímil")</f>
        <v>Abrir facsímil</v>
      </c>
      <c r="K4995" s="3" t="s">
        <v>57</v>
      </c>
    </row>
    <row r="4996" spans="1:11" ht="42" customHeight="1">
      <c r="A4996" s="2" t="s">
        <v>12095</v>
      </c>
      <c r="B4996" s="2" t="s">
        <v>12096</v>
      </c>
      <c r="C4996" s="2" t="s">
        <v>17</v>
      </c>
      <c r="D4996" s="2" t="s">
        <v>18</v>
      </c>
      <c r="E4996" s="3" t="s">
        <v>599</v>
      </c>
      <c r="F4996" s="3" t="s">
        <v>600</v>
      </c>
      <c r="G4996" s="3" t="s">
        <v>601</v>
      </c>
      <c r="H4996" s="2" t="s">
        <v>55</v>
      </c>
      <c r="I4996" s="2" t="s">
        <v>12097</v>
      </c>
      <c r="J4996" s="3" t="str">
        <f>HYPERLINK("https://www.boe.es/gazeta/dias/1809/01/19/pdfs/GMD-1809-19.pdf#page=4","Abrir facsímil")</f>
        <v>Abrir facsímil</v>
      </c>
      <c r="K4996" s="3" t="s">
        <v>57</v>
      </c>
    </row>
    <row r="4997" spans="1:11" ht="42" customHeight="1">
      <c r="A4997" s="2" t="s">
        <v>12098</v>
      </c>
      <c r="B4997" s="2" t="s">
        <v>12099</v>
      </c>
      <c r="C4997" s="2" t="s">
        <v>79</v>
      </c>
      <c r="D4997" s="2" t="s">
        <v>18</v>
      </c>
      <c r="E4997" s="3" t="s">
        <v>102</v>
      </c>
      <c r="F4997" s="3" t="s">
        <v>103</v>
      </c>
      <c r="G4997" s="3" t="s">
        <v>830</v>
      </c>
      <c r="H4997" s="2" t="s">
        <v>55</v>
      </c>
      <c r="I4997" s="2" t="s">
        <v>12100</v>
      </c>
      <c r="J4997" s="3" t="str">
        <f>HYPERLINK("https://www.boe.es/gazeta/dias/1809/09/28/pdfs/GGB-1809-252.pdf#page=7","Abrir facsímil")</f>
        <v>Abrir facsímil</v>
      </c>
      <c r="K4997" s="3" t="s">
        <v>57</v>
      </c>
    </row>
    <row r="4998" spans="1:11" ht="42" customHeight="1">
      <c r="A4998" s="2" t="s">
        <v>12101</v>
      </c>
      <c r="B4998" s="2" t="s">
        <v>12101</v>
      </c>
      <c r="C4998" s="2" t="s">
        <v>17</v>
      </c>
      <c r="D4998" s="2" t="s">
        <v>80</v>
      </c>
      <c r="E4998" s="3" t="s">
        <v>1608</v>
      </c>
      <c r="F4998" s="3" t="s">
        <v>1609</v>
      </c>
      <c r="G4998" s="3" t="s">
        <v>89</v>
      </c>
      <c r="H4998" s="2" t="s">
        <v>55</v>
      </c>
      <c r="I4998" s="2" t="s">
        <v>12102</v>
      </c>
      <c r="J4998" s="3" t="str">
        <f>HYPERLINK("https://www.boe.es/gazeta/dias/1809/04/15/pdfs/GGB-1809-18E.pdf#page=7","Abrir facsímil")</f>
        <v>Abrir facsímil</v>
      </c>
      <c r="K4998" s="3" t="s">
        <v>57</v>
      </c>
    </row>
    <row r="4999" spans="1:11" ht="42" customHeight="1">
      <c r="A4999" s="2" t="s">
        <v>12103</v>
      </c>
      <c r="B4999" s="2" t="s">
        <v>12104</v>
      </c>
      <c r="C4999" s="2" t="s">
        <v>17</v>
      </c>
      <c r="D4999" s="2" t="s">
        <v>18</v>
      </c>
      <c r="E4999" s="3" t="s">
        <v>712</v>
      </c>
      <c r="F4999" s="3" t="s">
        <v>713</v>
      </c>
      <c r="G4999" s="3" t="s">
        <v>154</v>
      </c>
      <c r="H4999" s="2" t="s">
        <v>55</v>
      </c>
      <c r="I4999" s="2" t="s">
        <v>12105</v>
      </c>
      <c r="J4999" s="3" t="str">
        <f>HYPERLINK("https://www.boe.es/gazeta/dias/1809/09/10/pdfs/GMD-1809-254.pdf#page=3","Abrir facsímil")</f>
        <v>Abrir facsímil</v>
      </c>
      <c r="K4999" s="3" t="s">
        <v>57</v>
      </c>
    </row>
    <row r="5000" spans="1:11" ht="42" customHeight="1">
      <c r="A5000" s="2" t="s">
        <v>12103</v>
      </c>
      <c r="B5000" s="2" t="s">
        <v>12104</v>
      </c>
      <c r="C5000" s="2" t="s">
        <v>131</v>
      </c>
      <c r="D5000" s="2" t="s">
        <v>40</v>
      </c>
      <c r="E5000" s="3" t="s">
        <v>102</v>
      </c>
      <c r="F5000" s="3" t="s">
        <v>103</v>
      </c>
      <c r="G5000" s="3" t="s">
        <v>3074</v>
      </c>
      <c r="H5000" s="2" t="s">
        <v>55</v>
      </c>
      <c r="I5000" s="2" t="s">
        <v>12106</v>
      </c>
      <c r="J5000" s="3" t="str">
        <f>HYPERLINK("https://www.boe.es/gazeta/dias/1809/09/28/pdfs/GGB-1809-252.pdf#page=4","Abrir facsímil")</f>
        <v>Abrir facsímil</v>
      </c>
      <c r="K5000" s="3" t="s">
        <v>57</v>
      </c>
    </row>
    <row r="5001" spans="1:11" ht="42" customHeight="1">
      <c r="A5001" s="2" t="s">
        <v>12107</v>
      </c>
      <c r="B5001" s="2" t="s">
        <v>12108</v>
      </c>
      <c r="C5001" s="2" t="s">
        <v>25</v>
      </c>
      <c r="D5001" s="2" t="s">
        <v>107</v>
      </c>
      <c r="E5001" s="3" t="s">
        <v>1608</v>
      </c>
      <c r="F5001" s="3" t="s">
        <v>1609</v>
      </c>
      <c r="G5001" s="3" t="s">
        <v>2814</v>
      </c>
      <c r="H5001" s="2" t="s">
        <v>55</v>
      </c>
      <c r="I5001" s="2" t="s">
        <v>12109</v>
      </c>
      <c r="J5001" s="3" t="str">
        <f>HYPERLINK("https://www.boe.es/gazeta/dias/1809/04/15/pdfs/GGB-1809-18E.pdf#page=1","Abrir facsímil")</f>
        <v>Abrir facsímil</v>
      </c>
      <c r="K5001" s="3" t="s">
        <v>57</v>
      </c>
    </row>
    <row r="5002" spans="1:11" ht="42" customHeight="1">
      <c r="A5002" s="2" t="s">
        <v>12110</v>
      </c>
      <c r="B5002" s="2" t="s">
        <v>12110</v>
      </c>
      <c r="C5002" s="2" t="s">
        <v>79</v>
      </c>
      <c r="D5002" s="2" t="s">
        <v>72</v>
      </c>
      <c r="E5002" s="3" t="s">
        <v>289</v>
      </c>
      <c r="F5002" s="3" t="s">
        <v>2328</v>
      </c>
      <c r="G5002" s="3" t="s">
        <v>110</v>
      </c>
      <c r="H5002" s="2" t="s">
        <v>55</v>
      </c>
      <c r="I5002" s="2" t="s">
        <v>12111</v>
      </c>
      <c r="J5002" s="3" t="str">
        <f>HYPERLINK("https://www.boe.es/gazeta/dias/1809/05/15/pdfs/GGB-G-1809-27.pdf#page=8","Abrir facsímil")</f>
        <v>Abrir facsímil</v>
      </c>
      <c r="K5002" s="3" t="s">
        <v>57</v>
      </c>
    </row>
    <row r="5003" spans="1:11" ht="42" customHeight="1">
      <c r="A5003" s="2" t="s">
        <v>12112</v>
      </c>
      <c r="B5003" s="2" t="s">
        <v>12113</v>
      </c>
      <c r="C5003" s="2" t="s">
        <v>17</v>
      </c>
      <c r="D5003" s="2" t="s">
        <v>18</v>
      </c>
      <c r="E5003" s="3" t="s">
        <v>864</v>
      </c>
      <c r="F5003" s="3" t="s">
        <v>865</v>
      </c>
      <c r="G5003" s="3" t="s">
        <v>225</v>
      </c>
      <c r="H5003" s="2" t="s">
        <v>55</v>
      </c>
      <c r="I5003" s="2" t="s">
        <v>12114</v>
      </c>
      <c r="J5003" s="3" t="str">
        <f>HYPERLINK("https://www.boe.es/gazeta/dias/1809/08/31/pdfs/GMD-1809-244.pdf#page=4","Abrir facsímil")</f>
        <v>Abrir facsímil</v>
      </c>
      <c r="K5003" s="3" t="s">
        <v>57</v>
      </c>
    </row>
    <row r="5004" spans="1:11" ht="42" customHeight="1">
      <c r="A5004" s="2" t="s">
        <v>12115</v>
      </c>
      <c r="B5004" s="2" t="s">
        <v>12115</v>
      </c>
      <c r="C5004" s="2" t="s">
        <v>47</v>
      </c>
      <c r="D5004" s="2" t="s">
        <v>18</v>
      </c>
      <c r="E5004" s="3" t="s">
        <v>635</v>
      </c>
      <c r="F5004" s="3" t="s">
        <v>5226</v>
      </c>
      <c r="G5004" s="3" t="s">
        <v>21</v>
      </c>
      <c r="H5004" s="2" t="s">
        <v>55</v>
      </c>
      <c r="I5004" s="2" t="s">
        <v>12116</v>
      </c>
      <c r="J5004" s="3" t="str">
        <f>HYPERLINK("https://www.boe.es/gazeta/dias/1809/12/16/pdfs/GMD-1809-351.pdf#page=3","Abrir facsímil")</f>
        <v>Abrir facsímil</v>
      </c>
      <c r="K5004" s="3" t="s">
        <v>57</v>
      </c>
    </row>
    <row r="5005" spans="1:11" ht="42" customHeight="1">
      <c r="A5005" s="2" t="s">
        <v>12117</v>
      </c>
      <c r="B5005" s="2" t="s">
        <v>12118</v>
      </c>
      <c r="C5005" s="2" t="s">
        <v>288</v>
      </c>
      <c r="D5005" s="2" t="s">
        <v>80</v>
      </c>
      <c r="E5005" s="3" t="s">
        <v>179</v>
      </c>
      <c r="F5005" s="3" t="s">
        <v>180</v>
      </c>
      <c r="G5005" s="3" t="s">
        <v>239</v>
      </c>
      <c r="H5005" s="2" t="s">
        <v>55</v>
      </c>
      <c r="I5005" s="2" t="s">
        <v>12119</v>
      </c>
      <c r="J5005" s="3" t="str">
        <f>HYPERLINK("https://www.boe.es/gazeta/dias/1809/12/08/pdfs/GGB-1809-552E.pdf#page=2","Abrir facsímil")</f>
        <v>Abrir facsímil</v>
      </c>
      <c r="K5005" s="3" t="s">
        <v>57</v>
      </c>
    </row>
    <row r="5006" spans="1:11" ht="42" customHeight="1">
      <c r="A5006" s="2" t="s">
        <v>12120</v>
      </c>
      <c r="B5006" s="2" t="s">
        <v>12120</v>
      </c>
      <c r="C5006" s="2" t="s">
        <v>17</v>
      </c>
      <c r="D5006" s="2" t="s">
        <v>18</v>
      </c>
      <c r="E5006" s="3" t="s">
        <v>1468</v>
      </c>
      <c r="F5006" s="3" t="s">
        <v>1469</v>
      </c>
      <c r="G5006" s="3" t="s">
        <v>4249</v>
      </c>
      <c r="H5006" s="2" t="s">
        <v>55</v>
      </c>
      <c r="I5006" s="2" t="s">
        <v>12121</v>
      </c>
      <c r="J5006" s="3" t="str">
        <f>HYPERLINK("https://www.boe.es/gazeta/dias/1809/02/12/pdfs/GMD-1809-43.pdf#page=8","Abrir facsímil")</f>
        <v>Abrir facsímil</v>
      </c>
      <c r="K5006" s="3" t="s">
        <v>57</v>
      </c>
    </row>
    <row r="5007" spans="1:11" ht="42" customHeight="1">
      <c r="A5007" s="2" t="s">
        <v>12122</v>
      </c>
      <c r="B5007" s="2" t="s">
        <v>12123</v>
      </c>
      <c r="C5007" s="2" t="s">
        <v>25</v>
      </c>
      <c r="D5007" s="2" t="s">
        <v>18</v>
      </c>
      <c r="E5007" s="3" t="s">
        <v>163</v>
      </c>
      <c r="F5007" s="3" t="s">
        <v>478</v>
      </c>
      <c r="G5007" s="3" t="s">
        <v>75</v>
      </c>
      <c r="H5007" s="2" t="s">
        <v>55</v>
      </c>
      <c r="I5007" s="2" t="s">
        <v>12124</v>
      </c>
      <c r="J5007" s="3" t="str">
        <f>HYPERLINK("https://www.boe.es/gazeta/dias/1809/03/10/pdfs/GGB-1809-11.pdf#page=14","Abrir facsímil")</f>
        <v>Abrir facsímil</v>
      </c>
      <c r="K5007" s="3" t="s">
        <v>57</v>
      </c>
    </row>
    <row r="5008" spans="1:11" ht="42" customHeight="1">
      <c r="A5008" s="2" t="s">
        <v>12125</v>
      </c>
      <c r="B5008" s="2" t="s">
        <v>12126</v>
      </c>
      <c r="C5008" s="2" t="s">
        <v>17</v>
      </c>
      <c r="D5008" s="2" t="s">
        <v>107</v>
      </c>
      <c r="E5008" s="3" t="s">
        <v>515</v>
      </c>
      <c r="F5008" s="3" t="s">
        <v>516</v>
      </c>
      <c r="G5008" s="3" t="s">
        <v>120</v>
      </c>
      <c r="H5008" s="2" t="s">
        <v>55</v>
      </c>
      <c r="I5008" s="2" t="s">
        <v>12127</v>
      </c>
      <c r="J5008" s="3" t="str">
        <f>HYPERLINK("https://www.boe.es/gazeta/dias/1809/09/02/pdfs/GMD-1809-246.pdf#page=2","Abrir facsímil")</f>
        <v>Abrir facsímil</v>
      </c>
      <c r="K5008" s="3" t="s">
        <v>57</v>
      </c>
    </row>
    <row r="5009" spans="1:11" ht="42" customHeight="1">
      <c r="A5009" s="2" t="s">
        <v>12128</v>
      </c>
      <c r="B5009" s="2" t="s">
        <v>12128</v>
      </c>
      <c r="C5009" s="2" t="s">
        <v>25</v>
      </c>
      <c r="D5009" s="2" t="s">
        <v>18</v>
      </c>
      <c r="E5009" s="3" t="s">
        <v>3949</v>
      </c>
      <c r="F5009" s="3" t="s">
        <v>3950</v>
      </c>
      <c r="G5009" s="3" t="s">
        <v>816</v>
      </c>
      <c r="H5009" s="2" t="s">
        <v>55</v>
      </c>
      <c r="I5009" s="2" t="s">
        <v>12129</v>
      </c>
      <c r="J5009" s="3" t="str">
        <f>HYPERLINK("https://www.boe.es/gazeta/dias/1809/09/09/pdfs/GGB-1809-172.pdf#page=7","Abrir facsímil")</f>
        <v>Abrir facsímil</v>
      </c>
      <c r="K5009" s="3" t="s">
        <v>57</v>
      </c>
    </row>
    <row r="5010" spans="1:11" ht="42" customHeight="1">
      <c r="A5010" s="2" t="s">
        <v>12130</v>
      </c>
      <c r="B5010" s="2" t="s">
        <v>12130</v>
      </c>
      <c r="C5010" s="2" t="s">
        <v>25</v>
      </c>
      <c r="D5010" s="2" t="s">
        <v>18</v>
      </c>
      <c r="E5010" s="3" t="s">
        <v>445</v>
      </c>
      <c r="F5010" s="3" t="s">
        <v>446</v>
      </c>
      <c r="G5010" s="3" t="s">
        <v>62</v>
      </c>
      <c r="H5010" s="2" t="s">
        <v>55</v>
      </c>
      <c r="I5010" s="2" t="s">
        <v>12131</v>
      </c>
      <c r="J5010" s="3" t="str">
        <f>HYPERLINK("https://www.boe.es/gazeta/dias/1809/10/01/pdfs/GMD-1809-275.pdf#page=2","Abrir facsímil")</f>
        <v>Abrir facsímil</v>
      </c>
      <c r="K5010" s="3" t="s">
        <v>57</v>
      </c>
    </row>
    <row r="5011" spans="1:11" ht="42" customHeight="1">
      <c r="A5011" s="2" t="s">
        <v>12132</v>
      </c>
      <c r="B5011" s="2" t="s">
        <v>12132</v>
      </c>
      <c r="C5011" s="2" t="s">
        <v>25</v>
      </c>
      <c r="D5011" s="2" t="s">
        <v>26</v>
      </c>
      <c r="E5011" s="3" t="s">
        <v>2805</v>
      </c>
      <c r="F5011" s="3" t="s">
        <v>2806</v>
      </c>
      <c r="G5011" s="3" t="s">
        <v>234</v>
      </c>
      <c r="H5011" s="2" t="s">
        <v>55</v>
      </c>
      <c r="I5011" s="2" t="s">
        <v>12133</v>
      </c>
      <c r="J5011" s="3" t="str">
        <f>HYPERLINK("https://www.boe.es/gazeta/dias/1809/09/24/pdfs/GMD-1809-268.pdf#page=1","Abrir facsímil")</f>
        <v>Abrir facsímil</v>
      </c>
      <c r="K5011" s="3" t="s">
        <v>57</v>
      </c>
    </row>
    <row r="5012" spans="1:11" ht="42" customHeight="1">
      <c r="A5012" s="2" t="s">
        <v>12134</v>
      </c>
      <c r="B5012" s="2" t="s">
        <v>12134</v>
      </c>
      <c r="C5012" s="2" t="s">
        <v>25</v>
      </c>
      <c r="D5012" s="2" t="s">
        <v>18</v>
      </c>
      <c r="E5012" s="3" t="s">
        <v>327</v>
      </c>
      <c r="F5012" s="3" t="s">
        <v>328</v>
      </c>
      <c r="G5012" s="3" t="s">
        <v>21</v>
      </c>
      <c r="H5012" s="2" t="s">
        <v>55</v>
      </c>
      <c r="I5012" s="2" t="s">
        <v>12135</v>
      </c>
      <c r="J5012" s="3" t="str">
        <f>HYPERLINK("https://www.boe.es/gazeta/dias/1809/09/14/pdfs/GGB-1809-192.pdf#page=2","Abrir facsímil")</f>
        <v>Abrir facsímil</v>
      </c>
      <c r="K5012" s="3" t="s">
        <v>57</v>
      </c>
    </row>
    <row r="5013" spans="1:11" ht="42" customHeight="1">
      <c r="A5013" s="2" t="s">
        <v>12136</v>
      </c>
      <c r="B5013" s="2" t="s">
        <v>12136</v>
      </c>
      <c r="C5013" s="2" t="s">
        <v>25</v>
      </c>
      <c r="D5013" s="2" t="s">
        <v>26</v>
      </c>
      <c r="E5013" s="3" t="s">
        <v>1563</v>
      </c>
      <c r="F5013" s="3" t="s">
        <v>1564</v>
      </c>
      <c r="G5013" s="3" t="s">
        <v>12137</v>
      </c>
      <c r="H5013" s="2" t="s">
        <v>55</v>
      </c>
      <c r="I5013" s="2" t="s">
        <v>12138</v>
      </c>
      <c r="J5013" s="3" t="str">
        <f>HYPERLINK("https://www.boe.es/gazeta/dias/1809/07/29/pdfs/GMD-1809-211.pdf#page=1","Abrir facsímil")</f>
        <v>Abrir facsímil</v>
      </c>
      <c r="K5013" s="3" t="s">
        <v>57</v>
      </c>
    </row>
    <row r="5014" spans="1:11" ht="42" customHeight="1">
      <c r="A5014" s="2" t="s">
        <v>12139</v>
      </c>
      <c r="B5014" s="2" t="s">
        <v>12139</v>
      </c>
      <c r="C5014" s="2" t="s">
        <v>25</v>
      </c>
      <c r="D5014" s="2" t="s">
        <v>26</v>
      </c>
      <c r="E5014" s="3" t="s">
        <v>2414</v>
      </c>
      <c r="F5014" s="3" t="s">
        <v>2415</v>
      </c>
      <c r="G5014" s="3" t="s">
        <v>110</v>
      </c>
      <c r="H5014" s="2" t="s">
        <v>55</v>
      </c>
      <c r="I5014" s="2" t="s">
        <v>12140</v>
      </c>
      <c r="J5014" s="3" t="str">
        <f>HYPERLINK("https://www.boe.es/gazeta/dias/1809/11/18/pdfs/GMD-1809-323.pdf#page=2","Abrir facsímil")</f>
        <v>Abrir facsímil</v>
      </c>
      <c r="K5014" s="3" t="s">
        <v>57</v>
      </c>
    </row>
    <row r="5015" spans="1:11" ht="42" customHeight="1">
      <c r="A5015" s="2" t="s">
        <v>12141</v>
      </c>
      <c r="B5015" s="2" t="s">
        <v>12141</v>
      </c>
      <c r="C5015" s="2" t="s">
        <v>25</v>
      </c>
      <c r="D5015" s="2" t="s">
        <v>107</v>
      </c>
      <c r="E5015" s="3" t="s">
        <v>5140</v>
      </c>
      <c r="F5015" s="3" t="s">
        <v>5141</v>
      </c>
      <c r="G5015" s="3" t="s">
        <v>5142</v>
      </c>
      <c r="H5015" s="2" t="s">
        <v>55</v>
      </c>
      <c r="I5015" s="2" t="s">
        <v>12142</v>
      </c>
      <c r="J5015" s="3" t="str">
        <f>HYPERLINK("https://www.boe.es/gazeta/dias/1809/07/16/pdfs/GMD-1809-197.pdf#page=2","Abrir facsímil")</f>
        <v>Abrir facsímil</v>
      </c>
      <c r="K5015" s="3" t="s">
        <v>57</v>
      </c>
    </row>
    <row r="5016" spans="1:11" ht="42" customHeight="1">
      <c r="A5016" s="2" t="s">
        <v>12141</v>
      </c>
      <c r="B5016" s="2" t="s">
        <v>12141</v>
      </c>
      <c r="C5016" s="2" t="s">
        <v>25</v>
      </c>
      <c r="D5016" s="2" t="s">
        <v>26</v>
      </c>
      <c r="E5016" s="3" t="s">
        <v>384</v>
      </c>
      <c r="F5016" s="3" t="s">
        <v>385</v>
      </c>
      <c r="G5016" s="3" t="s">
        <v>120</v>
      </c>
      <c r="H5016" s="2" t="s">
        <v>55</v>
      </c>
      <c r="I5016" s="2" t="s">
        <v>12143</v>
      </c>
      <c r="J5016" s="3" t="str">
        <f>HYPERLINK("https://www.boe.es/gazeta/dias/1809/07/27/pdfs/GMD-1809-208.pdf#page=1","Abrir facsímil")</f>
        <v>Abrir facsímil</v>
      </c>
      <c r="K5016" s="3" t="s">
        <v>57</v>
      </c>
    </row>
    <row r="5017" spans="1:11" ht="42" customHeight="1">
      <c r="A5017" s="2" t="s">
        <v>12141</v>
      </c>
      <c r="B5017" s="2" t="s">
        <v>12141</v>
      </c>
      <c r="C5017" s="2" t="s">
        <v>25</v>
      </c>
      <c r="D5017" s="2" t="s">
        <v>18</v>
      </c>
      <c r="E5017" s="3" t="s">
        <v>663</v>
      </c>
      <c r="F5017" s="3" t="s">
        <v>664</v>
      </c>
      <c r="G5017" s="3" t="s">
        <v>110</v>
      </c>
      <c r="H5017" s="2" t="s">
        <v>55</v>
      </c>
      <c r="I5017" s="2" t="s">
        <v>12144</v>
      </c>
      <c r="J5017" s="3" t="str">
        <f>HYPERLINK("https://www.boe.es/gazeta/dias/1809/08/21/pdfs/GMD-1809-234.pdf#page=2","Abrir facsímil")</f>
        <v>Abrir facsímil</v>
      </c>
      <c r="K5017" s="3" t="s">
        <v>57</v>
      </c>
    </row>
    <row r="5018" spans="1:11" ht="42" customHeight="1">
      <c r="A5018" s="2" t="s">
        <v>12145</v>
      </c>
      <c r="B5018" s="2" t="s">
        <v>12145</v>
      </c>
      <c r="C5018" s="2" t="s">
        <v>25</v>
      </c>
      <c r="D5018" s="2" t="s">
        <v>107</v>
      </c>
      <c r="E5018" s="3" t="s">
        <v>322</v>
      </c>
      <c r="F5018" s="3" t="s">
        <v>435</v>
      </c>
      <c r="G5018" s="3" t="s">
        <v>654</v>
      </c>
      <c r="H5018" s="2" t="s">
        <v>55</v>
      </c>
      <c r="I5018" s="2" t="s">
        <v>12146</v>
      </c>
      <c r="J5018" s="3" t="str">
        <f>HYPERLINK("https://www.boe.es/gazeta/dias/1809/07/21/pdfs/GGB-1809-47.pdf#page=3","Abrir facsímil")</f>
        <v>Abrir facsímil</v>
      </c>
      <c r="K5018" s="3" t="s">
        <v>57</v>
      </c>
    </row>
    <row r="5019" spans="1:11" ht="42" customHeight="1">
      <c r="A5019" s="2" t="s">
        <v>12145</v>
      </c>
      <c r="B5019" s="2" t="s">
        <v>12145</v>
      </c>
      <c r="C5019" s="2" t="s">
        <v>25</v>
      </c>
      <c r="D5019" s="2" t="s">
        <v>18</v>
      </c>
      <c r="E5019" s="3" t="s">
        <v>1692</v>
      </c>
      <c r="F5019" s="3" t="s">
        <v>1693</v>
      </c>
      <c r="G5019" s="3" t="s">
        <v>129</v>
      </c>
      <c r="H5019" s="2" t="s">
        <v>55</v>
      </c>
      <c r="I5019" s="2" t="s">
        <v>12147</v>
      </c>
      <c r="J5019" s="3" t="str">
        <f>HYPERLINK("https://www.boe.es/gazeta/dias/1809/08/06/pdfs/GMD-1809-219.pdf#page=2","Abrir facsímil")</f>
        <v>Abrir facsímil</v>
      </c>
      <c r="K5019" s="3" t="s">
        <v>57</v>
      </c>
    </row>
    <row r="5020" spans="1:11" ht="42" customHeight="1">
      <c r="A5020" s="2" t="s">
        <v>12145</v>
      </c>
      <c r="B5020" s="2" t="s">
        <v>12145</v>
      </c>
      <c r="C5020" s="2" t="s">
        <v>131</v>
      </c>
      <c r="D5020" s="2" t="s">
        <v>26</v>
      </c>
      <c r="E5020" s="3" t="s">
        <v>660</v>
      </c>
      <c r="F5020" s="3" t="s">
        <v>661</v>
      </c>
      <c r="G5020" s="3" t="s">
        <v>129</v>
      </c>
      <c r="H5020" s="2" t="s">
        <v>55</v>
      </c>
      <c r="I5020" s="2" t="s">
        <v>12148</v>
      </c>
      <c r="J5020" s="3" t="str">
        <f>HYPERLINK("https://www.boe.es/gazeta/dias/1809/08/11/pdfs/GMD-1809-224.pdf#page=2","Abrir facsímil")</f>
        <v>Abrir facsímil</v>
      </c>
      <c r="K5020" s="3" t="s">
        <v>57</v>
      </c>
    </row>
    <row r="5021" spans="1:11" ht="42" customHeight="1">
      <c r="A5021" s="2" t="s">
        <v>12145</v>
      </c>
      <c r="B5021" s="2" t="s">
        <v>12145</v>
      </c>
      <c r="C5021" s="2" t="s">
        <v>25</v>
      </c>
      <c r="D5021" s="2" t="s">
        <v>26</v>
      </c>
      <c r="E5021" s="3" t="s">
        <v>152</v>
      </c>
      <c r="F5021" s="3" t="s">
        <v>153</v>
      </c>
      <c r="G5021" s="3" t="s">
        <v>2010</v>
      </c>
      <c r="H5021" s="2" t="s">
        <v>55</v>
      </c>
      <c r="I5021" s="2" t="s">
        <v>12149</v>
      </c>
      <c r="J5021" s="3" t="str">
        <f>HYPERLINK("https://www.boe.es/gazeta/dias/1809/08/26/pdfs/GGB-1809-112.pdf#page=4","Abrir facsímil")</f>
        <v>Abrir facsímil</v>
      </c>
      <c r="K5021" s="3" t="s">
        <v>57</v>
      </c>
    </row>
    <row r="5022" spans="1:11" ht="42" customHeight="1">
      <c r="A5022" s="2" t="s">
        <v>12150</v>
      </c>
      <c r="B5022" s="2" t="s">
        <v>12150</v>
      </c>
      <c r="C5022" s="2" t="s">
        <v>25</v>
      </c>
      <c r="D5022" s="2" t="s">
        <v>107</v>
      </c>
      <c r="E5022" s="3" t="s">
        <v>473</v>
      </c>
      <c r="F5022" s="3" t="s">
        <v>474</v>
      </c>
      <c r="G5022" s="3" t="s">
        <v>62</v>
      </c>
      <c r="H5022" s="2" t="s">
        <v>55</v>
      </c>
      <c r="I5022" s="2" t="s">
        <v>12151</v>
      </c>
      <c r="J5022" s="3" t="str">
        <f>HYPERLINK("https://www.boe.es/gazeta/dias/1809/12/28/pdfs/GMD-1809-363.pdf#page=1","Abrir facsímil")</f>
        <v>Abrir facsímil</v>
      </c>
      <c r="K5022" s="3" t="s">
        <v>57</v>
      </c>
    </row>
    <row r="5023" spans="1:11" ht="42" customHeight="1">
      <c r="A5023" s="2" t="s">
        <v>12152</v>
      </c>
      <c r="B5023" s="2" t="s">
        <v>12152</v>
      </c>
      <c r="C5023" s="2" t="s">
        <v>25</v>
      </c>
      <c r="D5023" s="2" t="s">
        <v>26</v>
      </c>
      <c r="E5023" s="3" t="s">
        <v>621</v>
      </c>
      <c r="F5023" s="3" t="s">
        <v>913</v>
      </c>
      <c r="G5023" s="3" t="s">
        <v>192</v>
      </c>
      <c r="H5023" s="2" t="s">
        <v>55</v>
      </c>
      <c r="I5023" s="2" t="s">
        <v>12153</v>
      </c>
      <c r="J5023" s="3" t="str">
        <f>HYPERLINK("https://www.boe.es/gazeta/dias/1809/07/04/pdfs/GMD-1809-185.pdf#page=3","Abrir facsímil")</f>
        <v>Abrir facsímil</v>
      </c>
      <c r="K5023" s="3" t="s">
        <v>57</v>
      </c>
    </row>
    <row r="5024" spans="1:11" ht="42" customHeight="1">
      <c r="A5024" s="2" t="s">
        <v>12154</v>
      </c>
      <c r="B5024" s="2" t="s">
        <v>12154</v>
      </c>
      <c r="C5024" s="2" t="s">
        <v>25</v>
      </c>
      <c r="D5024" s="2" t="s">
        <v>107</v>
      </c>
      <c r="E5024" s="3" t="s">
        <v>3031</v>
      </c>
      <c r="F5024" s="3" t="s">
        <v>3032</v>
      </c>
      <c r="G5024" s="3" t="s">
        <v>467</v>
      </c>
      <c r="H5024" s="2" t="s">
        <v>55</v>
      </c>
      <c r="I5024" s="2" t="s">
        <v>12155</v>
      </c>
      <c r="J5024" s="3" t="str">
        <f>HYPERLINK("https://www.boe.es/gazeta/dias/1809/08/18/pdfs/GMD-1809-231.pdf#page=3","Abrir facsímil")</f>
        <v>Abrir facsímil</v>
      </c>
      <c r="K5024" s="3" t="s">
        <v>57</v>
      </c>
    </row>
    <row r="5025" spans="1:11" ht="42" customHeight="1">
      <c r="A5025" s="2" t="s">
        <v>12156</v>
      </c>
      <c r="B5025" s="2" t="s">
        <v>12156</v>
      </c>
      <c r="C5025" s="2" t="s">
        <v>25</v>
      </c>
      <c r="D5025" s="2" t="s">
        <v>18</v>
      </c>
      <c r="E5025" s="3" t="s">
        <v>663</v>
      </c>
      <c r="F5025" s="3" t="s">
        <v>664</v>
      </c>
      <c r="G5025" s="3" t="s">
        <v>11195</v>
      </c>
      <c r="H5025" s="2" t="s">
        <v>55</v>
      </c>
      <c r="I5025" s="2" t="s">
        <v>12157</v>
      </c>
      <c r="J5025" s="3" t="str">
        <f>HYPERLINK("https://www.boe.es/gazeta/dias/1809/08/21/pdfs/GMD-1809-234.pdf#page=3","Abrir facsímil")</f>
        <v>Abrir facsímil</v>
      </c>
      <c r="K5025" s="3" t="s">
        <v>57</v>
      </c>
    </row>
    <row r="5026" spans="1:11" ht="42" customHeight="1">
      <c r="A5026" s="2" t="s">
        <v>12158</v>
      </c>
      <c r="B5026" s="2" t="s">
        <v>12158</v>
      </c>
      <c r="C5026" s="2" t="s">
        <v>25</v>
      </c>
      <c r="D5026" s="2" t="s">
        <v>18</v>
      </c>
      <c r="E5026" s="3" t="s">
        <v>1237</v>
      </c>
      <c r="F5026" s="3" t="s">
        <v>1238</v>
      </c>
      <c r="G5026" s="3" t="s">
        <v>110</v>
      </c>
      <c r="H5026" s="2" t="s">
        <v>55</v>
      </c>
      <c r="I5026" s="2" t="s">
        <v>12159</v>
      </c>
      <c r="J5026" s="3" t="str">
        <f>HYPERLINK("https://www.boe.es/gazeta/dias/1809/12/26/pdfs/GGB-1809-632.pdf#page=4","Abrir facsímil")</f>
        <v>Abrir facsímil</v>
      </c>
      <c r="K5026" s="3" t="s">
        <v>57</v>
      </c>
    </row>
    <row r="5027" spans="1:11" ht="42" customHeight="1">
      <c r="A5027" s="2" t="s">
        <v>12160</v>
      </c>
      <c r="B5027" s="2" t="s">
        <v>12161</v>
      </c>
      <c r="C5027" s="2" t="s">
        <v>17</v>
      </c>
      <c r="D5027" s="2" t="s">
        <v>72</v>
      </c>
      <c r="E5027" s="3" t="s">
        <v>1396</v>
      </c>
      <c r="F5027" s="3" t="s">
        <v>2370</v>
      </c>
      <c r="G5027" s="3" t="s">
        <v>239</v>
      </c>
      <c r="H5027" s="2" t="s">
        <v>55</v>
      </c>
      <c r="I5027" s="2" t="s">
        <v>12162</v>
      </c>
      <c r="J5027" s="3" t="str">
        <f>HYPERLINK("https://www.boe.es/gazeta/dias/1809/11/28/pdfs/GGB-H-1809-512.pdf#page=6","Abrir facsímil")</f>
        <v>Abrir facsímil</v>
      </c>
      <c r="K5027" s="3" t="s">
        <v>57</v>
      </c>
    </row>
    <row r="5028" spans="1:11" ht="42" customHeight="1">
      <c r="A5028" s="2" t="s">
        <v>12163</v>
      </c>
      <c r="B5028" s="2" t="s">
        <v>12163</v>
      </c>
      <c r="C5028" s="2" t="s">
        <v>25</v>
      </c>
      <c r="D5028" s="2" t="s">
        <v>26</v>
      </c>
      <c r="E5028" s="3" t="s">
        <v>1803</v>
      </c>
      <c r="F5028" s="3" t="s">
        <v>6955</v>
      </c>
      <c r="G5028" s="3" t="s">
        <v>6956</v>
      </c>
      <c r="H5028" s="2" t="s">
        <v>55</v>
      </c>
      <c r="I5028" s="2" t="s">
        <v>12164</v>
      </c>
      <c r="J5028" s="3" t="str">
        <f>HYPERLINK("https://www.boe.es/gazeta/dias/1809/10/12/pdfs/GGB-1809-312.pdf#page=5","Abrir facsímil")</f>
        <v>Abrir facsímil</v>
      </c>
      <c r="K5028" s="3" t="s">
        <v>57</v>
      </c>
    </row>
    <row r="5029" spans="1:11" ht="42" customHeight="1">
      <c r="A5029" s="2" t="s">
        <v>12165</v>
      </c>
      <c r="B5029" s="2" t="s">
        <v>12166</v>
      </c>
      <c r="C5029" s="2" t="s">
        <v>25</v>
      </c>
      <c r="D5029" s="2" t="s">
        <v>40</v>
      </c>
      <c r="E5029" s="3" t="s">
        <v>666</v>
      </c>
      <c r="F5029" s="3" t="s">
        <v>667</v>
      </c>
      <c r="G5029" s="3" t="s">
        <v>4762</v>
      </c>
      <c r="H5029" s="2" t="s">
        <v>55</v>
      </c>
      <c r="I5029" s="2" t="s">
        <v>12167</v>
      </c>
      <c r="J5029" s="3" t="str">
        <f>HYPERLINK("https://www.boe.es/gazeta/dias/1809/08/29/pdfs/GGB-1809-122.pdf#page=8","Abrir facsímil")</f>
        <v>Abrir facsímil</v>
      </c>
      <c r="K5029" s="3" t="s">
        <v>57</v>
      </c>
    </row>
    <row r="5030" spans="1:11" ht="42" customHeight="1">
      <c r="A5030" s="2" t="s">
        <v>12168</v>
      </c>
      <c r="B5030" s="2" t="s">
        <v>12168</v>
      </c>
      <c r="C5030" s="2" t="s">
        <v>17</v>
      </c>
      <c r="D5030" s="2" t="s">
        <v>107</v>
      </c>
      <c r="E5030" s="3" t="s">
        <v>332</v>
      </c>
      <c r="F5030" s="3" t="s">
        <v>333</v>
      </c>
      <c r="G5030" s="3" t="s">
        <v>239</v>
      </c>
      <c r="H5030" s="2" t="s">
        <v>55</v>
      </c>
      <c r="I5030" s="2" t="s">
        <v>12169</v>
      </c>
      <c r="J5030" s="3" t="str">
        <f>HYPERLINK("https://www.boe.es/gazeta/dias/1809/02/23/pdfs/GMD-1809-54.pdf#page=2","Abrir facsímil")</f>
        <v>Abrir facsímil</v>
      </c>
      <c r="K5030" s="3" t="s">
        <v>57</v>
      </c>
    </row>
    <row r="5031" spans="1:11" ht="42" customHeight="1">
      <c r="A5031" s="2" t="s">
        <v>12170</v>
      </c>
      <c r="B5031" s="2" t="s">
        <v>12171</v>
      </c>
      <c r="C5031" s="2" t="s">
        <v>25</v>
      </c>
      <c r="D5031" s="2" t="s">
        <v>18</v>
      </c>
      <c r="E5031" s="3" t="s">
        <v>258</v>
      </c>
      <c r="F5031" s="3" t="s">
        <v>910</v>
      </c>
      <c r="G5031" s="3" t="s">
        <v>75</v>
      </c>
      <c r="H5031" s="2" t="s">
        <v>55</v>
      </c>
      <c r="I5031" s="2" t="s">
        <v>12172</v>
      </c>
      <c r="J5031" s="3" t="str">
        <f>HYPERLINK("https://www.boe.es/gazeta/dias/1809/03/17/pdfs/GGB-1809-12.pdf#page=6","Abrir facsímil")</f>
        <v>Abrir facsímil</v>
      </c>
      <c r="K5031" s="3" t="s">
        <v>57</v>
      </c>
    </row>
    <row r="5032" spans="1:11" ht="42" customHeight="1">
      <c r="A5032" s="2" t="s">
        <v>12173</v>
      </c>
      <c r="B5032" s="2" t="s">
        <v>12174</v>
      </c>
      <c r="C5032" s="2" t="s">
        <v>25</v>
      </c>
      <c r="D5032" s="2" t="s">
        <v>26</v>
      </c>
      <c r="E5032" s="3" t="s">
        <v>838</v>
      </c>
      <c r="F5032" s="3" t="s">
        <v>839</v>
      </c>
      <c r="G5032" s="3" t="s">
        <v>906</v>
      </c>
      <c r="H5032" s="2" t="s">
        <v>55</v>
      </c>
      <c r="I5032" s="2" t="s">
        <v>12175</v>
      </c>
      <c r="J5032" s="3" t="str">
        <f>HYPERLINK("https://www.boe.es/gazeta/dias/1809/08/03/pdfs/GGB-1809-12.pdf#page=8","Abrir facsímil")</f>
        <v>Abrir facsímil</v>
      </c>
      <c r="K5032" s="3" t="s">
        <v>57</v>
      </c>
    </row>
    <row r="5033" spans="1:11" ht="42" customHeight="1">
      <c r="A5033" s="2" t="s">
        <v>12176</v>
      </c>
      <c r="B5033" s="2" t="s">
        <v>12177</v>
      </c>
      <c r="C5033" s="2" t="s">
        <v>17</v>
      </c>
      <c r="D5033" s="2" t="s">
        <v>72</v>
      </c>
      <c r="E5033" s="3" t="s">
        <v>243</v>
      </c>
      <c r="F5033" s="3" t="s">
        <v>244</v>
      </c>
      <c r="G5033" s="3" t="s">
        <v>110</v>
      </c>
      <c r="H5033" s="2" t="s">
        <v>55</v>
      </c>
      <c r="I5033" s="2" t="s">
        <v>12178</v>
      </c>
      <c r="J5033" s="3" t="str">
        <f>HYPERLINK("https://www.boe.es/gazeta/dias/1809/02/17/pdfs/GGB-G-1809-8.pdf#page=5","Abrir facsímil")</f>
        <v>Abrir facsímil</v>
      </c>
      <c r="K5033" s="3" t="s">
        <v>57</v>
      </c>
    </row>
    <row r="5034" spans="1:11" ht="42" customHeight="1">
      <c r="A5034" s="2" t="s">
        <v>12179</v>
      </c>
      <c r="B5034" s="2" t="s">
        <v>12179</v>
      </c>
      <c r="C5034" s="2" t="s">
        <v>25</v>
      </c>
      <c r="D5034" s="2" t="s">
        <v>18</v>
      </c>
      <c r="E5034" s="3" t="s">
        <v>1282</v>
      </c>
      <c r="F5034" s="3" t="s">
        <v>1743</v>
      </c>
      <c r="G5034" s="3" t="s">
        <v>1516</v>
      </c>
      <c r="H5034" s="2" t="s">
        <v>55</v>
      </c>
      <c r="I5034" s="2" t="s">
        <v>12180</v>
      </c>
      <c r="J5034" s="3" t="str">
        <f>HYPERLINK("https://www.boe.es/gazeta/dias/1809/06/26/pdfs/GMD-1809-177.pdf#page=3","Abrir facsímil")</f>
        <v>Abrir facsímil</v>
      </c>
      <c r="K5034" s="3" t="s">
        <v>57</v>
      </c>
    </row>
    <row r="5035" spans="1:11" ht="42" customHeight="1">
      <c r="A5035" s="2" t="s">
        <v>12181</v>
      </c>
      <c r="B5035" s="2" t="s">
        <v>12181</v>
      </c>
      <c r="C5035" s="2" t="s">
        <v>17</v>
      </c>
      <c r="D5035" s="2" t="s">
        <v>107</v>
      </c>
      <c r="E5035" s="3" t="s">
        <v>1300</v>
      </c>
      <c r="F5035" s="3" t="s">
        <v>1301</v>
      </c>
      <c r="G5035" s="3" t="s">
        <v>6113</v>
      </c>
      <c r="H5035" s="2" t="s">
        <v>55</v>
      </c>
      <c r="I5035" s="2" t="s">
        <v>12182</v>
      </c>
      <c r="J5035" s="3" t="str">
        <f>HYPERLINK("https://www.boe.es/gazeta/dias/1809/12/27/pdfs/GMD-1809-362.pdf#page=1","Abrir facsímil")</f>
        <v>Abrir facsímil</v>
      </c>
      <c r="K5035" s="3" t="s">
        <v>57</v>
      </c>
    </row>
    <row r="5036" spans="1:11" ht="42" customHeight="1">
      <c r="A5036" s="2" t="s">
        <v>12183</v>
      </c>
      <c r="B5036" s="2" t="s">
        <v>12183</v>
      </c>
      <c r="C5036" s="2" t="s">
        <v>17</v>
      </c>
      <c r="D5036" s="2" t="s">
        <v>18</v>
      </c>
      <c r="E5036" s="3" t="s">
        <v>548</v>
      </c>
      <c r="F5036" s="3" t="s">
        <v>549</v>
      </c>
      <c r="G5036" s="3" t="s">
        <v>316</v>
      </c>
      <c r="H5036" s="2" t="s">
        <v>55</v>
      </c>
      <c r="I5036" s="2" t="s">
        <v>12184</v>
      </c>
      <c r="J5036" s="3" t="str">
        <f>HYPERLINK("https://www.boe.es/gazeta/dias/1809/03/12/pdfs/GMD-1809-71.pdf#page=4","Abrir facsímil")</f>
        <v>Abrir facsímil</v>
      </c>
      <c r="K5036" s="3" t="s">
        <v>57</v>
      </c>
    </row>
    <row r="5037" spans="1:11" ht="42" customHeight="1">
      <c r="A5037" s="2" t="s">
        <v>12185</v>
      </c>
      <c r="B5037" s="2" t="s">
        <v>12185</v>
      </c>
      <c r="C5037" s="2" t="s">
        <v>25</v>
      </c>
      <c r="D5037" s="2" t="s">
        <v>107</v>
      </c>
      <c r="E5037" s="3" t="s">
        <v>6618</v>
      </c>
      <c r="F5037" s="3" t="s">
        <v>6619</v>
      </c>
      <c r="G5037" s="3" t="s">
        <v>687</v>
      </c>
      <c r="H5037" s="2" t="s">
        <v>55</v>
      </c>
      <c r="I5037" s="2" t="s">
        <v>12186</v>
      </c>
      <c r="J5037" s="3" t="str">
        <f>HYPERLINK("https://www.boe.es/gazeta/dias/1809/09/18/pdfs/GMD-1809-262.pdf#page=2","Abrir facsímil")</f>
        <v>Abrir facsímil</v>
      </c>
      <c r="K5037" s="3" t="s">
        <v>57</v>
      </c>
    </row>
    <row r="5038" spans="1:11" ht="42" customHeight="1">
      <c r="A5038" s="2" t="s">
        <v>12187</v>
      </c>
      <c r="B5038" s="2" t="s">
        <v>12188</v>
      </c>
      <c r="C5038" s="2" t="s">
        <v>17</v>
      </c>
      <c r="D5038" s="2" t="s">
        <v>18</v>
      </c>
      <c r="E5038" s="3" t="s">
        <v>294</v>
      </c>
      <c r="F5038" s="3" t="s">
        <v>1360</v>
      </c>
      <c r="G5038" s="3" t="s">
        <v>2877</v>
      </c>
      <c r="H5038" s="2" t="s">
        <v>55</v>
      </c>
      <c r="I5038" s="2" t="s">
        <v>12189</v>
      </c>
      <c r="J5038" s="3" t="str">
        <f>HYPERLINK("https://www.boe.es/gazeta/dias/1809/09/30/pdfs/GGB-1809-262.pdf#page=3","Abrir facsímil")</f>
        <v>Abrir facsímil</v>
      </c>
      <c r="K5038" s="3" t="s">
        <v>57</v>
      </c>
    </row>
    <row r="5039" spans="1:11" ht="42" customHeight="1">
      <c r="A5039" s="2" t="s">
        <v>12190</v>
      </c>
      <c r="B5039" s="2" t="s">
        <v>12191</v>
      </c>
      <c r="C5039" s="2" t="s">
        <v>25</v>
      </c>
      <c r="D5039" s="2" t="s">
        <v>26</v>
      </c>
      <c r="E5039" s="3" t="s">
        <v>113</v>
      </c>
      <c r="F5039" s="3" t="s">
        <v>1982</v>
      </c>
      <c r="G5039" s="3" t="s">
        <v>260</v>
      </c>
      <c r="H5039" s="2" t="s">
        <v>22</v>
      </c>
      <c r="I5039" s="2" t="s">
        <v>12192</v>
      </c>
      <c r="J5039" s="3" t="str">
        <f>HYPERLINK("https://www.boe.es/gazeta/dias/1809/04/24/pdfs/GGB-1809-21.pdf#page=8","Abrir facsímil")</f>
        <v>Abrir facsímil</v>
      </c>
      <c r="K5039" s="3" t="s">
        <v>24</v>
      </c>
    </row>
    <row r="5040" spans="1:11" ht="42" customHeight="1">
      <c r="A5040" s="2" t="s">
        <v>12193</v>
      </c>
      <c r="B5040" s="2" t="s">
        <v>12194</v>
      </c>
      <c r="C5040" s="2" t="s">
        <v>17</v>
      </c>
      <c r="D5040" s="2" t="s">
        <v>18</v>
      </c>
      <c r="E5040" s="3" t="s">
        <v>33</v>
      </c>
      <c r="F5040" s="3" t="s">
        <v>34</v>
      </c>
      <c r="G5040" s="3" t="s">
        <v>595</v>
      </c>
      <c r="H5040" s="2" t="s">
        <v>55</v>
      </c>
      <c r="I5040" s="2" t="s">
        <v>12195</v>
      </c>
      <c r="J5040" s="3" t="str">
        <f>HYPERLINK("https://www.boe.es/gazeta/dias/1809/12/19/pdfs/GGB-1809-602.pdf#page=7","Abrir facsímil")</f>
        <v>Abrir facsímil</v>
      </c>
      <c r="K5040" s="3" t="s">
        <v>57</v>
      </c>
    </row>
    <row r="5041" spans="1:11" ht="42" customHeight="1">
      <c r="A5041" s="2" t="s">
        <v>12196</v>
      </c>
      <c r="B5041" s="2" t="s">
        <v>12197</v>
      </c>
      <c r="C5041" s="2" t="s">
        <v>79</v>
      </c>
      <c r="D5041" s="2" t="s">
        <v>18</v>
      </c>
      <c r="E5041" s="3" t="s">
        <v>53</v>
      </c>
      <c r="F5041" s="3" t="s">
        <v>54</v>
      </c>
      <c r="G5041" s="3" t="s">
        <v>6973</v>
      </c>
      <c r="H5041" s="2" t="s">
        <v>55</v>
      </c>
      <c r="I5041" s="2" t="s">
        <v>12198</v>
      </c>
      <c r="J5041" s="3" t="str">
        <f>HYPERLINK("https://www.boe.es/gazeta/dias/1809/03/03/pdfs/GMD-1809-62.pdf#page=1","Abrir facsímil")</f>
        <v>Abrir facsímil</v>
      </c>
      <c r="K5041" s="3" t="s">
        <v>57</v>
      </c>
    </row>
    <row r="5042" spans="1:11" ht="42" customHeight="1">
      <c r="A5042" s="2" t="s">
        <v>12199</v>
      </c>
      <c r="B5042" s="2" t="s">
        <v>12200</v>
      </c>
      <c r="C5042" s="2" t="s">
        <v>131</v>
      </c>
      <c r="D5042" s="2" t="s">
        <v>18</v>
      </c>
      <c r="E5042" s="3" t="s">
        <v>305</v>
      </c>
      <c r="F5042" s="3" t="s">
        <v>306</v>
      </c>
      <c r="G5042" s="3" t="s">
        <v>5473</v>
      </c>
      <c r="H5042" s="2" t="s">
        <v>55</v>
      </c>
      <c r="I5042" s="2" t="s">
        <v>12201</v>
      </c>
      <c r="J5042" s="3" t="str">
        <f>HYPERLINK("https://www.boe.es/gazeta/dias/1809/10/20/pdfs/GMD-1809-294.pdf#page=2","Abrir facsímil")</f>
        <v>Abrir facsímil</v>
      </c>
      <c r="K5042" s="3" t="s">
        <v>57</v>
      </c>
    </row>
    <row r="5043" spans="1:11" ht="42" customHeight="1">
      <c r="A5043" s="2" t="s">
        <v>12202</v>
      </c>
      <c r="B5043" s="2" t="s">
        <v>12202</v>
      </c>
      <c r="C5043" s="2" t="s">
        <v>25</v>
      </c>
      <c r="D5043" s="2" t="s">
        <v>18</v>
      </c>
      <c r="E5043" s="3" t="s">
        <v>220</v>
      </c>
      <c r="F5043" s="3" t="s">
        <v>221</v>
      </c>
      <c r="G5043" s="3" t="s">
        <v>154</v>
      </c>
      <c r="H5043" s="2" t="s">
        <v>55</v>
      </c>
      <c r="I5043" s="2" t="s">
        <v>12203</v>
      </c>
      <c r="J5043" s="3" t="str">
        <f>HYPERLINK("https://www.boe.es/gazeta/dias/1809/12/13/pdfs/GMD-1809-348.pdf#page=4","Abrir facsímil")</f>
        <v>Abrir facsímil</v>
      </c>
      <c r="K5043" s="3" t="s">
        <v>57</v>
      </c>
    </row>
    <row r="5044" spans="1:11" ht="42" customHeight="1">
      <c r="A5044" s="2" t="s">
        <v>12204</v>
      </c>
      <c r="B5044" s="2" t="s">
        <v>12205</v>
      </c>
      <c r="C5044" s="2" t="s">
        <v>25</v>
      </c>
      <c r="D5044" s="2" t="s">
        <v>26</v>
      </c>
      <c r="E5044" s="3" t="s">
        <v>621</v>
      </c>
      <c r="F5044" s="3" t="s">
        <v>622</v>
      </c>
      <c r="G5044" s="3" t="s">
        <v>623</v>
      </c>
      <c r="H5044" s="2" t="s">
        <v>55</v>
      </c>
      <c r="I5044" s="2" t="s">
        <v>12206</v>
      </c>
      <c r="J5044" s="3" t="str">
        <f>HYPERLINK("https://www.boe.es/gazeta/dias/1809/07/04/pdfs/GGB-1809-42.pdf#page=6","Abrir facsímil")</f>
        <v>Abrir facsímil</v>
      </c>
      <c r="K5044" s="3" t="s">
        <v>57</v>
      </c>
    </row>
    <row r="5045" spans="1:11" ht="42" customHeight="1">
      <c r="A5045" s="2" t="s">
        <v>12207</v>
      </c>
      <c r="B5045" s="2" t="s">
        <v>12208</v>
      </c>
      <c r="C5045" s="2" t="s">
        <v>17</v>
      </c>
      <c r="D5045" s="2" t="s">
        <v>72</v>
      </c>
      <c r="E5045" s="3" t="s">
        <v>243</v>
      </c>
      <c r="F5045" s="3" t="s">
        <v>244</v>
      </c>
      <c r="G5045" s="3" t="s">
        <v>29</v>
      </c>
      <c r="H5045" s="2" t="s">
        <v>55</v>
      </c>
      <c r="I5045" s="2" t="s">
        <v>12209</v>
      </c>
      <c r="J5045" s="3" t="str">
        <f>HYPERLINK("https://www.boe.es/gazeta/dias/1809/02/17/pdfs/GGB-G-1809-8.pdf#page=3","Abrir facsímil")</f>
        <v>Abrir facsímil</v>
      </c>
      <c r="K5045" s="3" t="s">
        <v>57</v>
      </c>
    </row>
    <row r="5046" spans="1:11" ht="42" customHeight="1">
      <c r="A5046" s="2" t="s">
        <v>12210</v>
      </c>
      <c r="B5046" s="2" t="s">
        <v>12210</v>
      </c>
      <c r="C5046" s="2" t="s">
        <v>131</v>
      </c>
      <c r="D5046" s="2" t="s">
        <v>18</v>
      </c>
      <c r="E5046" s="3" t="s">
        <v>755</v>
      </c>
      <c r="F5046" s="3" t="s">
        <v>756</v>
      </c>
      <c r="G5046" s="3" t="s">
        <v>525</v>
      </c>
      <c r="H5046" s="2" t="s">
        <v>55</v>
      </c>
      <c r="I5046" s="2" t="s">
        <v>12211</v>
      </c>
      <c r="J5046" s="3" t="str">
        <f>HYPERLINK("https://www.boe.es/gazeta/dias/1809/05/20/pdfs/GMD-1809-140.pdf#page=4","Abrir facsímil")</f>
        <v>Abrir facsímil</v>
      </c>
      <c r="K5046" s="3" t="s">
        <v>57</v>
      </c>
    </row>
    <row r="5047" spans="1:11" ht="42" customHeight="1">
      <c r="A5047" s="2" t="s">
        <v>12210</v>
      </c>
      <c r="B5047" s="2" t="s">
        <v>12210</v>
      </c>
      <c r="C5047" s="2" t="s">
        <v>25</v>
      </c>
      <c r="D5047" s="2" t="s">
        <v>26</v>
      </c>
      <c r="E5047" s="3" t="s">
        <v>712</v>
      </c>
      <c r="F5047" s="3" t="s">
        <v>713</v>
      </c>
      <c r="G5047" s="3" t="s">
        <v>154</v>
      </c>
      <c r="H5047" s="2" t="s">
        <v>55</v>
      </c>
      <c r="I5047" s="2" t="s">
        <v>12212</v>
      </c>
      <c r="J5047" s="3" t="str">
        <f>HYPERLINK("https://www.boe.es/gazeta/dias/1809/09/10/pdfs/GMD-1809-254.pdf#page=3","Abrir facsímil")</f>
        <v>Abrir facsímil</v>
      </c>
      <c r="K5047" s="3" t="s">
        <v>57</v>
      </c>
    </row>
    <row r="5048" spans="1:11" ht="42" customHeight="1">
      <c r="A5048" s="2" t="s">
        <v>12210</v>
      </c>
      <c r="B5048" s="2" t="s">
        <v>12210</v>
      </c>
      <c r="C5048" s="2" t="s">
        <v>25</v>
      </c>
      <c r="D5048" s="2" t="s">
        <v>18</v>
      </c>
      <c r="E5048" s="3" t="s">
        <v>211</v>
      </c>
      <c r="F5048" s="3" t="s">
        <v>212</v>
      </c>
      <c r="G5048" s="3" t="s">
        <v>467</v>
      </c>
      <c r="H5048" s="2" t="s">
        <v>55</v>
      </c>
      <c r="I5048" s="2" t="s">
        <v>12213</v>
      </c>
      <c r="J5048" s="3" t="str">
        <f>HYPERLINK("https://www.boe.es/gazeta/dias/1809/10/27/pdfs/GMD-1809-301.pdf#page=2","Abrir facsímil")</f>
        <v>Abrir facsímil</v>
      </c>
      <c r="K5048" s="3" t="s">
        <v>57</v>
      </c>
    </row>
    <row r="5049" spans="1:11" ht="42" customHeight="1">
      <c r="A5049" s="2" t="s">
        <v>12210</v>
      </c>
      <c r="B5049" s="2" t="s">
        <v>12210</v>
      </c>
      <c r="C5049" s="2" t="s">
        <v>17</v>
      </c>
      <c r="D5049" s="2" t="s">
        <v>18</v>
      </c>
      <c r="E5049" s="3" t="s">
        <v>211</v>
      </c>
      <c r="F5049" s="3" t="s">
        <v>212</v>
      </c>
      <c r="G5049" s="3" t="s">
        <v>29</v>
      </c>
      <c r="H5049" s="2" t="s">
        <v>55</v>
      </c>
      <c r="I5049" s="2" t="s">
        <v>12214</v>
      </c>
      <c r="J5049" s="3" t="str">
        <f>HYPERLINK("https://www.boe.es/gazeta/dias/1809/10/27/pdfs/GMD-1809-301.pdf#page=3","Abrir facsímil")</f>
        <v>Abrir facsímil</v>
      </c>
      <c r="K5049" s="3" t="s">
        <v>57</v>
      </c>
    </row>
    <row r="5050" spans="1:11" ht="42" customHeight="1">
      <c r="A5050" s="2" t="s">
        <v>12215</v>
      </c>
      <c r="B5050" s="2" t="s">
        <v>12215</v>
      </c>
      <c r="C5050" s="2" t="s">
        <v>25</v>
      </c>
      <c r="D5050" s="2" t="s">
        <v>26</v>
      </c>
      <c r="E5050" s="3" t="s">
        <v>216</v>
      </c>
      <c r="F5050" s="3" t="s">
        <v>217</v>
      </c>
      <c r="G5050" s="3" t="s">
        <v>75</v>
      </c>
      <c r="H5050" s="2" t="s">
        <v>55</v>
      </c>
      <c r="I5050" s="2" t="s">
        <v>12216</v>
      </c>
      <c r="J5050" s="3" t="str">
        <f>HYPERLINK("https://www.boe.es/gazeta/dias/1809/12/05/pdfs/GGB-H-1809-542.pdf#page=2","Abrir facsímil")</f>
        <v>Abrir facsímil</v>
      </c>
      <c r="K5050" s="3" t="s">
        <v>57</v>
      </c>
    </row>
    <row r="5051" spans="1:11" ht="42" customHeight="1">
      <c r="A5051" s="2" t="s">
        <v>12215</v>
      </c>
      <c r="B5051" s="2" t="s">
        <v>12215</v>
      </c>
      <c r="C5051" s="2" t="s">
        <v>25</v>
      </c>
      <c r="D5051" s="2" t="s">
        <v>26</v>
      </c>
      <c r="E5051" s="3" t="s">
        <v>216</v>
      </c>
      <c r="F5051" s="3" t="s">
        <v>217</v>
      </c>
      <c r="G5051" s="3" t="s">
        <v>270</v>
      </c>
      <c r="H5051" s="2" t="s">
        <v>55</v>
      </c>
      <c r="I5051" s="2" t="s">
        <v>12217</v>
      </c>
      <c r="J5051" s="3" t="str">
        <f>HYPERLINK("https://www.boe.es/gazeta/dias/1809/12/05/pdfs/GGB-H-1809-542.pdf#page=3","Abrir facsímil")</f>
        <v>Abrir facsímil</v>
      </c>
      <c r="K5051" s="3" t="s">
        <v>57</v>
      </c>
    </row>
    <row r="5052" spans="1:11" ht="42" customHeight="1">
      <c r="A5052" s="2" t="s">
        <v>12210</v>
      </c>
      <c r="B5052" s="2" t="s">
        <v>12210</v>
      </c>
      <c r="C5052" s="2" t="s">
        <v>25</v>
      </c>
      <c r="D5052" s="2" t="s">
        <v>26</v>
      </c>
      <c r="E5052" s="3" t="s">
        <v>216</v>
      </c>
      <c r="F5052" s="3" t="s">
        <v>217</v>
      </c>
      <c r="G5052" s="3" t="s">
        <v>94</v>
      </c>
      <c r="H5052" s="2" t="s">
        <v>55</v>
      </c>
      <c r="I5052" s="2" t="s">
        <v>12218</v>
      </c>
      <c r="J5052" s="3" t="str">
        <f>HYPERLINK("https://www.boe.es/gazeta/dias/1809/12/05/pdfs/GGB-H-1809-542.pdf#page=5","Abrir facsímil")</f>
        <v>Abrir facsímil</v>
      </c>
      <c r="K5052" s="3" t="s">
        <v>57</v>
      </c>
    </row>
    <row r="5053" spans="1:11" ht="42" customHeight="1">
      <c r="A5053" s="2" t="s">
        <v>12219</v>
      </c>
      <c r="B5053" s="2" t="s">
        <v>12220</v>
      </c>
      <c r="C5053" s="2" t="s">
        <v>17</v>
      </c>
      <c r="D5053" s="2" t="s">
        <v>72</v>
      </c>
      <c r="E5053" s="3" t="s">
        <v>243</v>
      </c>
      <c r="F5053" s="3" t="s">
        <v>244</v>
      </c>
      <c r="G5053" s="3" t="s">
        <v>110</v>
      </c>
      <c r="H5053" s="2" t="s">
        <v>55</v>
      </c>
      <c r="I5053" s="2" t="s">
        <v>12221</v>
      </c>
      <c r="J5053" s="3" t="str">
        <f>HYPERLINK("https://www.boe.es/gazeta/dias/1809/02/17/pdfs/GGB-G-1809-8.pdf#page=5","Abrir facsímil")</f>
        <v>Abrir facsímil</v>
      </c>
      <c r="K5053" s="3" t="s">
        <v>57</v>
      </c>
    </row>
    <row r="5054" spans="1:11" ht="42" customHeight="1">
      <c r="A5054" s="2" t="s">
        <v>12222</v>
      </c>
      <c r="B5054" s="2" t="s">
        <v>12223</v>
      </c>
      <c r="C5054" s="2" t="s">
        <v>39</v>
      </c>
      <c r="D5054" s="2" t="s">
        <v>72</v>
      </c>
      <c r="E5054" s="3" t="s">
        <v>1974</v>
      </c>
      <c r="F5054" s="3" t="s">
        <v>1975</v>
      </c>
      <c r="G5054" s="3" t="s">
        <v>239</v>
      </c>
      <c r="H5054" s="2" t="s">
        <v>55</v>
      </c>
      <c r="I5054" s="2" t="s">
        <v>12224</v>
      </c>
      <c r="J5054" s="3" t="str">
        <f>HYPERLINK("https://www.boe.es/gazeta/dias/1809/05/03/pdfs/GMD-E-1809-123.pdf#page=1","Abrir facsímil")</f>
        <v>Abrir facsímil</v>
      </c>
      <c r="K5054" s="3" t="s">
        <v>57</v>
      </c>
    </row>
    <row r="5055" spans="1:11" ht="42" customHeight="1">
      <c r="A5055" s="2" t="s">
        <v>12225</v>
      </c>
      <c r="B5055" s="2" t="s">
        <v>12226</v>
      </c>
      <c r="C5055" s="2" t="s">
        <v>17</v>
      </c>
      <c r="D5055" s="2" t="s">
        <v>72</v>
      </c>
      <c r="E5055" s="3" t="s">
        <v>2599</v>
      </c>
      <c r="F5055" s="3" t="s">
        <v>3377</v>
      </c>
      <c r="G5055" s="3" t="s">
        <v>75</v>
      </c>
      <c r="H5055" s="2" t="s">
        <v>55</v>
      </c>
      <c r="I5055" s="2" t="s">
        <v>12227</v>
      </c>
      <c r="J5055" s="3" t="str">
        <f>HYPERLINK("https://www.boe.es/gazeta/dias/1809/05/11/pdfs/GMD-E-1809-131.pdf#page=2","Abrir facsímil")</f>
        <v>Abrir facsímil</v>
      </c>
      <c r="K5055" s="3" t="s">
        <v>57</v>
      </c>
    </row>
    <row r="5056" spans="1:11" ht="42" customHeight="1">
      <c r="A5056" s="2" t="s">
        <v>12228</v>
      </c>
      <c r="B5056" s="2" t="s">
        <v>12229</v>
      </c>
      <c r="C5056" s="2" t="s">
        <v>17</v>
      </c>
      <c r="D5056" s="2" t="s">
        <v>40</v>
      </c>
      <c r="E5056" s="3" t="s">
        <v>1640</v>
      </c>
      <c r="F5056" s="3" t="s">
        <v>1641</v>
      </c>
      <c r="G5056" s="3" t="s">
        <v>110</v>
      </c>
      <c r="H5056" s="2" t="s">
        <v>55</v>
      </c>
      <c r="I5056" s="2" t="s">
        <v>12230</v>
      </c>
      <c r="J5056" s="3" t="str">
        <f>HYPERLINK("https://www.boe.es/gazeta/dias/1809/01/06/pdfs/GGB-G-1809-1.pdf#page=3","Abrir facsímil")</f>
        <v>Abrir facsímil</v>
      </c>
      <c r="K5056" s="3" t="s">
        <v>57</v>
      </c>
    </row>
    <row r="5057" spans="1:11" ht="42" customHeight="1">
      <c r="A5057" s="2" t="s">
        <v>12228</v>
      </c>
      <c r="B5057" s="2" t="s">
        <v>12229</v>
      </c>
      <c r="C5057" s="2" t="s">
        <v>17</v>
      </c>
      <c r="D5057" s="2" t="s">
        <v>40</v>
      </c>
      <c r="E5057" s="3" t="s">
        <v>1123</v>
      </c>
      <c r="F5057" s="3" t="s">
        <v>1641</v>
      </c>
      <c r="G5057" s="3" t="s">
        <v>110</v>
      </c>
      <c r="H5057" s="2" t="s">
        <v>55</v>
      </c>
      <c r="I5057" s="2" t="s">
        <v>12230</v>
      </c>
      <c r="J5057" s="3" t="str">
        <f>HYPERLINK("https://www.boe.es/gazeta/dias/1809/01/08/pdfs/GGB-G-1809-1.pdf#page=3","Abrir facsímil")</f>
        <v>Abrir facsímil</v>
      </c>
      <c r="K5057" s="3" t="s">
        <v>57</v>
      </c>
    </row>
    <row r="5058" spans="1:11" ht="42" customHeight="1">
      <c r="A5058" s="2" t="s">
        <v>12231</v>
      </c>
      <c r="B5058" s="2" t="s">
        <v>12232</v>
      </c>
      <c r="C5058" s="2" t="s">
        <v>17</v>
      </c>
      <c r="D5058" s="2" t="s">
        <v>80</v>
      </c>
      <c r="E5058" s="3" t="s">
        <v>179</v>
      </c>
      <c r="F5058" s="3" t="s">
        <v>180</v>
      </c>
      <c r="G5058" s="3" t="s">
        <v>966</v>
      </c>
      <c r="H5058" s="2" t="s">
        <v>55</v>
      </c>
      <c r="I5058" s="2" t="s">
        <v>12233</v>
      </c>
      <c r="J5058" s="3" t="str">
        <f>HYPERLINK("https://www.boe.es/gazeta/dias/1809/12/08/pdfs/GGB-1809-552E.pdf#page=3","Abrir facsímil")</f>
        <v>Abrir facsímil</v>
      </c>
      <c r="K5058" s="3" t="s">
        <v>57</v>
      </c>
    </row>
    <row r="5059" spans="1:11" ht="42" customHeight="1">
      <c r="A5059" s="2" t="s">
        <v>12234</v>
      </c>
      <c r="B5059" s="2" t="s">
        <v>12235</v>
      </c>
      <c r="C5059" s="2" t="s">
        <v>39</v>
      </c>
      <c r="D5059" s="2" t="s">
        <v>18</v>
      </c>
      <c r="E5059" s="3" t="s">
        <v>3167</v>
      </c>
      <c r="F5059" s="3" t="s">
        <v>5463</v>
      </c>
      <c r="G5059" s="3" t="s">
        <v>316</v>
      </c>
      <c r="H5059" s="2" t="s">
        <v>55</v>
      </c>
      <c r="I5059" s="2" t="s">
        <v>12236</v>
      </c>
      <c r="J5059" s="3" t="str">
        <f>HYPERLINK("https://www.boe.es/gazeta/dias/1809/04/07/pdfs/GMD-1809-97.pdf#page=3","Abrir facsímil")</f>
        <v>Abrir facsímil</v>
      </c>
      <c r="K5059" s="3" t="s">
        <v>57</v>
      </c>
    </row>
    <row r="5060" spans="1:11" ht="42" customHeight="1">
      <c r="A5060" s="2" t="s">
        <v>12237</v>
      </c>
      <c r="B5060" s="2" t="s">
        <v>12238</v>
      </c>
      <c r="C5060" s="2" t="s">
        <v>17</v>
      </c>
      <c r="D5060" s="2" t="s">
        <v>18</v>
      </c>
      <c r="E5060" s="3" t="s">
        <v>102</v>
      </c>
      <c r="F5060" s="3" t="s">
        <v>103</v>
      </c>
      <c r="G5060" s="3" t="s">
        <v>1706</v>
      </c>
      <c r="H5060" s="2" t="s">
        <v>55</v>
      </c>
      <c r="I5060" s="2" t="s">
        <v>12239</v>
      </c>
      <c r="J5060" s="3" t="str">
        <f>HYPERLINK("https://www.boe.es/gazeta/dias/1809/09/28/pdfs/GGB-1809-252.pdf#page=5","Abrir facsímil")</f>
        <v>Abrir facsímil</v>
      </c>
      <c r="K5060" s="3" t="s">
        <v>57</v>
      </c>
    </row>
    <row r="5061" spans="1:11" ht="42" customHeight="1">
      <c r="A5061" s="2" t="s">
        <v>12240</v>
      </c>
      <c r="B5061" s="2" t="s">
        <v>12241</v>
      </c>
      <c r="C5061" s="2" t="s">
        <v>17</v>
      </c>
      <c r="D5061" s="2" t="s">
        <v>18</v>
      </c>
      <c r="E5061" s="3" t="s">
        <v>299</v>
      </c>
      <c r="F5061" s="3" t="s">
        <v>300</v>
      </c>
      <c r="G5061" s="3" t="s">
        <v>62</v>
      </c>
      <c r="H5061" s="2" t="s">
        <v>55</v>
      </c>
      <c r="I5061" s="2" t="s">
        <v>12242</v>
      </c>
      <c r="J5061" s="3" t="str">
        <f>HYPERLINK("https://www.boe.es/gazeta/dias/1809/05/26/pdfs/GGB-1809-31.pdf#page=12","Abrir facsímil")</f>
        <v>Abrir facsímil</v>
      </c>
      <c r="K5061" s="3" t="s">
        <v>57</v>
      </c>
    </row>
    <row r="5062" spans="1:11" ht="42" customHeight="1">
      <c r="A5062" s="2" t="s">
        <v>12243</v>
      </c>
      <c r="B5062" s="2" t="s">
        <v>12244</v>
      </c>
      <c r="C5062" s="2" t="s">
        <v>17</v>
      </c>
      <c r="D5062" s="2" t="s">
        <v>18</v>
      </c>
      <c r="E5062" s="3" t="s">
        <v>787</v>
      </c>
      <c r="F5062" s="3" t="s">
        <v>4588</v>
      </c>
      <c r="G5062" s="3" t="s">
        <v>654</v>
      </c>
      <c r="H5062" s="2" t="s">
        <v>55</v>
      </c>
      <c r="I5062" s="2" t="s">
        <v>12245</v>
      </c>
      <c r="J5062" s="3" t="str">
        <f>HYPERLINK("https://www.boe.es/gazeta/dias/1809/04/29/pdfs/GMD-1809-119.pdf#page=4","Abrir facsímil")</f>
        <v>Abrir facsímil</v>
      </c>
      <c r="K5062" s="3" t="s">
        <v>57</v>
      </c>
    </row>
    <row r="5063" spans="1:11" ht="42" customHeight="1">
      <c r="A5063" s="2" t="s">
        <v>12246</v>
      </c>
      <c r="B5063" s="2" t="s">
        <v>12246</v>
      </c>
      <c r="C5063" s="2" t="s">
        <v>25</v>
      </c>
      <c r="D5063" s="2" t="s">
        <v>26</v>
      </c>
      <c r="E5063" s="3" t="s">
        <v>1898</v>
      </c>
      <c r="F5063" s="3" t="s">
        <v>1970</v>
      </c>
      <c r="G5063" s="3" t="s">
        <v>154</v>
      </c>
      <c r="H5063" s="2" t="s">
        <v>55</v>
      </c>
      <c r="I5063" s="2" t="s">
        <v>12247</v>
      </c>
      <c r="J5063" s="3" t="str">
        <f>HYPERLINK("https://www.boe.es/gazeta/dias/1809/12/02/pdfs/GMD-1809-337.pdf#page=4","Abrir facsímil")</f>
        <v>Abrir facsímil</v>
      </c>
      <c r="K5063" s="3" t="s">
        <v>57</v>
      </c>
    </row>
    <row r="5064" spans="1:11" ht="42" customHeight="1">
      <c r="A5064" s="2" t="s">
        <v>12248</v>
      </c>
      <c r="B5064" s="2" t="s">
        <v>12249</v>
      </c>
      <c r="C5064" s="2" t="s">
        <v>25</v>
      </c>
      <c r="D5064" s="2" t="s">
        <v>26</v>
      </c>
      <c r="E5064" s="3" t="s">
        <v>974</v>
      </c>
      <c r="F5064" s="3" t="s">
        <v>975</v>
      </c>
      <c r="G5064" s="3" t="s">
        <v>6908</v>
      </c>
      <c r="H5064" s="2" t="s">
        <v>55</v>
      </c>
      <c r="I5064" s="2" t="s">
        <v>12250</v>
      </c>
      <c r="J5064" s="3" t="str">
        <f>HYPERLINK("https://www.boe.es/gazeta/dias/1809/11/14/pdfs/GGB-1809-452.pdf#page=1","Abrir facsímil")</f>
        <v>Abrir facsímil</v>
      </c>
      <c r="K5064" s="3" t="s">
        <v>57</v>
      </c>
    </row>
    <row r="5065" spans="1:11" ht="42" customHeight="1">
      <c r="A5065" s="2" t="s">
        <v>12251</v>
      </c>
      <c r="B5065" s="2" t="s">
        <v>12251</v>
      </c>
      <c r="C5065" s="2" t="s">
        <v>25</v>
      </c>
      <c r="D5065" s="2" t="s">
        <v>18</v>
      </c>
      <c r="E5065" s="3" t="s">
        <v>1098</v>
      </c>
      <c r="F5065" s="3" t="s">
        <v>1099</v>
      </c>
      <c r="G5065" s="3" t="s">
        <v>62</v>
      </c>
      <c r="H5065" s="2" t="s">
        <v>55</v>
      </c>
      <c r="I5065" s="2" t="s">
        <v>12252</v>
      </c>
      <c r="J5065" s="3" t="str">
        <f>HYPERLINK("https://www.boe.es/gazeta/dias/1809/03/23/pdfs/GMD-1809-82.pdf#page=4","Abrir facsímil")</f>
        <v>Abrir facsímil</v>
      </c>
      <c r="K5065" s="3" t="s">
        <v>57</v>
      </c>
    </row>
    <row r="5066" spans="1:11" ht="42" customHeight="1">
      <c r="A5066" s="2" t="s">
        <v>12253</v>
      </c>
      <c r="B5066" s="2" t="s">
        <v>12253</v>
      </c>
      <c r="C5066" s="2" t="s">
        <v>25</v>
      </c>
      <c r="D5066" s="2" t="s">
        <v>18</v>
      </c>
      <c r="E5066" s="3" t="s">
        <v>167</v>
      </c>
      <c r="F5066" s="3" t="s">
        <v>168</v>
      </c>
      <c r="G5066" s="3" t="s">
        <v>169</v>
      </c>
      <c r="H5066" s="2" t="s">
        <v>55</v>
      </c>
      <c r="I5066" s="2" t="s">
        <v>12254</v>
      </c>
      <c r="J5066" s="3" t="str">
        <f>HYPERLINK("https://www.boe.es/gazeta/dias/1809/06/19/pdfs/GGB-1809-38.pdf#page=11","Abrir facsímil")</f>
        <v>Abrir facsímil</v>
      </c>
      <c r="K5066" s="3" t="s">
        <v>57</v>
      </c>
    </row>
    <row r="5067" spans="1:11" ht="42" customHeight="1">
      <c r="A5067" s="2" t="s">
        <v>12255</v>
      </c>
      <c r="B5067" s="2" t="s">
        <v>12255</v>
      </c>
      <c r="C5067" s="2" t="s">
        <v>25</v>
      </c>
      <c r="D5067" s="2" t="s">
        <v>26</v>
      </c>
      <c r="E5067" s="3" t="s">
        <v>627</v>
      </c>
      <c r="F5067" s="3" t="s">
        <v>628</v>
      </c>
      <c r="G5067" s="3" t="s">
        <v>6616</v>
      </c>
      <c r="H5067" s="2" t="s">
        <v>55</v>
      </c>
      <c r="I5067" s="2" t="s">
        <v>12256</v>
      </c>
      <c r="J5067" s="3" t="str">
        <f>HYPERLINK("https://www.boe.es/gazeta/dias/1809/08/28/pdfs/GMD-1809-241.pdf#page=2","Abrir facsímil")</f>
        <v>Abrir facsímil</v>
      </c>
      <c r="K5067" s="3" t="s">
        <v>57</v>
      </c>
    </row>
    <row r="5068" spans="1:11" ht="42" customHeight="1">
      <c r="A5068" s="2" t="s">
        <v>12255</v>
      </c>
      <c r="B5068" s="2" t="s">
        <v>12255</v>
      </c>
      <c r="C5068" s="2" t="s">
        <v>25</v>
      </c>
      <c r="D5068" s="2" t="s">
        <v>18</v>
      </c>
      <c r="E5068" s="3" t="s">
        <v>118</v>
      </c>
      <c r="F5068" s="3" t="s">
        <v>119</v>
      </c>
      <c r="G5068" s="3" t="s">
        <v>129</v>
      </c>
      <c r="H5068" s="2" t="s">
        <v>55</v>
      </c>
      <c r="I5068" s="2" t="s">
        <v>12257</v>
      </c>
      <c r="J5068" s="3" t="str">
        <f>HYPERLINK("https://www.boe.es/gazeta/dias/1809/09/07/pdfs/GMD-1809-251.pdf#page=2","Abrir facsímil")</f>
        <v>Abrir facsímil</v>
      </c>
      <c r="K5068" s="3" t="s">
        <v>57</v>
      </c>
    </row>
    <row r="5069" spans="1:11" ht="42" customHeight="1">
      <c r="A5069" s="2" t="s">
        <v>12255</v>
      </c>
      <c r="B5069" s="2" t="s">
        <v>12255</v>
      </c>
      <c r="C5069" s="2" t="s">
        <v>25</v>
      </c>
      <c r="D5069" s="2" t="s">
        <v>18</v>
      </c>
      <c r="E5069" s="3" t="s">
        <v>207</v>
      </c>
      <c r="F5069" s="3" t="s">
        <v>208</v>
      </c>
      <c r="G5069" s="3" t="s">
        <v>654</v>
      </c>
      <c r="H5069" s="2" t="s">
        <v>55</v>
      </c>
      <c r="I5069" s="2" t="s">
        <v>12258</v>
      </c>
      <c r="J5069" s="3" t="str">
        <f>HYPERLINK("https://www.boe.es/gazeta/dias/1809/09/16/pdfs/GMD-1809-260.pdf#page=3","Abrir facsímil")</f>
        <v>Abrir facsímil</v>
      </c>
      <c r="K5069" s="3" t="s">
        <v>57</v>
      </c>
    </row>
    <row r="5070" spans="1:11" ht="42" customHeight="1">
      <c r="A5070" s="2" t="s">
        <v>12259</v>
      </c>
      <c r="B5070" s="2" t="s">
        <v>12260</v>
      </c>
      <c r="C5070" s="2" t="s">
        <v>25</v>
      </c>
      <c r="D5070" s="2" t="s">
        <v>18</v>
      </c>
      <c r="E5070" s="3" t="s">
        <v>102</v>
      </c>
      <c r="F5070" s="3" t="s">
        <v>103</v>
      </c>
      <c r="G5070" s="3" t="s">
        <v>1091</v>
      </c>
      <c r="H5070" s="2" t="s">
        <v>55</v>
      </c>
      <c r="I5070" s="2" t="s">
        <v>12261</v>
      </c>
      <c r="J5070" s="3" t="str">
        <f>HYPERLINK("https://www.boe.es/gazeta/dias/1809/09/28/pdfs/GGB-1809-252.pdf#page=6","Abrir facsímil")</f>
        <v>Abrir facsímil</v>
      </c>
      <c r="K5070" s="3" t="s">
        <v>57</v>
      </c>
    </row>
    <row r="5071" spans="1:11" ht="42" customHeight="1">
      <c r="A5071" s="2" t="s">
        <v>12262</v>
      </c>
      <c r="B5071" s="2" t="s">
        <v>12263</v>
      </c>
      <c r="C5071" s="2" t="s">
        <v>47</v>
      </c>
      <c r="D5071" s="2" t="s">
        <v>107</v>
      </c>
      <c r="E5071" s="3" t="s">
        <v>2159</v>
      </c>
      <c r="F5071" s="3" t="s">
        <v>2160</v>
      </c>
      <c r="G5071" s="3" t="s">
        <v>21</v>
      </c>
      <c r="H5071" s="2" t="s">
        <v>55</v>
      </c>
      <c r="I5071" s="2" t="s">
        <v>12264</v>
      </c>
      <c r="J5071" s="3" t="str">
        <f>HYPERLINK("https://www.boe.es/gazeta/dias/1809/04/09/pdfs/GMD-1809-99.pdf#page=2","Abrir facsímil")</f>
        <v>Abrir facsímil</v>
      </c>
      <c r="K5071" s="3" t="s">
        <v>57</v>
      </c>
    </row>
    <row r="5072" spans="1:11" ht="42" customHeight="1">
      <c r="A5072" s="2" t="s">
        <v>12265</v>
      </c>
      <c r="B5072" s="2" t="s">
        <v>12266</v>
      </c>
      <c r="C5072" s="2" t="s">
        <v>17</v>
      </c>
      <c r="D5072" s="2" t="s">
        <v>72</v>
      </c>
      <c r="E5072" s="3" t="s">
        <v>243</v>
      </c>
      <c r="F5072" s="3" t="s">
        <v>244</v>
      </c>
      <c r="G5072" s="3" t="s">
        <v>582</v>
      </c>
      <c r="H5072" s="2" t="s">
        <v>55</v>
      </c>
      <c r="I5072" s="2" t="s">
        <v>12267</v>
      </c>
      <c r="J5072" s="3" t="str">
        <f>HYPERLINK("https://www.boe.es/gazeta/dias/1809/02/17/pdfs/GGB-G-1809-8.pdf#page=7","Abrir facsímil")</f>
        <v>Abrir facsímil</v>
      </c>
      <c r="K5072" s="3" t="s">
        <v>57</v>
      </c>
    </row>
    <row r="5073" spans="1:11" ht="42" customHeight="1">
      <c r="A5073" s="2" t="s">
        <v>12268</v>
      </c>
      <c r="B5073" s="2" t="s">
        <v>12269</v>
      </c>
      <c r="C5073" s="2" t="s">
        <v>25</v>
      </c>
      <c r="D5073" s="2" t="s">
        <v>18</v>
      </c>
      <c r="E5073" s="3" t="s">
        <v>294</v>
      </c>
      <c r="F5073" s="3" t="s">
        <v>1360</v>
      </c>
      <c r="G5073" s="3" t="s">
        <v>1424</v>
      </c>
      <c r="H5073" s="2" t="s">
        <v>55</v>
      </c>
      <c r="I5073" s="2" t="s">
        <v>12270</v>
      </c>
      <c r="J5073" s="3" t="str">
        <f>HYPERLINK("https://www.boe.es/gazeta/dias/1809/09/30/pdfs/GGB-1809-262.pdf#page=5","Abrir facsímil")</f>
        <v>Abrir facsímil</v>
      </c>
      <c r="K5073" s="3" t="s">
        <v>57</v>
      </c>
    </row>
    <row r="5074" spans="1:11" ht="42" customHeight="1">
      <c r="A5074" s="2" t="s">
        <v>12271</v>
      </c>
      <c r="B5074" s="2" t="s">
        <v>12271</v>
      </c>
      <c r="C5074" s="2" t="s">
        <v>25</v>
      </c>
      <c r="D5074" s="2" t="s">
        <v>18</v>
      </c>
      <c r="E5074" s="3" t="s">
        <v>5350</v>
      </c>
      <c r="F5074" s="3" t="s">
        <v>5351</v>
      </c>
      <c r="G5074" s="3" t="s">
        <v>29</v>
      </c>
      <c r="H5074" s="2" t="s">
        <v>55</v>
      </c>
      <c r="I5074" s="2" t="s">
        <v>12272</v>
      </c>
      <c r="J5074" s="3" t="str">
        <f>HYPERLINK("https://www.boe.es/gazeta/dias/1809/05/25/pdfs/GMD-1809-145.pdf#page=3","Abrir facsímil")</f>
        <v>Abrir facsímil</v>
      </c>
      <c r="K5074" s="3" t="s">
        <v>57</v>
      </c>
    </row>
    <row r="5075" spans="1:11" ht="42" customHeight="1">
      <c r="A5075" s="2" t="s">
        <v>12273</v>
      </c>
      <c r="B5075" s="2" t="s">
        <v>12273</v>
      </c>
      <c r="C5075" s="2" t="s">
        <v>25</v>
      </c>
      <c r="D5075" s="2" t="s">
        <v>18</v>
      </c>
      <c r="E5075" s="3" t="s">
        <v>663</v>
      </c>
      <c r="F5075" s="3" t="s">
        <v>664</v>
      </c>
      <c r="G5075" s="3" t="s">
        <v>11195</v>
      </c>
      <c r="H5075" s="2" t="s">
        <v>55</v>
      </c>
      <c r="I5075" s="2" t="s">
        <v>12274</v>
      </c>
      <c r="J5075" s="3" t="str">
        <f>HYPERLINK("https://www.boe.es/gazeta/dias/1809/08/21/pdfs/GMD-1809-234.pdf#page=3","Abrir facsímil")</f>
        <v>Abrir facsímil</v>
      </c>
      <c r="K5075" s="3" t="s">
        <v>57</v>
      </c>
    </row>
    <row r="5076" spans="1:11" ht="42" customHeight="1">
      <c r="A5076" s="2" t="s">
        <v>12275</v>
      </c>
      <c r="B5076" s="2" t="s">
        <v>12275</v>
      </c>
      <c r="C5076" s="2" t="s">
        <v>25</v>
      </c>
      <c r="D5076" s="2" t="s">
        <v>18</v>
      </c>
      <c r="E5076" s="3" t="s">
        <v>92</v>
      </c>
      <c r="F5076" s="3" t="s">
        <v>11754</v>
      </c>
      <c r="G5076" s="3" t="s">
        <v>12276</v>
      </c>
      <c r="H5076" s="2" t="s">
        <v>55</v>
      </c>
      <c r="I5076" s="2" t="s">
        <v>12277</v>
      </c>
      <c r="J5076" s="3" t="str">
        <f>HYPERLINK("https://www.boe.es/gazeta/dias/1809/05/22/pdfs/GMD-1809-142.pdf#page=3","Abrir facsímil")</f>
        <v>Abrir facsímil</v>
      </c>
      <c r="K5076" s="3" t="s">
        <v>57</v>
      </c>
    </row>
    <row r="5077" spans="1:11" ht="42" customHeight="1">
      <c r="A5077" s="2" t="s">
        <v>12278</v>
      </c>
      <c r="B5077" s="2" t="s">
        <v>12279</v>
      </c>
      <c r="C5077" s="2" t="s">
        <v>25</v>
      </c>
      <c r="D5077" s="2" t="s">
        <v>26</v>
      </c>
      <c r="E5077" s="3" t="s">
        <v>695</v>
      </c>
      <c r="F5077" s="3" t="s">
        <v>696</v>
      </c>
      <c r="G5077" s="3" t="s">
        <v>697</v>
      </c>
      <c r="H5077" s="2" t="s">
        <v>55</v>
      </c>
      <c r="I5077" s="2" t="s">
        <v>12280</v>
      </c>
      <c r="J5077" s="3" t="str">
        <f>HYPERLINK("https://www.boe.es/gazeta/dias/1809/10/24/pdfs/GGB-1809-362.pdf#page=6","Abrir facsímil")</f>
        <v>Abrir facsímil</v>
      </c>
      <c r="K5077" s="3" t="s">
        <v>57</v>
      </c>
    </row>
    <row r="5078" spans="1:11" ht="42" customHeight="1">
      <c r="A5078" s="2" t="s">
        <v>12281</v>
      </c>
      <c r="B5078" s="2" t="s">
        <v>12281</v>
      </c>
      <c r="C5078" s="2" t="s">
        <v>47</v>
      </c>
      <c r="D5078" s="2" t="s">
        <v>18</v>
      </c>
      <c r="E5078" s="3" t="s">
        <v>384</v>
      </c>
      <c r="F5078" s="3" t="s">
        <v>385</v>
      </c>
      <c r="G5078" s="3" t="s">
        <v>2747</v>
      </c>
      <c r="H5078" s="2" t="s">
        <v>55</v>
      </c>
      <c r="I5078" s="2" t="s">
        <v>12282</v>
      </c>
      <c r="J5078" s="3" t="str">
        <f>HYPERLINK("https://www.boe.es/gazeta/dias/1809/07/27/pdfs/GMD-1809-208.pdf#page=2","Abrir facsímil")</f>
        <v>Abrir facsímil</v>
      </c>
      <c r="K5078" s="3" t="s">
        <v>57</v>
      </c>
    </row>
    <row r="5079" spans="1:11" ht="42" customHeight="1">
      <c r="A5079" s="2" t="s">
        <v>12283</v>
      </c>
      <c r="B5079" s="2" t="s">
        <v>12284</v>
      </c>
      <c r="C5079" s="2" t="s">
        <v>79</v>
      </c>
      <c r="D5079" s="2" t="s">
        <v>40</v>
      </c>
      <c r="E5079" s="3" t="s">
        <v>2244</v>
      </c>
      <c r="F5079" s="3" t="s">
        <v>2245</v>
      </c>
      <c r="G5079" s="3" t="s">
        <v>3015</v>
      </c>
      <c r="H5079" s="2" t="s">
        <v>55</v>
      </c>
      <c r="I5079" s="2" t="s">
        <v>12285</v>
      </c>
      <c r="J5079" s="3" t="str">
        <f>HYPERLINK("https://www.boe.es/gazeta/dias/1809/03/27/pdfs/GGB-1809-13B.pdf#page=8","Abrir facsímil")</f>
        <v>Abrir facsímil</v>
      </c>
      <c r="K5079" s="3" t="s">
        <v>57</v>
      </c>
    </row>
    <row r="5080" spans="1:11" ht="42" customHeight="1">
      <c r="A5080" s="2" t="s">
        <v>12283</v>
      </c>
      <c r="B5080" s="2" t="s">
        <v>12284</v>
      </c>
      <c r="C5080" s="2" t="s">
        <v>39</v>
      </c>
      <c r="D5080" s="2" t="s">
        <v>18</v>
      </c>
      <c r="E5080" s="3" t="s">
        <v>904</v>
      </c>
      <c r="F5080" s="3" t="s">
        <v>905</v>
      </c>
      <c r="G5080" s="3" t="s">
        <v>918</v>
      </c>
      <c r="H5080" s="2" t="s">
        <v>55</v>
      </c>
      <c r="I5080" s="2" t="s">
        <v>12286</v>
      </c>
      <c r="J5080" s="3" t="str">
        <f>HYPERLINK("https://www.boe.es/gazeta/dias/1809/07/07/pdfs/GGB-1809-43.pdf#page=12","Abrir facsímil")</f>
        <v>Abrir facsímil</v>
      </c>
      <c r="K5080" s="3" t="s">
        <v>57</v>
      </c>
    </row>
    <row r="5081" spans="1:11" ht="42" customHeight="1">
      <c r="A5081" s="2" t="s">
        <v>12287</v>
      </c>
      <c r="B5081" s="2" t="s">
        <v>12288</v>
      </c>
      <c r="C5081" s="2" t="s">
        <v>25</v>
      </c>
      <c r="D5081" s="2" t="s">
        <v>18</v>
      </c>
      <c r="E5081" s="3" t="s">
        <v>864</v>
      </c>
      <c r="F5081" s="3" t="s">
        <v>2684</v>
      </c>
      <c r="G5081" s="3" t="s">
        <v>2685</v>
      </c>
      <c r="H5081" s="2" t="s">
        <v>55</v>
      </c>
      <c r="I5081" s="2" t="s">
        <v>12289</v>
      </c>
      <c r="J5081" s="3" t="str">
        <f>HYPERLINK("https://www.boe.es/gazeta/dias/1809/08/31/pdfs/GGB-1809-132.pdf#page=5","Abrir facsímil")</f>
        <v>Abrir facsímil</v>
      </c>
      <c r="K5081" s="3" t="s">
        <v>57</v>
      </c>
    </row>
    <row r="5082" spans="1:11" ht="42" customHeight="1">
      <c r="A5082" s="2" t="s">
        <v>12290</v>
      </c>
      <c r="B5082" s="2" t="s">
        <v>12290</v>
      </c>
      <c r="C5082" s="2" t="s">
        <v>25</v>
      </c>
      <c r="D5082" s="2" t="s">
        <v>26</v>
      </c>
      <c r="E5082" s="3" t="s">
        <v>1007</v>
      </c>
      <c r="F5082" s="3" t="s">
        <v>1008</v>
      </c>
      <c r="G5082" s="3" t="s">
        <v>129</v>
      </c>
      <c r="H5082" s="2" t="s">
        <v>55</v>
      </c>
      <c r="I5082" s="2" t="s">
        <v>12291</v>
      </c>
      <c r="J5082" s="3" t="str">
        <f>HYPERLINK("https://www.boe.es/gazeta/dias/1809/04/14/pdfs/GMD-1809-104.pdf#page=2","Abrir facsímil")</f>
        <v>Abrir facsímil</v>
      </c>
      <c r="K5082" s="3" t="s">
        <v>57</v>
      </c>
    </row>
    <row r="5083" spans="1:11" ht="42" customHeight="1">
      <c r="A5083" s="2" t="s">
        <v>12290</v>
      </c>
      <c r="B5083" s="2" t="s">
        <v>12290</v>
      </c>
      <c r="C5083" s="2" t="s">
        <v>25</v>
      </c>
      <c r="D5083" s="2" t="s">
        <v>18</v>
      </c>
      <c r="E5083" s="3" t="s">
        <v>904</v>
      </c>
      <c r="F5083" s="3" t="s">
        <v>905</v>
      </c>
      <c r="G5083" s="3" t="s">
        <v>9457</v>
      </c>
      <c r="H5083" s="2" t="s">
        <v>55</v>
      </c>
      <c r="I5083" s="2" t="s">
        <v>12292</v>
      </c>
      <c r="J5083" s="3" t="str">
        <f>HYPERLINK("https://www.boe.es/gazeta/dias/1809/07/07/pdfs/GGB-1809-43.pdf#page=1","Abrir facsímil")</f>
        <v>Abrir facsímil</v>
      </c>
      <c r="K5083" s="3" t="s">
        <v>57</v>
      </c>
    </row>
    <row r="5084" spans="1:11" ht="42" customHeight="1">
      <c r="A5084" s="2" t="s">
        <v>12293</v>
      </c>
      <c r="B5084" s="2" t="s">
        <v>12293</v>
      </c>
      <c r="C5084" s="2" t="s">
        <v>25</v>
      </c>
      <c r="D5084" s="2" t="s">
        <v>26</v>
      </c>
      <c r="E5084" s="3" t="s">
        <v>616</v>
      </c>
      <c r="F5084" s="3" t="s">
        <v>617</v>
      </c>
      <c r="G5084" s="3" t="s">
        <v>75</v>
      </c>
      <c r="H5084" s="2" t="s">
        <v>55</v>
      </c>
      <c r="I5084" s="2" t="s">
        <v>12294</v>
      </c>
      <c r="J5084" s="3" t="str">
        <f>HYPERLINK("https://www.boe.es/gazeta/dias/1809/10/15/pdfs/GMD-1809-289.pdf#page=1","Abrir facsímil")</f>
        <v>Abrir facsímil</v>
      </c>
      <c r="K5084" s="3" t="s">
        <v>57</v>
      </c>
    </row>
    <row r="5085" spans="1:11" ht="42" customHeight="1">
      <c r="A5085" s="2" t="s">
        <v>12295</v>
      </c>
      <c r="B5085" s="2" t="s">
        <v>12295</v>
      </c>
      <c r="C5085" s="2" t="s">
        <v>25</v>
      </c>
      <c r="D5085" s="2" t="s">
        <v>18</v>
      </c>
      <c r="E5085" s="3" t="s">
        <v>4993</v>
      </c>
      <c r="F5085" s="3" t="s">
        <v>4994</v>
      </c>
      <c r="G5085" s="3" t="s">
        <v>4762</v>
      </c>
      <c r="H5085" s="2" t="s">
        <v>55</v>
      </c>
      <c r="I5085" s="2" t="s">
        <v>12296</v>
      </c>
      <c r="J5085" s="3" t="str">
        <f>HYPERLINK("https://www.boe.es/gazeta/dias/1809/01/15/pdfs/GMD-1809-15.pdf#page=2","Abrir facsímil")</f>
        <v>Abrir facsímil</v>
      </c>
      <c r="K5085" s="3" t="s">
        <v>57</v>
      </c>
    </row>
    <row r="5086" spans="1:11" ht="42" customHeight="1">
      <c r="A5086" s="2" t="s">
        <v>12297</v>
      </c>
      <c r="B5086" s="2" t="s">
        <v>12297</v>
      </c>
      <c r="C5086" s="2" t="s">
        <v>25</v>
      </c>
      <c r="D5086" s="2" t="s">
        <v>26</v>
      </c>
      <c r="E5086" s="3" t="s">
        <v>4624</v>
      </c>
      <c r="F5086" s="3" t="s">
        <v>4625</v>
      </c>
      <c r="G5086" s="3" t="s">
        <v>1152</v>
      </c>
      <c r="H5086" s="2" t="s">
        <v>55</v>
      </c>
      <c r="I5086" s="2" t="s">
        <v>12298</v>
      </c>
      <c r="J5086" s="3" t="str">
        <f>HYPERLINK("https://www.boe.es/gazeta/dias/1809/01/31/pdfs/GMD-1809-31.pdf#page=2","Abrir facsímil")</f>
        <v>Abrir facsímil</v>
      </c>
      <c r="K5086" s="3" t="s">
        <v>57</v>
      </c>
    </row>
    <row r="5087" spans="1:11" ht="42" customHeight="1">
      <c r="A5087" s="2" t="s">
        <v>12299</v>
      </c>
      <c r="B5087" s="2" t="s">
        <v>12299</v>
      </c>
      <c r="C5087" s="2" t="s">
        <v>25</v>
      </c>
      <c r="D5087" s="2" t="s">
        <v>18</v>
      </c>
      <c r="E5087" s="3" t="s">
        <v>4624</v>
      </c>
      <c r="F5087" s="3" t="s">
        <v>4625</v>
      </c>
      <c r="G5087" s="3" t="s">
        <v>29</v>
      </c>
      <c r="H5087" s="2" t="s">
        <v>55</v>
      </c>
      <c r="I5087" s="2" t="s">
        <v>12300</v>
      </c>
      <c r="J5087" s="3" t="str">
        <f>HYPERLINK("https://www.boe.es/gazeta/dias/1809/01/31/pdfs/GMD-1809-31.pdf#page=3","Abrir facsímil")</f>
        <v>Abrir facsímil</v>
      </c>
      <c r="K5087" s="3" t="s">
        <v>57</v>
      </c>
    </row>
    <row r="5088" spans="1:11" ht="42" customHeight="1">
      <c r="A5088" s="2" t="s">
        <v>12301</v>
      </c>
      <c r="B5088" s="2" t="s">
        <v>12301</v>
      </c>
      <c r="C5088" s="2" t="s">
        <v>25</v>
      </c>
      <c r="D5088" s="2" t="s">
        <v>26</v>
      </c>
      <c r="E5088" s="3" t="s">
        <v>6618</v>
      </c>
      <c r="F5088" s="3" t="s">
        <v>6619</v>
      </c>
      <c r="G5088" s="3" t="s">
        <v>4139</v>
      </c>
      <c r="H5088" s="2" t="s">
        <v>55</v>
      </c>
      <c r="I5088" s="2" t="s">
        <v>12302</v>
      </c>
      <c r="J5088" s="3" t="str">
        <f>HYPERLINK("https://www.boe.es/gazeta/dias/1809/09/18/pdfs/GMD-1809-262.pdf#page=4","Abrir facsímil")</f>
        <v>Abrir facsímil</v>
      </c>
      <c r="K5088" s="3" t="s">
        <v>57</v>
      </c>
    </row>
    <row r="5089" spans="1:11" ht="42" customHeight="1">
      <c r="A5089" s="2" t="s">
        <v>12303</v>
      </c>
      <c r="B5089" s="2" t="s">
        <v>12304</v>
      </c>
      <c r="C5089" s="2" t="s">
        <v>17</v>
      </c>
      <c r="D5089" s="2" t="s">
        <v>72</v>
      </c>
      <c r="E5089" s="3" t="s">
        <v>243</v>
      </c>
      <c r="F5089" s="3" t="s">
        <v>244</v>
      </c>
      <c r="G5089" s="3" t="s">
        <v>110</v>
      </c>
      <c r="H5089" s="2" t="s">
        <v>22</v>
      </c>
      <c r="I5089" s="2" t="s">
        <v>12305</v>
      </c>
      <c r="J5089" s="3" t="str">
        <f>HYPERLINK("https://www.boe.es/gazeta/dias/1809/02/17/pdfs/GGB-G-1809-8.pdf#page=6","Abrir facsímil")</f>
        <v>Abrir facsímil</v>
      </c>
      <c r="K5089" s="3" t="s">
        <v>24</v>
      </c>
    </row>
    <row r="5090" spans="1:11" ht="42" customHeight="1">
      <c r="A5090" s="2" t="s">
        <v>12306</v>
      </c>
      <c r="B5090" s="2" t="s">
        <v>12307</v>
      </c>
      <c r="C5090" s="2" t="s">
        <v>369</v>
      </c>
      <c r="D5090" s="2" t="s">
        <v>18</v>
      </c>
      <c r="E5090" s="3" t="s">
        <v>196</v>
      </c>
      <c r="F5090" s="3" t="s">
        <v>197</v>
      </c>
      <c r="G5090" s="3" t="s">
        <v>198</v>
      </c>
      <c r="H5090" s="2" t="s">
        <v>55</v>
      </c>
      <c r="I5090" s="2" t="s">
        <v>12308</v>
      </c>
      <c r="J5090" s="3" t="str">
        <f>HYPERLINK("https://www.boe.es/gazeta/dias/1809/09/04/pdfs/GMD-1809-248.pdf#page=3","Abrir facsímil")</f>
        <v>Abrir facsímil</v>
      </c>
      <c r="K5090" s="3" t="s">
        <v>57</v>
      </c>
    </row>
    <row r="5091" spans="1:11" ht="42" customHeight="1">
      <c r="A5091" s="2" t="s">
        <v>12309</v>
      </c>
      <c r="B5091" s="2" t="s">
        <v>12309</v>
      </c>
      <c r="C5091" s="2" t="s">
        <v>25</v>
      </c>
      <c r="D5091" s="2" t="s">
        <v>18</v>
      </c>
      <c r="E5091" s="3" t="s">
        <v>167</v>
      </c>
      <c r="F5091" s="3" t="s">
        <v>168</v>
      </c>
      <c r="G5091" s="3" t="s">
        <v>62</v>
      </c>
      <c r="H5091" s="2" t="s">
        <v>55</v>
      </c>
      <c r="I5091" s="2" t="s">
        <v>12310</v>
      </c>
      <c r="J5091" s="3" t="str">
        <f>HYPERLINK("https://www.boe.es/gazeta/dias/1809/06/19/pdfs/GGB-1809-38.pdf#page=1","Abrir facsímil")</f>
        <v>Abrir facsímil</v>
      </c>
      <c r="K5091" s="3" t="s">
        <v>57</v>
      </c>
    </row>
    <row r="5092" spans="1:11" ht="42" customHeight="1">
      <c r="A5092" s="2" t="s">
        <v>12311</v>
      </c>
      <c r="B5092" s="2" t="s">
        <v>12312</v>
      </c>
      <c r="C5092" s="2" t="s">
        <v>17</v>
      </c>
      <c r="D5092" s="2" t="s">
        <v>80</v>
      </c>
      <c r="E5092" s="3" t="s">
        <v>179</v>
      </c>
      <c r="F5092" s="3" t="s">
        <v>180</v>
      </c>
      <c r="G5092" s="3" t="s">
        <v>239</v>
      </c>
      <c r="H5092" s="2" t="s">
        <v>55</v>
      </c>
      <c r="I5092" s="2" t="s">
        <v>12313</v>
      </c>
      <c r="J5092" s="3" t="str">
        <f>HYPERLINK("https://www.boe.es/gazeta/dias/1809/12/08/pdfs/GGB-1809-552E.pdf#page=2","Abrir facsímil")</f>
        <v>Abrir facsímil</v>
      </c>
      <c r="K5092" s="3" t="s">
        <v>57</v>
      </c>
    </row>
    <row r="5093" spans="1:11" ht="42" customHeight="1">
      <c r="A5093" s="2" t="s">
        <v>12314</v>
      </c>
      <c r="B5093" s="2" t="s">
        <v>12315</v>
      </c>
      <c r="C5093" s="2" t="s">
        <v>25</v>
      </c>
      <c r="D5093" s="2" t="s">
        <v>72</v>
      </c>
      <c r="E5093" s="3" t="s">
        <v>143</v>
      </c>
      <c r="F5093" s="3" t="s">
        <v>705</v>
      </c>
      <c r="G5093" s="3" t="s">
        <v>225</v>
      </c>
      <c r="H5093" s="2" t="s">
        <v>55</v>
      </c>
      <c r="I5093" s="2" t="s">
        <v>12316</v>
      </c>
      <c r="J5093" s="3" t="str">
        <f>HYPERLINK("https://www.boe.es/gazeta/dias/1809/11/16/pdfs/GGB-H-1809-462.pdf#page=4","Abrir facsímil")</f>
        <v>Abrir facsímil</v>
      </c>
      <c r="K5093" s="3" t="s">
        <v>57</v>
      </c>
    </row>
    <row r="5094" spans="1:11" ht="42" customHeight="1">
      <c r="A5094" s="2" t="s">
        <v>12317</v>
      </c>
      <c r="B5094" s="2" t="s">
        <v>12318</v>
      </c>
      <c r="C5094" s="2" t="s">
        <v>25</v>
      </c>
      <c r="D5094" s="2" t="s">
        <v>107</v>
      </c>
      <c r="E5094" s="3" t="s">
        <v>289</v>
      </c>
      <c r="F5094" s="3" t="s">
        <v>3937</v>
      </c>
      <c r="G5094" s="3" t="s">
        <v>693</v>
      </c>
      <c r="H5094" s="2" t="s">
        <v>22</v>
      </c>
      <c r="I5094" s="2" t="s">
        <v>12319</v>
      </c>
      <c r="J5094" s="3" t="str">
        <f>HYPERLINK("https://www.boe.es/gazeta/dias/1809/05/15/pdfs/GGB-1809-27.pdf#page=9","Abrir facsímil")</f>
        <v>Abrir facsímil</v>
      </c>
      <c r="K5094" s="3" t="s">
        <v>24</v>
      </c>
    </row>
    <row r="5095" spans="1:11" ht="42" customHeight="1">
      <c r="A5095" s="2" t="s">
        <v>12320</v>
      </c>
      <c r="B5095" s="2" t="s">
        <v>12321</v>
      </c>
      <c r="C5095" s="2" t="s">
        <v>17</v>
      </c>
      <c r="D5095" s="2" t="s">
        <v>72</v>
      </c>
      <c r="E5095" s="3" t="s">
        <v>695</v>
      </c>
      <c r="F5095" s="3" t="s">
        <v>1658</v>
      </c>
      <c r="G5095" s="3" t="s">
        <v>1659</v>
      </c>
      <c r="H5095" s="2" t="s">
        <v>55</v>
      </c>
      <c r="I5095" s="2" t="s">
        <v>12322</v>
      </c>
      <c r="J5095" s="3" t="str">
        <f>HYPERLINK("https://www.boe.es/gazeta/dias/1809/10/24/pdfs/GGB-H-1809-362.pdf#page=4","Abrir facsímil")</f>
        <v>Abrir facsímil</v>
      </c>
      <c r="K5095" s="3" t="s">
        <v>57</v>
      </c>
    </row>
    <row r="5096" spans="1:11" ht="42" customHeight="1">
      <c r="A5096" s="2" t="s">
        <v>12323</v>
      </c>
      <c r="B5096" s="2" t="s">
        <v>12324</v>
      </c>
      <c r="C5096" s="2" t="s">
        <v>25</v>
      </c>
      <c r="D5096" s="2" t="s">
        <v>107</v>
      </c>
      <c r="E5096" s="3" t="s">
        <v>666</v>
      </c>
      <c r="F5096" s="3" t="s">
        <v>6215</v>
      </c>
      <c r="G5096" s="3" t="s">
        <v>136</v>
      </c>
      <c r="H5096" s="2" t="s">
        <v>55</v>
      </c>
      <c r="I5096" s="2" t="s">
        <v>12325</v>
      </c>
      <c r="J5096" s="3" t="str">
        <f>HYPERLINK("https://www.boe.es/gazeta/dias/1809/08/29/pdfs/GMD-1809-242.pdf#page=1","Abrir facsímil")</f>
        <v>Abrir facsímil</v>
      </c>
      <c r="K5096" s="3" t="s">
        <v>57</v>
      </c>
    </row>
    <row r="5097" spans="1:11" ht="42" customHeight="1">
      <c r="A5097" s="2" t="s">
        <v>12326</v>
      </c>
      <c r="B5097" s="2" t="s">
        <v>12327</v>
      </c>
      <c r="C5097" s="2" t="s">
        <v>17</v>
      </c>
      <c r="D5097" s="2" t="s">
        <v>18</v>
      </c>
      <c r="E5097" s="3" t="s">
        <v>442</v>
      </c>
      <c r="F5097" s="3" t="s">
        <v>2171</v>
      </c>
      <c r="G5097" s="3" t="s">
        <v>2172</v>
      </c>
      <c r="H5097" s="2" t="s">
        <v>55</v>
      </c>
      <c r="I5097" s="2" t="s">
        <v>12328</v>
      </c>
      <c r="J5097" s="3" t="str">
        <f>HYPERLINK("https://www.boe.es/gazeta/dias/1809/09/05/pdfs/GMD-1809-249.pdf#page=4","Abrir facsímil")</f>
        <v>Abrir facsímil</v>
      </c>
      <c r="K5097" s="3" t="s">
        <v>57</v>
      </c>
    </row>
    <row r="5098" spans="1:11" ht="42" customHeight="1">
      <c r="A5098" s="2" t="s">
        <v>12329</v>
      </c>
      <c r="B5098" s="2" t="s">
        <v>12330</v>
      </c>
      <c r="C5098" s="2" t="s">
        <v>17</v>
      </c>
      <c r="D5098" s="2" t="s">
        <v>72</v>
      </c>
      <c r="E5098" s="3" t="s">
        <v>864</v>
      </c>
      <c r="F5098" s="3" t="s">
        <v>2291</v>
      </c>
      <c r="G5098" s="3" t="s">
        <v>2292</v>
      </c>
      <c r="H5098" s="2" t="s">
        <v>55</v>
      </c>
      <c r="I5098" s="2" t="s">
        <v>12331</v>
      </c>
      <c r="J5098" s="3" t="str">
        <f>HYPERLINK("https://www.boe.es/gazeta/dias/1809/08/31/pdfs/GGB-H-1809-132.pdf#page=3","Abrir facsímil")</f>
        <v>Abrir facsímil</v>
      </c>
      <c r="K5098" s="3" t="s">
        <v>57</v>
      </c>
    </row>
    <row r="5099" spans="1:11" ht="42" customHeight="1">
      <c r="A5099" s="2" t="s">
        <v>12332</v>
      </c>
      <c r="B5099" s="2" t="s">
        <v>12332</v>
      </c>
      <c r="C5099" s="2" t="s">
        <v>25</v>
      </c>
      <c r="D5099" s="2" t="s">
        <v>26</v>
      </c>
      <c r="E5099" s="3" t="s">
        <v>787</v>
      </c>
      <c r="F5099" s="3" t="s">
        <v>4588</v>
      </c>
      <c r="G5099" s="3" t="s">
        <v>29</v>
      </c>
      <c r="H5099" s="2" t="s">
        <v>55</v>
      </c>
      <c r="I5099" s="2" t="s">
        <v>12333</v>
      </c>
      <c r="J5099" s="3" t="str">
        <f>HYPERLINK("https://www.boe.es/gazeta/dias/1809/04/29/pdfs/GMD-1809-119.pdf#page=3","Abrir facsímil")</f>
        <v>Abrir facsímil</v>
      </c>
      <c r="K5099" s="3" t="s">
        <v>57</v>
      </c>
    </row>
    <row r="5100" spans="1:11" ht="42" customHeight="1">
      <c r="A5100" s="2" t="s">
        <v>12334</v>
      </c>
      <c r="B5100" s="2" t="s">
        <v>12335</v>
      </c>
      <c r="C5100" s="2" t="s">
        <v>25</v>
      </c>
      <c r="D5100" s="2" t="s">
        <v>80</v>
      </c>
      <c r="E5100" s="3" t="s">
        <v>179</v>
      </c>
      <c r="F5100" s="3" t="s">
        <v>180</v>
      </c>
      <c r="G5100" s="3" t="s">
        <v>966</v>
      </c>
      <c r="H5100" s="2" t="s">
        <v>55</v>
      </c>
      <c r="I5100" s="2" t="s">
        <v>12336</v>
      </c>
      <c r="J5100" s="3" t="str">
        <f>HYPERLINK("https://www.boe.es/gazeta/dias/1809/12/08/pdfs/GGB-1809-552E.pdf#page=3","Abrir facsímil")</f>
        <v>Abrir facsímil</v>
      </c>
      <c r="K5100" s="3" t="s">
        <v>57</v>
      </c>
    </row>
    <row r="5101" spans="1:11" ht="42" customHeight="1">
      <c r="A5101" s="2" t="s">
        <v>12337</v>
      </c>
      <c r="B5101" s="2" t="s">
        <v>12338</v>
      </c>
      <c r="C5101" s="2" t="s">
        <v>17</v>
      </c>
      <c r="D5101" s="2" t="s">
        <v>18</v>
      </c>
      <c r="E5101" s="3" t="s">
        <v>1468</v>
      </c>
      <c r="F5101" s="3" t="s">
        <v>1469</v>
      </c>
      <c r="G5101" s="3" t="s">
        <v>4249</v>
      </c>
      <c r="H5101" s="2" t="s">
        <v>55</v>
      </c>
      <c r="I5101" s="2" t="s">
        <v>12339</v>
      </c>
      <c r="J5101" s="3" t="str">
        <f>HYPERLINK("https://www.boe.es/gazeta/dias/1809/02/12/pdfs/GMD-1809-43.pdf#page=8","Abrir facsímil")</f>
        <v>Abrir facsímil</v>
      </c>
      <c r="K5101" s="3" t="s">
        <v>57</v>
      </c>
    </row>
    <row r="5102" spans="1:11" ht="42" customHeight="1">
      <c r="A5102" s="2" t="s">
        <v>12340</v>
      </c>
      <c r="B5102" s="2" t="s">
        <v>12341</v>
      </c>
      <c r="C5102" s="2" t="s">
        <v>17</v>
      </c>
      <c r="D5102" s="2" t="s">
        <v>72</v>
      </c>
      <c r="E5102" s="3" t="s">
        <v>163</v>
      </c>
      <c r="F5102" s="3" t="s">
        <v>164</v>
      </c>
      <c r="G5102" s="3" t="s">
        <v>21</v>
      </c>
      <c r="H5102" s="2" t="s">
        <v>55</v>
      </c>
      <c r="I5102" s="2" t="s">
        <v>12342</v>
      </c>
      <c r="J5102" s="3" t="str">
        <f>HYPERLINK("https://www.boe.es/gazeta/dias/1809/03/10/pdfs/GGB-H-1809-11.pdf#page=8","Abrir facsímil")</f>
        <v>Abrir facsímil</v>
      </c>
      <c r="K5102" s="3" t="s">
        <v>57</v>
      </c>
    </row>
    <row r="5103" spans="1:11" ht="42" customHeight="1">
      <c r="A5103" s="2" t="s">
        <v>12343</v>
      </c>
      <c r="B5103" s="2" t="s">
        <v>12344</v>
      </c>
      <c r="C5103" s="2" t="s">
        <v>369</v>
      </c>
      <c r="D5103" s="2" t="s">
        <v>18</v>
      </c>
      <c r="E5103" s="3" t="s">
        <v>5172</v>
      </c>
      <c r="F5103" s="3" t="s">
        <v>5173</v>
      </c>
      <c r="G5103" s="3" t="s">
        <v>5174</v>
      </c>
      <c r="H5103" s="2" t="s">
        <v>55</v>
      </c>
      <c r="I5103" s="2" t="s">
        <v>12345</v>
      </c>
      <c r="J5103" s="3" t="str">
        <f>HYPERLINK("https://www.boe.es/gazeta/dias/1809/03/06/pdfs/GMD-1809-65.pdf#page=4","Abrir facsímil")</f>
        <v>Abrir facsímil</v>
      </c>
      <c r="K5103" s="3" t="s">
        <v>57</v>
      </c>
    </row>
    <row r="5104" spans="1:11" ht="42" customHeight="1">
      <c r="A5104" s="2" t="s">
        <v>12346</v>
      </c>
      <c r="B5104" s="2" t="s">
        <v>12347</v>
      </c>
      <c r="C5104" s="2" t="s">
        <v>288</v>
      </c>
      <c r="D5104" s="2" t="s">
        <v>72</v>
      </c>
      <c r="E5104" s="3" t="s">
        <v>787</v>
      </c>
      <c r="F5104" s="3" t="s">
        <v>788</v>
      </c>
      <c r="G5104" s="3" t="s">
        <v>789</v>
      </c>
      <c r="H5104" s="2" t="s">
        <v>55</v>
      </c>
      <c r="I5104" s="2" t="s">
        <v>12348</v>
      </c>
      <c r="J5104" s="3" t="str">
        <f>HYPERLINK("https://www.boe.es/gazeta/dias/1809/04/29/pdfs/GMD-E-1809-119.pdf#page=1","Abrir facsímil")</f>
        <v>Abrir facsímil</v>
      </c>
      <c r="K5104" s="3" t="s">
        <v>57</v>
      </c>
    </row>
    <row r="5105" spans="1:11" ht="42" customHeight="1">
      <c r="A5105" s="2" t="s">
        <v>12349</v>
      </c>
      <c r="B5105" s="2" t="s">
        <v>12350</v>
      </c>
      <c r="C5105" s="2" t="s">
        <v>17</v>
      </c>
      <c r="D5105" s="2" t="s">
        <v>18</v>
      </c>
      <c r="E5105" s="3" t="s">
        <v>3397</v>
      </c>
      <c r="F5105" s="3" t="s">
        <v>3398</v>
      </c>
      <c r="G5105" s="3" t="s">
        <v>225</v>
      </c>
      <c r="H5105" s="2" t="s">
        <v>55</v>
      </c>
      <c r="I5105" s="2" t="s">
        <v>12351</v>
      </c>
      <c r="J5105" s="3" t="str">
        <f>HYPERLINK("https://www.boe.es/gazeta/dias/1809/02/08/pdfs/GMD-1809-39.pdf#page=4","Abrir facsímil")</f>
        <v>Abrir facsímil</v>
      </c>
      <c r="K5105" s="3" t="s">
        <v>57</v>
      </c>
    </row>
    <row r="5106" spans="1:11" ht="42" customHeight="1">
      <c r="A5106" s="2" t="s">
        <v>12352</v>
      </c>
      <c r="B5106" s="2" t="s">
        <v>12353</v>
      </c>
      <c r="C5106" s="2" t="s">
        <v>17</v>
      </c>
      <c r="D5106" s="2" t="s">
        <v>18</v>
      </c>
      <c r="E5106" s="3" t="s">
        <v>1551</v>
      </c>
      <c r="F5106" s="3" t="s">
        <v>1552</v>
      </c>
      <c r="G5106" s="3" t="s">
        <v>169</v>
      </c>
      <c r="H5106" s="2" t="s">
        <v>55</v>
      </c>
      <c r="I5106" s="2" t="s">
        <v>12354</v>
      </c>
      <c r="J5106" s="3" t="str">
        <f>HYPERLINK("https://www.boe.es/gazeta/dias/1809/06/12/pdfs/GGB-1809-36.pdf#page=11","Abrir facsímil")</f>
        <v>Abrir facsímil</v>
      </c>
      <c r="K5106" s="3" t="s">
        <v>57</v>
      </c>
    </row>
    <row r="5107" spans="1:11" ht="42" customHeight="1">
      <c r="A5107" s="2" t="s">
        <v>12355</v>
      </c>
      <c r="B5107" s="2" t="s">
        <v>12355</v>
      </c>
      <c r="C5107" s="2" t="s">
        <v>25</v>
      </c>
      <c r="D5107" s="2" t="s">
        <v>26</v>
      </c>
      <c r="E5107" s="3" t="s">
        <v>4624</v>
      </c>
      <c r="F5107" s="3" t="s">
        <v>4625</v>
      </c>
      <c r="G5107" s="3" t="s">
        <v>1152</v>
      </c>
      <c r="H5107" s="2" t="s">
        <v>55</v>
      </c>
      <c r="I5107" s="2" t="s">
        <v>12356</v>
      </c>
      <c r="J5107" s="3" t="str">
        <f>HYPERLINK("https://www.boe.es/gazeta/dias/1809/01/31/pdfs/GMD-1809-31.pdf#page=2","Abrir facsímil")</f>
        <v>Abrir facsímil</v>
      </c>
      <c r="K5107" s="3" t="s">
        <v>57</v>
      </c>
    </row>
    <row r="5108" spans="1:11" ht="42" customHeight="1">
      <c r="A5108" s="2" t="s">
        <v>12357</v>
      </c>
      <c r="B5108" s="2" t="s">
        <v>12357</v>
      </c>
      <c r="C5108" s="2" t="s">
        <v>25</v>
      </c>
      <c r="D5108" s="2" t="s">
        <v>18</v>
      </c>
      <c r="E5108" s="3" t="s">
        <v>410</v>
      </c>
      <c r="F5108" s="3" t="s">
        <v>411</v>
      </c>
      <c r="G5108" s="3" t="s">
        <v>316</v>
      </c>
      <c r="H5108" s="2" t="s">
        <v>55</v>
      </c>
      <c r="I5108" s="2" t="s">
        <v>12358</v>
      </c>
      <c r="J5108" s="3" t="str">
        <f>HYPERLINK("https://www.boe.es/gazeta/dias/1809/03/04/pdfs/GMD-1809-63.pdf#page=2","Abrir facsímil")</f>
        <v>Abrir facsímil</v>
      </c>
      <c r="K5108" s="3" t="s">
        <v>57</v>
      </c>
    </row>
    <row r="5109" spans="1:11" ht="42" customHeight="1">
      <c r="A5109" s="2" t="s">
        <v>12359</v>
      </c>
      <c r="B5109" s="2" t="s">
        <v>12360</v>
      </c>
      <c r="C5109" s="2" t="s">
        <v>17</v>
      </c>
      <c r="D5109" s="2" t="s">
        <v>18</v>
      </c>
      <c r="E5109" s="3" t="s">
        <v>712</v>
      </c>
      <c r="F5109" s="3" t="s">
        <v>713</v>
      </c>
      <c r="G5109" s="3" t="s">
        <v>154</v>
      </c>
      <c r="H5109" s="2" t="s">
        <v>55</v>
      </c>
      <c r="I5109" s="2" t="s">
        <v>12361</v>
      </c>
      <c r="J5109" s="3" t="str">
        <f>HYPERLINK("https://www.boe.es/gazeta/dias/1809/09/10/pdfs/GMD-1809-254.pdf#page=3","Abrir facsímil")</f>
        <v>Abrir facsímil</v>
      </c>
      <c r="K5109" s="3" t="s">
        <v>57</v>
      </c>
    </row>
    <row r="5110" spans="1:11" ht="42" customHeight="1">
      <c r="A5110" s="2" t="s">
        <v>12362</v>
      </c>
      <c r="B5110" s="2" t="s">
        <v>12363</v>
      </c>
      <c r="C5110" s="2" t="s">
        <v>2176</v>
      </c>
      <c r="D5110" s="2" t="s">
        <v>18</v>
      </c>
      <c r="E5110" s="3" t="s">
        <v>500</v>
      </c>
      <c r="F5110" s="3" t="s">
        <v>2357</v>
      </c>
      <c r="G5110" s="3" t="s">
        <v>906</v>
      </c>
      <c r="H5110" s="2" t="s">
        <v>22</v>
      </c>
      <c r="I5110" s="2" t="s">
        <v>12364</v>
      </c>
      <c r="J5110" s="3" t="str">
        <f>HYPERLINK("https://www.boe.es/gazeta/dias/1809/03/24/pdfs/GGB-1809-13.pdf#page=8","Abrir facsímil")</f>
        <v>Abrir facsímil</v>
      </c>
      <c r="K5110" s="3" t="s">
        <v>24</v>
      </c>
    </row>
    <row r="5111" spans="1:11" ht="42" customHeight="1">
      <c r="A5111" s="2" t="s">
        <v>12365</v>
      </c>
      <c r="B5111" s="2" t="s">
        <v>12366</v>
      </c>
      <c r="C5111" s="2" t="s">
        <v>25</v>
      </c>
      <c r="D5111" s="2" t="s">
        <v>26</v>
      </c>
      <c r="E5111" s="3" t="s">
        <v>332</v>
      </c>
      <c r="F5111" s="3" t="s">
        <v>333</v>
      </c>
      <c r="G5111" s="3" t="s">
        <v>29</v>
      </c>
      <c r="H5111" s="2" t="s">
        <v>22</v>
      </c>
      <c r="I5111" s="2" t="s">
        <v>12367</v>
      </c>
      <c r="J5111" s="3" t="str">
        <f>HYPERLINK("https://www.boe.es/gazeta/dias/1809/02/23/pdfs/GMD-1809-54.pdf#page=3","Abrir facsímil")</f>
        <v>Abrir facsímil</v>
      </c>
      <c r="K5111" s="3" t="s">
        <v>24</v>
      </c>
    </row>
    <row r="5112" spans="1:11" ht="42" customHeight="1">
      <c r="A5112" s="2" t="s">
        <v>12368</v>
      </c>
      <c r="B5112" s="2" t="s">
        <v>12369</v>
      </c>
      <c r="C5112" s="2" t="s">
        <v>17</v>
      </c>
      <c r="D5112" s="2" t="s">
        <v>18</v>
      </c>
      <c r="E5112" s="3" t="s">
        <v>273</v>
      </c>
      <c r="F5112" s="3" t="s">
        <v>274</v>
      </c>
      <c r="G5112" s="3" t="s">
        <v>12370</v>
      </c>
      <c r="H5112" s="2" t="s">
        <v>22</v>
      </c>
      <c r="I5112" s="2" t="s">
        <v>12371</v>
      </c>
      <c r="J5112" s="3" t="str">
        <f>HYPERLINK("https://www.boe.es/gazeta/dias/1809/08/13/pdfs/GMD-1809-226.pdf#page=4","Abrir facsímil")</f>
        <v>Abrir facsímil</v>
      </c>
      <c r="K5112" s="3" t="s">
        <v>24</v>
      </c>
    </row>
    <row r="5113" spans="1:11" ht="42" customHeight="1">
      <c r="A5113" s="2" t="s">
        <v>12372</v>
      </c>
      <c r="B5113" s="2" t="s">
        <v>12373</v>
      </c>
      <c r="C5113" s="2" t="s">
        <v>47</v>
      </c>
      <c r="D5113" s="2" t="s">
        <v>18</v>
      </c>
      <c r="E5113" s="3" t="s">
        <v>1648</v>
      </c>
      <c r="F5113" s="3" t="s">
        <v>1649</v>
      </c>
      <c r="G5113" s="3" t="s">
        <v>687</v>
      </c>
      <c r="H5113" s="2" t="s">
        <v>22</v>
      </c>
      <c r="I5113" s="2" t="s">
        <v>12374</v>
      </c>
      <c r="J5113" s="3" t="str">
        <f>HYPERLINK("https://www.boe.es/gazeta/dias/1809/05/16/pdfs/GMD-1809-136.pdf#page=2","Abrir facsímil")</f>
        <v>Abrir facsímil</v>
      </c>
      <c r="K5113" s="3" t="s">
        <v>24</v>
      </c>
    </row>
    <row r="5114" spans="1:11" ht="42" customHeight="1">
      <c r="A5114" s="2" t="s">
        <v>12375</v>
      </c>
      <c r="B5114" s="2" t="s">
        <v>12375</v>
      </c>
      <c r="C5114" s="2" t="s">
        <v>25</v>
      </c>
      <c r="D5114" s="2" t="s">
        <v>26</v>
      </c>
      <c r="E5114" s="3" t="s">
        <v>147</v>
      </c>
      <c r="F5114" s="3" t="s">
        <v>148</v>
      </c>
      <c r="G5114" s="3" t="s">
        <v>94</v>
      </c>
      <c r="H5114" s="2" t="s">
        <v>55</v>
      </c>
      <c r="I5114" s="2" t="s">
        <v>12376</v>
      </c>
      <c r="J5114" s="3" t="str">
        <f>HYPERLINK("https://www.boe.es/gazeta/dias/1809/10/07/pdfs/GGB-1809-292.pdf#page=5","Abrir facsímil")</f>
        <v>Abrir facsímil</v>
      </c>
      <c r="K5114" s="3" t="s">
        <v>57</v>
      </c>
    </row>
    <row r="5115" spans="1:11" ht="42" customHeight="1">
      <c r="A5115" s="2" t="s">
        <v>12377</v>
      </c>
      <c r="B5115" s="2" t="s">
        <v>12378</v>
      </c>
      <c r="C5115" s="2" t="s">
        <v>79</v>
      </c>
      <c r="D5115" s="2" t="s">
        <v>40</v>
      </c>
      <c r="E5115" s="3" t="s">
        <v>327</v>
      </c>
      <c r="F5115" s="3" t="s">
        <v>328</v>
      </c>
      <c r="G5115" s="3" t="s">
        <v>1765</v>
      </c>
      <c r="H5115" s="2" t="s">
        <v>55</v>
      </c>
      <c r="I5115" s="2" t="s">
        <v>12379</v>
      </c>
      <c r="J5115" s="3" t="str">
        <f>HYPERLINK("https://www.boe.es/gazeta/dias/1809/09/14/pdfs/GGB-1809-192.pdf#page=7","Abrir facsímil")</f>
        <v>Abrir facsímil</v>
      </c>
      <c r="K5115" s="3" t="s">
        <v>57</v>
      </c>
    </row>
    <row r="5116" spans="1:11" ht="42" customHeight="1">
      <c r="A5116" s="2" t="s">
        <v>12380</v>
      </c>
      <c r="B5116" s="2" t="s">
        <v>12380</v>
      </c>
      <c r="C5116" s="2" t="s">
        <v>25</v>
      </c>
      <c r="D5116" s="2" t="s">
        <v>26</v>
      </c>
      <c r="E5116" s="3" t="s">
        <v>1053</v>
      </c>
      <c r="F5116" s="3" t="s">
        <v>1054</v>
      </c>
      <c r="G5116" s="3" t="s">
        <v>75</v>
      </c>
      <c r="H5116" s="2" t="s">
        <v>55</v>
      </c>
      <c r="I5116" s="2" t="s">
        <v>12381</v>
      </c>
      <c r="J5116" s="3" t="str">
        <f>HYPERLINK("https://www.boe.es/gazeta/dias/1809/05/13/pdfs/GMD-1809-133.pdf#page=4","Abrir facsímil")</f>
        <v>Abrir facsímil</v>
      </c>
      <c r="K5116" s="3" t="s">
        <v>57</v>
      </c>
    </row>
    <row r="5117" spans="1:11" ht="42" customHeight="1">
      <c r="A5117" s="2" t="s">
        <v>12382</v>
      </c>
      <c r="B5117" s="2" t="s">
        <v>12383</v>
      </c>
      <c r="C5117" s="2" t="s">
        <v>25</v>
      </c>
      <c r="D5117" s="2" t="s">
        <v>18</v>
      </c>
      <c r="E5117" s="3" t="s">
        <v>589</v>
      </c>
      <c r="F5117" s="3" t="s">
        <v>590</v>
      </c>
      <c r="G5117" s="3" t="s">
        <v>3102</v>
      </c>
      <c r="H5117" s="2" t="s">
        <v>55</v>
      </c>
      <c r="I5117" s="2" t="s">
        <v>12384</v>
      </c>
      <c r="J5117" s="3" t="str">
        <f>HYPERLINK("https://www.boe.es/gazeta/dias/1809/10/05/pdfs/GGB-1809-282.pdf#page=6","Abrir facsímil")</f>
        <v>Abrir facsímil</v>
      </c>
      <c r="K5117" s="3" t="s">
        <v>57</v>
      </c>
    </row>
    <row r="5118" spans="1:11" ht="42" customHeight="1">
      <c r="A5118" s="2" t="s">
        <v>12385</v>
      </c>
      <c r="B5118" s="2" t="s">
        <v>12386</v>
      </c>
      <c r="C5118" s="2" t="s">
        <v>79</v>
      </c>
      <c r="D5118" s="2" t="s">
        <v>18</v>
      </c>
      <c r="E5118" s="3" t="s">
        <v>500</v>
      </c>
      <c r="F5118" s="3" t="s">
        <v>2357</v>
      </c>
      <c r="G5118" s="3" t="s">
        <v>115</v>
      </c>
      <c r="H5118" s="2" t="s">
        <v>55</v>
      </c>
      <c r="I5118" s="2" t="s">
        <v>12387</v>
      </c>
      <c r="J5118" s="3" t="str">
        <f>HYPERLINK("https://www.boe.es/gazeta/dias/1809/03/24/pdfs/GGB-1809-13.pdf#page=6","Abrir facsímil")</f>
        <v>Abrir facsímil</v>
      </c>
      <c r="K5118" s="3" t="s">
        <v>57</v>
      </c>
    </row>
    <row r="5119" spans="1:11" ht="42" customHeight="1">
      <c r="A5119" s="2" t="s">
        <v>12388</v>
      </c>
      <c r="B5119" s="2" t="s">
        <v>12389</v>
      </c>
      <c r="C5119" s="2" t="s">
        <v>17</v>
      </c>
      <c r="D5119" s="2" t="s">
        <v>40</v>
      </c>
      <c r="E5119" s="3" t="s">
        <v>925</v>
      </c>
      <c r="F5119" s="3" t="s">
        <v>926</v>
      </c>
      <c r="G5119" s="3" t="s">
        <v>62</v>
      </c>
      <c r="H5119" s="2" t="s">
        <v>55</v>
      </c>
      <c r="I5119" s="2" t="s">
        <v>12390</v>
      </c>
      <c r="J5119" s="3" t="str">
        <f>HYPERLINK("https://www.boe.es/gazeta/dias/1809/01/11/pdfs/GGB-1809-2.pdf#page=6","Abrir facsímil")</f>
        <v>Abrir facsímil</v>
      </c>
      <c r="K5119" s="3" t="s">
        <v>57</v>
      </c>
    </row>
    <row r="5120" spans="1:11" ht="42" customHeight="1">
      <c r="A5120" s="2" t="s">
        <v>12391</v>
      </c>
      <c r="B5120" s="2" t="s">
        <v>12392</v>
      </c>
      <c r="C5120" s="2" t="s">
        <v>25</v>
      </c>
      <c r="D5120" s="2" t="s">
        <v>26</v>
      </c>
      <c r="E5120" s="3" t="s">
        <v>394</v>
      </c>
      <c r="F5120" s="3" t="s">
        <v>2563</v>
      </c>
      <c r="G5120" s="3" t="s">
        <v>110</v>
      </c>
      <c r="H5120" s="2" t="s">
        <v>55</v>
      </c>
      <c r="I5120" s="2" t="s">
        <v>12393</v>
      </c>
      <c r="J5120" s="3" t="str">
        <f>HYPERLINK("https://www.boe.es/gazeta/dias/1809/12/14/pdfs/GMD-1809-349.pdf#page=3","Abrir facsímil")</f>
        <v>Abrir facsímil</v>
      </c>
      <c r="K5120" s="3" t="s">
        <v>57</v>
      </c>
    </row>
    <row r="5121" spans="1:11" ht="42" customHeight="1">
      <c r="A5121" s="2" t="s">
        <v>12394</v>
      </c>
      <c r="B5121" s="2" t="s">
        <v>12394</v>
      </c>
      <c r="C5121" s="2" t="s">
        <v>17</v>
      </c>
      <c r="D5121" s="2" t="s">
        <v>18</v>
      </c>
      <c r="E5121" s="3" t="s">
        <v>5322</v>
      </c>
      <c r="F5121" s="3" t="s">
        <v>5323</v>
      </c>
      <c r="G5121" s="3" t="s">
        <v>129</v>
      </c>
      <c r="H5121" s="2" t="s">
        <v>55</v>
      </c>
      <c r="I5121" s="2" t="s">
        <v>12395</v>
      </c>
      <c r="J5121" s="3" t="str">
        <f>HYPERLINK("https://www.boe.es/gazeta/dias/1809/12/31/pdfs/GMD-1809-366.pdf#page=2","Abrir facsímil")</f>
        <v>Abrir facsímil</v>
      </c>
      <c r="K5121" s="3" t="s">
        <v>57</v>
      </c>
    </row>
    <row r="5122" spans="1:11" ht="42" customHeight="1">
      <c r="A5122" s="2" t="s">
        <v>12396</v>
      </c>
      <c r="B5122" s="2" t="s">
        <v>12397</v>
      </c>
      <c r="C5122" s="2" t="s">
        <v>17</v>
      </c>
      <c r="D5122" s="2" t="s">
        <v>18</v>
      </c>
      <c r="E5122" s="3" t="s">
        <v>33</v>
      </c>
      <c r="F5122" s="3" t="s">
        <v>34</v>
      </c>
      <c r="G5122" s="3" t="s">
        <v>493</v>
      </c>
      <c r="H5122" s="2" t="s">
        <v>55</v>
      </c>
      <c r="I5122" s="2" t="s">
        <v>12398</v>
      </c>
      <c r="J5122" s="3" t="str">
        <f>HYPERLINK("https://www.boe.es/gazeta/dias/1809/12/19/pdfs/GGB-1809-602.pdf#page=6","Abrir facsímil")</f>
        <v>Abrir facsímil</v>
      </c>
      <c r="K5122" s="3" t="s">
        <v>57</v>
      </c>
    </row>
    <row r="5123" spans="1:11" ht="42" customHeight="1">
      <c r="A5123" s="2" t="s">
        <v>12399</v>
      </c>
      <c r="B5123" s="2" t="s">
        <v>12400</v>
      </c>
      <c r="C5123" s="2" t="s">
        <v>25</v>
      </c>
      <c r="D5123" s="2" t="s">
        <v>18</v>
      </c>
      <c r="E5123" s="3" t="s">
        <v>2845</v>
      </c>
      <c r="F5123" s="3" t="s">
        <v>2846</v>
      </c>
      <c r="G5123" s="3" t="s">
        <v>467</v>
      </c>
      <c r="H5123" s="2" t="s">
        <v>55</v>
      </c>
      <c r="I5123" s="2" t="s">
        <v>12401</v>
      </c>
      <c r="J5123" s="3" t="str">
        <f>HYPERLINK("https://www.boe.es/gazeta/dias/1809/11/23/pdfs/GGB-1809-492.pdf#page=5","Abrir facsímil")</f>
        <v>Abrir facsímil</v>
      </c>
      <c r="K5123" s="3" t="s">
        <v>57</v>
      </c>
    </row>
    <row r="5124" spans="1:11" ht="42" customHeight="1">
      <c r="A5124" s="2" t="s">
        <v>12402</v>
      </c>
      <c r="B5124" s="2" t="s">
        <v>12403</v>
      </c>
      <c r="C5124" s="2" t="s">
        <v>79</v>
      </c>
      <c r="D5124" s="2" t="s">
        <v>18</v>
      </c>
      <c r="E5124" s="3" t="s">
        <v>327</v>
      </c>
      <c r="F5124" s="3" t="s">
        <v>328</v>
      </c>
      <c r="G5124" s="3" t="s">
        <v>329</v>
      </c>
      <c r="H5124" s="2" t="s">
        <v>55</v>
      </c>
      <c r="I5124" s="2" t="s">
        <v>12404</v>
      </c>
      <c r="J5124" s="3" t="str">
        <f>HYPERLINK("https://www.boe.es/gazeta/dias/1809/09/14/pdfs/GGB-1809-192.pdf#page=8","Abrir facsímil")</f>
        <v>Abrir facsímil</v>
      </c>
      <c r="K5124" s="3" t="s">
        <v>57</v>
      </c>
    </row>
    <row r="5125" spans="1:11" ht="42" customHeight="1">
      <c r="A5125" s="2" t="s">
        <v>12405</v>
      </c>
      <c r="B5125" s="2" t="s">
        <v>12406</v>
      </c>
      <c r="C5125" s="2" t="s">
        <v>17</v>
      </c>
      <c r="D5125" s="2" t="s">
        <v>40</v>
      </c>
      <c r="E5125" s="3" t="s">
        <v>1652</v>
      </c>
      <c r="F5125" s="3" t="s">
        <v>1653</v>
      </c>
      <c r="G5125" s="3" t="s">
        <v>169</v>
      </c>
      <c r="H5125" s="2" t="s">
        <v>55</v>
      </c>
      <c r="I5125" s="2" t="s">
        <v>12407</v>
      </c>
      <c r="J5125" s="3" t="str">
        <f>HYPERLINK("https://www.boe.es/gazeta/dias/1809/07/25/pdfs/GGB-1809-48.pdf#page=11","Abrir facsímil")</f>
        <v>Abrir facsímil</v>
      </c>
      <c r="K5125" s="3" t="s">
        <v>57</v>
      </c>
    </row>
    <row r="5126" spans="1:11" ht="42" customHeight="1">
      <c r="A5126" s="2" t="s">
        <v>12408</v>
      </c>
      <c r="B5126" s="2" t="s">
        <v>12409</v>
      </c>
      <c r="C5126" s="2" t="s">
        <v>17</v>
      </c>
      <c r="D5126" s="2" t="s">
        <v>18</v>
      </c>
      <c r="E5126" s="3" t="s">
        <v>283</v>
      </c>
      <c r="F5126" s="3" t="s">
        <v>284</v>
      </c>
      <c r="G5126" s="3" t="s">
        <v>21</v>
      </c>
      <c r="H5126" s="2" t="s">
        <v>55</v>
      </c>
      <c r="I5126" s="2" t="s">
        <v>12410</v>
      </c>
      <c r="J5126" s="3" t="str">
        <f>HYPERLINK("https://www.boe.es/gazeta/dias/1809/02/09/pdfs/GMD-1809-40.pdf#page=4","Abrir facsímil")</f>
        <v>Abrir facsímil</v>
      </c>
      <c r="K5126" s="3" t="s">
        <v>57</v>
      </c>
    </row>
    <row r="5127" spans="1:11" ht="42" customHeight="1">
      <c r="A5127" s="2" t="s">
        <v>12411</v>
      </c>
      <c r="B5127" s="2" t="s">
        <v>12412</v>
      </c>
      <c r="C5127" s="2" t="s">
        <v>17</v>
      </c>
      <c r="D5127" s="2" t="s">
        <v>18</v>
      </c>
      <c r="E5127" s="3" t="s">
        <v>33</v>
      </c>
      <c r="F5127" s="3" t="s">
        <v>34</v>
      </c>
      <c r="G5127" s="3" t="s">
        <v>35</v>
      </c>
      <c r="H5127" s="2" t="s">
        <v>55</v>
      </c>
      <c r="I5127" s="2" t="s">
        <v>12413</v>
      </c>
      <c r="J5127" s="3" t="str">
        <f>HYPERLINK("https://www.boe.es/gazeta/dias/1809/12/19/pdfs/GGB-1809-602.pdf#page=5","Abrir facsímil")</f>
        <v>Abrir facsímil</v>
      </c>
      <c r="K5127" s="3" t="s">
        <v>57</v>
      </c>
    </row>
    <row r="5128" spans="1:11" ht="42" customHeight="1">
      <c r="A5128" s="2" t="s">
        <v>12414</v>
      </c>
      <c r="B5128" s="2" t="s">
        <v>12415</v>
      </c>
      <c r="C5128" s="2" t="s">
        <v>25</v>
      </c>
      <c r="D5128" s="2" t="s">
        <v>72</v>
      </c>
      <c r="E5128" s="3" t="s">
        <v>473</v>
      </c>
      <c r="F5128" s="3" t="s">
        <v>1199</v>
      </c>
      <c r="G5128" s="3" t="s">
        <v>75</v>
      </c>
      <c r="H5128" s="2" t="s">
        <v>55</v>
      </c>
      <c r="I5128" s="2" t="s">
        <v>12416</v>
      </c>
      <c r="J5128" s="3" t="str">
        <f>HYPERLINK("https://www.boe.es/gazeta/dias/1809/12/28/pdfs/GGB-H-1809-642.pdf#page=7","Abrir facsímil")</f>
        <v>Abrir facsímil</v>
      </c>
      <c r="K5128" s="3" t="s">
        <v>57</v>
      </c>
    </row>
    <row r="5129" spans="1:11" ht="42" customHeight="1">
      <c r="A5129" s="2" t="s">
        <v>12417</v>
      </c>
      <c r="B5129" s="2" t="s">
        <v>12418</v>
      </c>
      <c r="C5129" s="2" t="s">
        <v>131</v>
      </c>
      <c r="D5129" s="2" t="s">
        <v>72</v>
      </c>
      <c r="E5129" s="3" t="s">
        <v>216</v>
      </c>
      <c r="F5129" s="3" t="s">
        <v>217</v>
      </c>
      <c r="G5129" s="3" t="s">
        <v>439</v>
      </c>
      <c r="H5129" s="2" t="s">
        <v>55</v>
      </c>
      <c r="I5129" s="2" t="s">
        <v>12419</v>
      </c>
      <c r="J5129" s="3" t="str">
        <f>HYPERLINK("https://www.boe.es/gazeta/dias/1809/12/05/pdfs/GGB-H-1809-542.pdf#page=7","Abrir facsímil")</f>
        <v>Abrir facsímil</v>
      </c>
      <c r="K5129" s="3" t="s">
        <v>57</v>
      </c>
    </row>
    <row r="5130" spans="1:11" ht="42" customHeight="1">
      <c r="A5130" s="2" t="s">
        <v>12420</v>
      </c>
      <c r="B5130" s="2" t="s">
        <v>12421</v>
      </c>
      <c r="C5130" s="2" t="s">
        <v>25</v>
      </c>
      <c r="D5130" s="2" t="s">
        <v>26</v>
      </c>
      <c r="E5130" s="3" t="s">
        <v>258</v>
      </c>
      <c r="F5130" s="3" t="s">
        <v>910</v>
      </c>
      <c r="G5130" s="3" t="s">
        <v>693</v>
      </c>
      <c r="H5130" s="2" t="s">
        <v>55</v>
      </c>
      <c r="I5130" s="2" t="s">
        <v>12422</v>
      </c>
      <c r="J5130" s="3" t="str">
        <f>HYPERLINK("https://www.boe.es/gazeta/dias/1809/03/17/pdfs/GGB-1809-12.pdf#page=9","Abrir facsímil")</f>
        <v>Abrir facsímil</v>
      </c>
      <c r="K5130" s="3" t="s">
        <v>57</v>
      </c>
    </row>
    <row r="5131" spans="1:11" ht="42" customHeight="1">
      <c r="A5131" s="2" t="s">
        <v>12420</v>
      </c>
      <c r="B5131" s="2" t="s">
        <v>12421</v>
      </c>
      <c r="C5131" s="2" t="s">
        <v>17</v>
      </c>
      <c r="D5131" s="2" t="s">
        <v>80</v>
      </c>
      <c r="E5131" s="3" t="s">
        <v>755</v>
      </c>
      <c r="F5131" s="3" t="s">
        <v>2335</v>
      </c>
      <c r="G5131" s="3" t="s">
        <v>2337</v>
      </c>
      <c r="H5131" s="2" t="s">
        <v>55</v>
      </c>
      <c r="I5131" s="2" t="s">
        <v>12423</v>
      </c>
      <c r="J5131" s="3" t="str">
        <f>HYPERLINK("https://www.boe.es/gazeta/dias/1809/05/20/pdfs/GGB-1809-29E2.pdf#page=2","Abrir facsímil")</f>
        <v>Abrir facsímil</v>
      </c>
      <c r="K5131" s="3" t="s">
        <v>57</v>
      </c>
    </row>
    <row r="5132" spans="1:11" ht="42" customHeight="1">
      <c r="A5132" s="2" t="s">
        <v>12424</v>
      </c>
      <c r="B5132" s="2" t="s">
        <v>12424</v>
      </c>
      <c r="C5132" s="2" t="s">
        <v>25</v>
      </c>
      <c r="D5132" s="2" t="s">
        <v>26</v>
      </c>
      <c r="E5132" s="3" t="s">
        <v>585</v>
      </c>
      <c r="F5132" s="3" t="s">
        <v>586</v>
      </c>
      <c r="G5132" s="3" t="s">
        <v>587</v>
      </c>
      <c r="H5132" s="2" t="s">
        <v>55</v>
      </c>
      <c r="I5132" s="2" t="s">
        <v>12425</v>
      </c>
      <c r="J5132" s="3" t="str">
        <f>HYPERLINK("https://www.boe.es/gazeta/dias/1809/01/09/pdfs/GMD-1809-9.pdf#page=3","Abrir facsímil")</f>
        <v>Abrir facsímil</v>
      </c>
      <c r="K5132" s="3" t="s">
        <v>57</v>
      </c>
    </row>
    <row r="5133" spans="1:11" ht="42" customHeight="1">
      <c r="A5133" s="2" t="s">
        <v>12424</v>
      </c>
      <c r="B5133" s="2" t="s">
        <v>12424</v>
      </c>
      <c r="C5133" s="2" t="s">
        <v>25</v>
      </c>
      <c r="D5133" s="2" t="s">
        <v>26</v>
      </c>
      <c r="E5133" s="3" t="s">
        <v>599</v>
      </c>
      <c r="F5133" s="3" t="s">
        <v>600</v>
      </c>
      <c r="G5133" s="3" t="s">
        <v>234</v>
      </c>
      <c r="H5133" s="2" t="s">
        <v>55</v>
      </c>
      <c r="I5133" s="2" t="s">
        <v>12426</v>
      </c>
      <c r="J5133" s="3" t="str">
        <f>HYPERLINK("https://www.boe.es/gazeta/dias/1809/01/19/pdfs/GMD-1809-19.pdf#page=2","Abrir facsímil")</f>
        <v>Abrir facsímil</v>
      </c>
      <c r="K5133" s="3" t="s">
        <v>57</v>
      </c>
    </row>
    <row r="5134" spans="1:11" ht="42" customHeight="1">
      <c r="A5134" s="2" t="s">
        <v>12427</v>
      </c>
      <c r="B5134" s="2" t="s">
        <v>12428</v>
      </c>
      <c r="C5134" s="2" t="s">
        <v>17</v>
      </c>
      <c r="D5134" s="2" t="s">
        <v>40</v>
      </c>
      <c r="E5134" s="3" t="s">
        <v>1396</v>
      </c>
      <c r="F5134" s="3" t="s">
        <v>2370</v>
      </c>
      <c r="G5134" s="3" t="s">
        <v>239</v>
      </c>
      <c r="H5134" s="2" t="s">
        <v>55</v>
      </c>
      <c r="I5134" s="2" t="s">
        <v>12429</v>
      </c>
      <c r="J5134" s="3" t="str">
        <f>HYPERLINK("https://www.boe.es/gazeta/dias/1809/11/28/pdfs/GGB-H-1809-512.pdf#page=6","Abrir facsímil")</f>
        <v>Abrir facsímil</v>
      </c>
      <c r="K5134" s="3" t="s">
        <v>57</v>
      </c>
    </row>
    <row r="5135" spans="1:11" ht="42" customHeight="1">
      <c r="A5135" s="2" t="s">
        <v>12430</v>
      </c>
      <c r="B5135" s="2" t="s">
        <v>12431</v>
      </c>
      <c r="C5135" s="2" t="s">
        <v>25</v>
      </c>
      <c r="D5135" s="2" t="s">
        <v>26</v>
      </c>
      <c r="E5135" s="3" t="s">
        <v>143</v>
      </c>
      <c r="F5135" s="3" t="s">
        <v>705</v>
      </c>
      <c r="G5135" s="3" t="s">
        <v>110</v>
      </c>
      <c r="H5135" s="2" t="s">
        <v>55</v>
      </c>
      <c r="I5135" s="2" t="s">
        <v>12432</v>
      </c>
      <c r="J5135" s="3" t="str">
        <f>HYPERLINK("https://www.boe.es/gazeta/dias/1809/11/16/pdfs/GGB-H-1809-462.pdf#page=3","Abrir facsímil")</f>
        <v>Abrir facsímil</v>
      </c>
      <c r="K5135" s="3" t="s">
        <v>57</v>
      </c>
    </row>
    <row r="5136" spans="1:11" ht="42" customHeight="1">
      <c r="A5136" s="2" t="s">
        <v>12433</v>
      </c>
      <c r="B5136" s="2" t="s">
        <v>12433</v>
      </c>
      <c r="C5136" s="2" t="s">
        <v>39</v>
      </c>
      <c r="D5136" s="2" t="s">
        <v>72</v>
      </c>
      <c r="E5136" s="3" t="s">
        <v>776</v>
      </c>
      <c r="F5136" s="3" t="s">
        <v>777</v>
      </c>
      <c r="G5136" s="3" t="s">
        <v>736</v>
      </c>
      <c r="H5136" s="2" t="s">
        <v>55</v>
      </c>
      <c r="I5136" s="2" t="s">
        <v>12434</v>
      </c>
      <c r="J5136" s="3" t="str">
        <f>HYPERLINK("https://www.boe.es/gazeta/dias/1809/05/28/pdfs/GMD-E-1809-148.pdf#page=1","Abrir facsímil")</f>
        <v>Abrir facsímil</v>
      </c>
      <c r="K5136" s="3" t="s">
        <v>57</v>
      </c>
    </row>
    <row r="5137" spans="1:11" ht="42" customHeight="1">
      <c r="A5137" s="2" t="s">
        <v>12435</v>
      </c>
      <c r="B5137" s="2" t="s">
        <v>12436</v>
      </c>
      <c r="C5137" s="2" t="s">
        <v>17</v>
      </c>
      <c r="D5137" s="2" t="s">
        <v>18</v>
      </c>
      <c r="E5137" s="3" t="s">
        <v>243</v>
      </c>
      <c r="F5137" s="3" t="s">
        <v>735</v>
      </c>
      <c r="G5137" s="3" t="s">
        <v>3928</v>
      </c>
      <c r="H5137" s="2" t="s">
        <v>55</v>
      </c>
      <c r="I5137" s="2" t="s">
        <v>12437</v>
      </c>
      <c r="J5137" s="3" t="str">
        <f>HYPERLINK("https://www.boe.es/gazeta/dias/1809/02/17/pdfs/GGB-1809-8.pdf#page=6","Abrir facsímil")</f>
        <v>Abrir facsímil</v>
      </c>
      <c r="K5137" s="3" t="s">
        <v>57</v>
      </c>
    </row>
    <row r="5138" spans="1:11" ht="42" customHeight="1">
      <c r="A5138" s="2" t="s">
        <v>12438</v>
      </c>
      <c r="B5138" s="2" t="s">
        <v>12438</v>
      </c>
      <c r="C5138" s="2" t="s">
        <v>25</v>
      </c>
      <c r="D5138" s="2" t="s">
        <v>18</v>
      </c>
      <c r="E5138" s="3" t="s">
        <v>211</v>
      </c>
      <c r="F5138" s="3" t="s">
        <v>212</v>
      </c>
      <c r="G5138" s="3" t="s">
        <v>29</v>
      </c>
      <c r="H5138" s="2" t="s">
        <v>55</v>
      </c>
      <c r="I5138" s="2" t="s">
        <v>12439</v>
      </c>
      <c r="J5138" s="3" t="str">
        <f>HYPERLINK("https://www.boe.es/gazeta/dias/1809/10/27/pdfs/GMD-1809-301.pdf#page=3","Abrir facsímil")</f>
        <v>Abrir facsímil</v>
      </c>
      <c r="K5138" s="3" t="s">
        <v>57</v>
      </c>
    </row>
    <row r="5139" spans="1:11" ht="42" customHeight="1">
      <c r="A5139" s="2" t="s">
        <v>12438</v>
      </c>
      <c r="B5139" s="2" t="s">
        <v>12438</v>
      </c>
      <c r="C5139" s="2" t="s">
        <v>25</v>
      </c>
      <c r="D5139" s="2" t="s">
        <v>26</v>
      </c>
      <c r="E5139" s="3" t="s">
        <v>216</v>
      </c>
      <c r="F5139" s="3" t="s">
        <v>217</v>
      </c>
      <c r="G5139" s="3" t="s">
        <v>587</v>
      </c>
      <c r="H5139" s="2" t="s">
        <v>55</v>
      </c>
      <c r="I5139" s="2" t="s">
        <v>12440</v>
      </c>
      <c r="J5139" s="3" t="str">
        <f>HYPERLINK("https://www.boe.es/gazeta/dias/1809/12/05/pdfs/GGB-H-1809-542.pdf#page=4","Abrir facsímil")</f>
        <v>Abrir facsímil</v>
      </c>
      <c r="K5139" s="3" t="s">
        <v>57</v>
      </c>
    </row>
    <row r="5140" spans="1:11" ht="42" customHeight="1">
      <c r="A5140" s="2" t="s">
        <v>12441</v>
      </c>
      <c r="B5140" s="2" t="s">
        <v>12442</v>
      </c>
      <c r="C5140" s="2" t="s">
        <v>17</v>
      </c>
      <c r="D5140" s="2" t="s">
        <v>18</v>
      </c>
      <c r="E5140" s="3" t="s">
        <v>33</v>
      </c>
      <c r="F5140" s="3" t="s">
        <v>34</v>
      </c>
      <c r="G5140" s="3" t="s">
        <v>595</v>
      </c>
      <c r="H5140" s="2" t="s">
        <v>55</v>
      </c>
      <c r="I5140" s="2" t="s">
        <v>12443</v>
      </c>
      <c r="J5140" s="3" t="str">
        <f>HYPERLINK("https://www.boe.es/gazeta/dias/1809/12/19/pdfs/GGB-1809-602.pdf#page=7","Abrir facsímil")</f>
        <v>Abrir facsímil</v>
      </c>
      <c r="K5140" s="3" t="s">
        <v>57</v>
      </c>
    </row>
    <row r="5141" spans="1:11" ht="42" customHeight="1">
      <c r="A5141" s="2" t="s">
        <v>12444</v>
      </c>
      <c r="B5141" s="2" t="s">
        <v>12445</v>
      </c>
      <c r="C5141" s="2" t="s">
        <v>131</v>
      </c>
      <c r="D5141" s="2" t="s">
        <v>18</v>
      </c>
      <c r="E5141" s="3" t="s">
        <v>2060</v>
      </c>
      <c r="F5141" s="3" t="s">
        <v>2061</v>
      </c>
      <c r="G5141" s="3" t="s">
        <v>110</v>
      </c>
      <c r="H5141" s="2" t="s">
        <v>55</v>
      </c>
      <c r="I5141" s="2" t="s">
        <v>12446</v>
      </c>
      <c r="J5141" s="3" t="str">
        <f>HYPERLINK("https://www.boe.es/gazeta/dias/1809/07/18/pdfs/GGB-1809-46.pdf#page=12","Abrir facsímil")</f>
        <v>Abrir facsímil</v>
      </c>
      <c r="K5141" s="3" t="s">
        <v>57</v>
      </c>
    </row>
    <row r="5142" spans="1:11" ht="42" customHeight="1">
      <c r="A5142" s="2" t="s">
        <v>12444</v>
      </c>
      <c r="B5142" s="2" t="s">
        <v>12445</v>
      </c>
      <c r="C5142" s="2" t="s">
        <v>39</v>
      </c>
      <c r="D5142" s="2" t="s">
        <v>80</v>
      </c>
      <c r="E5142" s="3" t="s">
        <v>248</v>
      </c>
      <c r="F5142" s="3" t="s">
        <v>249</v>
      </c>
      <c r="G5142" s="3" t="s">
        <v>169</v>
      </c>
      <c r="H5142" s="2" t="s">
        <v>55</v>
      </c>
      <c r="I5142" s="2" t="s">
        <v>12447</v>
      </c>
      <c r="J5142" s="3" t="str">
        <f>HYPERLINK("https://www.boe.es/gazeta/dias/1809/07/26/pdfs/GGB-1809-48E.pdf#page=11","Abrir facsímil")</f>
        <v>Abrir facsímil</v>
      </c>
      <c r="K5142" s="3" t="s">
        <v>57</v>
      </c>
    </row>
    <row r="5143" spans="1:11" ht="42" customHeight="1">
      <c r="A5143" s="2" t="s">
        <v>12448</v>
      </c>
      <c r="B5143" s="2" t="s">
        <v>12449</v>
      </c>
      <c r="C5143" s="2" t="s">
        <v>25</v>
      </c>
      <c r="D5143" s="2" t="s">
        <v>80</v>
      </c>
      <c r="E5143" s="3" t="s">
        <v>179</v>
      </c>
      <c r="F5143" s="3" t="s">
        <v>180</v>
      </c>
      <c r="G5143" s="3" t="s">
        <v>239</v>
      </c>
      <c r="H5143" s="2" t="s">
        <v>55</v>
      </c>
      <c r="I5143" s="2" t="s">
        <v>12450</v>
      </c>
      <c r="J5143" s="3" t="str">
        <f>HYPERLINK("https://www.boe.es/gazeta/dias/1809/12/08/pdfs/GGB-1809-552E.pdf#page=2","Abrir facsímil")</f>
        <v>Abrir facsímil</v>
      </c>
      <c r="K5143" s="3" t="s">
        <v>57</v>
      </c>
    </row>
    <row r="5144" spans="1:11" ht="42" customHeight="1">
      <c r="A5144" s="2" t="s">
        <v>12451</v>
      </c>
      <c r="B5144" s="2" t="s">
        <v>12452</v>
      </c>
      <c r="C5144" s="2" t="s">
        <v>17</v>
      </c>
      <c r="D5144" s="2" t="s">
        <v>18</v>
      </c>
      <c r="E5144" s="3" t="s">
        <v>33</v>
      </c>
      <c r="F5144" s="3" t="s">
        <v>34</v>
      </c>
      <c r="G5144" s="3" t="s">
        <v>35</v>
      </c>
      <c r="H5144" s="2" t="s">
        <v>55</v>
      </c>
      <c r="I5144" s="2" t="s">
        <v>12453</v>
      </c>
      <c r="J5144" s="3" t="str">
        <f>HYPERLINK("https://www.boe.es/gazeta/dias/1809/12/19/pdfs/GGB-1809-602.pdf#page=5","Abrir facsímil")</f>
        <v>Abrir facsímil</v>
      </c>
      <c r="K5144" s="3" t="s">
        <v>57</v>
      </c>
    </row>
    <row r="5145" spans="1:11" ht="42" customHeight="1">
      <c r="A5145" s="2" t="s">
        <v>12454</v>
      </c>
      <c r="B5145" s="2" t="s">
        <v>12454</v>
      </c>
      <c r="C5145" s="2" t="s">
        <v>25</v>
      </c>
      <c r="D5145" s="2" t="s">
        <v>72</v>
      </c>
      <c r="E5145" s="3" t="s">
        <v>1084</v>
      </c>
      <c r="F5145" s="3" t="s">
        <v>2086</v>
      </c>
      <c r="G5145" s="3" t="s">
        <v>62</v>
      </c>
      <c r="H5145" s="2" t="s">
        <v>55</v>
      </c>
      <c r="I5145" s="2" t="s">
        <v>12455</v>
      </c>
      <c r="J5145" s="3" t="str">
        <f>HYPERLINK("https://www.boe.es/gazeta/dias/1809/01/01/pdfs/GMD-E-1809-1.pdf#page=4","Abrir facsímil")</f>
        <v>Abrir facsímil</v>
      </c>
      <c r="K5145" s="3" t="s">
        <v>57</v>
      </c>
    </row>
    <row r="5146" spans="1:11" ht="42" customHeight="1">
      <c r="A5146" s="2" t="s">
        <v>12456</v>
      </c>
      <c r="B5146" s="2" t="s">
        <v>12456</v>
      </c>
      <c r="C5146" s="2" t="s">
        <v>25</v>
      </c>
      <c r="D5146" s="2" t="s">
        <v>26</v>
      </c>
      <c r="E5146" s="3" t="s">
        <v>868</v>
      </c>
      <c r="F5146" s="3" t="s">
        <v>869</v>
      </c>
      <c r="G5146" s="3" t="s">
        <v>270</v>
      </c>
      <c r="H5146" s="2" t="s">
        <v>55</v>
      </c>
      <c r="I5146" s="2" t="s">
        <v>12457</v>
      </c>
      <c r="J5146" s="3" t="str">
        <f>HYPERLINK("https://www.boe.es/gazeta/dias/1809/09/22/pdfs/GMD-1809-266.pdf#page=2","Abrir facsímil")</f>
        <v>Abrir facsímil</v>
      </c>
      <c r="K5146" s="3" t="s">
        <v>57</v>
      </c>
    </row>
    <row r="5147" spans="1:11" ht="42" customHeight="1">
      <c r="A5147" s="2" t="s">
        <v>12458</v>
      </c>
      <c r="B5147" s="2" t="s">
        <v>12459</v>
      </c>
      <c r="C5147" s="2" t="s">
        <v>131</v>
      </c>
      <c r="D5147" s="2" t="s">
        <v>107</v>
      </c>
      <c r="E5147" s="3" t="s">
        <v>712</v>
      </c>
      <c r="F5147" s="3" t="s">
        <v>713</v>
      </c>
      <c r="G5147" s="3" t="s">
        <v>120</v>
      </c>
      <c r="H5147" s="2" t="s">
        <v>55</v>
      </c>
      <c r="I5147" s="2" t="s">
        <v>12460</v>
      </c>
      <c r="J5147" s="3" t="str">
        <f>HYPERLINK("https://www.boe.es/gazeta/dias/1809/09/10/pdfs/GMD-1809-254.pdf#page=2","Abrir facsímil")</f>
        <v>Abrir facsímil</v>
      </c>
      <c r="K5147" s="3" t="s">
        <v>57</v>
      </c>
    </row>
    <row r="5148" spans="1:11" ht="42" customHeight="1">
      <c r="A5148" s="2" t="s">
        <v>12461</v>
      </c>
      <c r="B5148" s="2" t="s">
        <v>12461</v>
      </c>
      <c r="C5148" s="2" t="s">
        <v>25</v>
      </c>
      <c r="D5148" s="2" t="s">
        <v>18</v>
      </c>
      <c r="E5148" s="3" t="s">
        <v>6618</v>
      </c>
      <c r="F5148" s="3" t="s">
        <v>6619</v>
      </c>
      <c r="G5148" s="3" t="s">
        <v>4139</v>
      </c>
      <c r="H5148" s="2" t="s">
        <v>55</v>
      </c>
      <c r="I5148" s="2" t="s">
        <v>12462</v>
      </c>
      <c r="J5148" s="3" t="str">
        <f>HYPERLINK("https://www.boe.es/gazeta/dias/1809/09/18/pdfs/GMD-1809-262.pdf#page=4","Abrir facsímil")</f>
        <v>Abrir facsímil</v>
      </c>
      <c r="K5148" s="3" t="s">
        <v>57</v>
      </c>
    </row>
    <row r="5149" spans="1:11" ht="42" customHeight="1">
      <c r="A5149" s="2" t="s">
        <v>12463</v>
      </c>
      <c r="B5149" s="2" t="s">
        <v>12463</v>
      </c>
      <c r="C5149" s="2" t="s">
        <v>25</v>
      </c>
      <c r="D5149" s="2" t="s">
        <v>40</v>
      </c>
      <c r="E5149" s="3" t="s">
        <v>1477</v>
      </c>
      <c r="F5149" s="3" t="s">
        <v>1478</v>
      </c>
      <c r="G5149" s="3" t="s">
        <v>270</v>
      </c>
      <c r="H5149" s="2" t="s">
        <v>55</v>
      </c>
      <c r="I5149" s="2" t="s">
        <v>12464</v>
      </c>
      <c r="J5149" s="3" t="str">
        <f>HYPERLINK("https://www.boe.es/gazeta/dias/1809/09/06/pdfs/GMD-1809-250.pdf#page=3","Abrir facsímil")</f>
        <v>Abrir facsímil</v>
      </c>
      <c r="K5149" s="3" t="s">
        <v>57</v>
      </c>
    </row>
    <row r="5150" spans="1:11" ht="42" customHeight="1">
      <c r="A5150" s="2" t="s">
        <v>12465</v>
      </c>
      <c r="B5150" s="2" t="s">
        <v>12465</v>
      </c>
      <c r="C5150" s="2" t="s">
        <v>25</v>
      </c>
      <c r="D5150" s="2" t="s">
        <v>26</v>
      </c>
      <c r="E5150" s="3" t="s">
        <v>743</v>
      </c>
      <c r="F5150" s="3" t="s">
        <v>744</v>
      </c>
      <c r="G5150" s="3" t="s">
        <v>234</v>
      </c>
      <c r="H5150" s="2" t="s">
        <v>55</v>
      </c>
      <c r="I5150" s="2" t="s">
        <v>12466</v>
      </c>
      <c r="J5150" s="3" t="str">
        <f>HYPERLINK("https://www.boe.es/gazeta/dias/1809/12/25/pdfs/GMD-1809-360.pdf#page=3","Abrir facsímil")</f>
        <v>Abrir facsímil</v>
      </c>
      <c r="K5150" s="3" t="s">
        <v>57</v>
      </c>
    </row>
    <row r="5151" spans="1:11" ht="42" customHeight="1">
      <c r="A5151" s="2" t="s">
        <v>12467</v>
      </c>
      <c r="B5151" s="2" t="s">
        <v>12468</v>
      </c>
      <c r="C5151" s="2" t="s">
        <v>17</v>
      </c>
      <c r="D5151" s="2" t="s">
        <v>72</v>
      </c>
      <c r="E5151" s="3" t="s">
        <v>243</v>
      </c>
      <c r="F5151" s="3" t="s">
        <v>244</v>
      </c>
      <c r="G5151" s="3" t="s">
        <v>110</v>
      </c>
      <c r="H5151" s="2" t="s">
        <v>55</v>
      </c>
      <c r="I5151" s="2" t="s">
        <v>12469</v>
      </c>
      <c r="J5151" s="3" t="str">
        <f>HYPERLINK("https://www.boe.es/gazeta/dias/1809/02/17/pdfs/GGB-G-1809-8.pdf#page=5","Abrir facsímil")</f>
        <v>Abrir facsímil</v>
      </c>
      <c r="K5151" s="3" t="s">
        <v>57</v>
      </c>
    </row>
    <row r="5152" spans="1:11" ht="42" customHeight="1">
      <c r="A5152" s="2" t="s">
        <v>12470</v>
      </c>
      <c r="B5152" s="2" t="s">
        <v>12470</v>
      </c>
      <c r="C5152" s="2" t="s">
        <v>25</v>
      </c>
      <c r="D5152" s="2" t="s">
        <v>18</v>
      </c>
      <c r="E5152" s="3" t="s">
        <v>1891</v>
      </c>
      <c r="F5152" s="3" t="s">
        <v>6410</v>
      </c>
      <c r="G5152" s="3" t="s">
        <v>6411</v>
      </c>
      <c r="H5152" s="2" t="s">
        <v>55</v>
      </c>
      <c r="I5152" s="2" t="s">
        <v>12471</v>
      </c>
      <c r="J5152" s="3" t="str">
        <f>HYPERLINK("https://www.boe.es/gazeta/dias/1809/06/10/pdfs/GMD-1809-161.pdf#page=3","Abrir facsímil")</f>
        <v>Abrir facsímil</v>
      </c>
      <c r="K5152" s="3" t="s">
        <v>57</v>
      </c>
    </row>
    <row r="5153" spans="1:11" ht="42" customHeight="1">
      <c r="A5153" s="2" t="s">
        <v>12470</v>
      </c>
      <c r="B5153" s="2" t="s">
        <v>12470</v>
      </c>
      <c r="C5153" s="2" t="s">
        <v>25</v>
      </c>
      <c r="D5153" s="2" t="s">
        <v>18</v>
      </c>
      <c r="E5153" s="3" t="s">
        <v>2395</v>
      </c>
      <c r="F5153" s="3" t="s">
        <v>2396</v>
      </c>
      <c r="G5153" s="3" t="s">
        <v>2397</v>
      </c>
      <c r="H5153" s="2" t="s">
        <v>55</v>
      </c>
      <c r="I5153" s="2" t="s">
        <v>12472</v>
      </c>
      <c r="J5153" s="3" t="str">
        <f>HYPERLINK("https://www.boe.es/gazeta/dias/1809/07/14/pdfs/GMD-1809-195.pdf#page=2","Abrir facsímil")</f>
        <v>Abrir facsímil</v>
      </c>
      <c r="K5153" s="3" t="s">
        <v>57</v>
      </c>
    </row>
    <row r="5154" spans="1:11" ht="42" customHeight="1">
      <c r="A5154" s="2" t="s">
        <v>12470</v>
      </c>
      <c r="B5154" s="2" t="s">
        <v>12470</v>
      </c>
      <c r="C5154" s="2" t="s">
        <v>25</v>
      </c>
      <c r="D5154" s="2" t="s">
        <v>18</v>
      </c>
      <c r="E5154" s="3" t="s">
        <v>1288</v>
      </c>
      <c r="F5154" s="3" t="s">
        <v>2401</v>
      </c>
      <c r="G5154" s="3" t="s">
        <v>2402</v>
      </c>
      <c r="H5154" s="2" t="s">
        <v>55</v>
      </c>
      <c r="I5154" s="2" t="s">
        <v>12473</v>
      </c>
      <c r="J5154" s="3" t="str">
        <f>HYPERLINK("https://www.boe.es/gazeta/dias/1809/07/28/pdfs/GMD-1809-210.pdf#page=2","Abrir facsímil")</f>
        <v>Abrir facsímil</v>
      </c>
      <c r="K5154" s="3" t="s">
        <v>57</v>
      </c>
    </row>
    <row r="5155" spans="1:11" ht="42" customHeight="1">
      <c r="A5155" s="2" t="s">
        <v>12470</v>
      </c>
      <c r="B5155" s="2" t="s">
        <v>12470</v>
      </c>
      <c r="C5155" s="2" t="s">
        <v>25</v>
      </c>
      <c r="D5155" s="2" t="s">
        <v>26</v>
      </c>
      <c r="E5155" s="3" t="s">
        <v>1129</v>
      </c>
      <c r="F5155" s="3" t="s">
        <v>1507</v>
      </c>
      <c r="G5155" s="3" t="s">
        <v>1508</v>
      </c>
      <c r="H5155" s="2" t="s">
        <v>55</v>
      </c>
      <c r="I5155" s="2" t="s">
        <v>12474</v>
      </c>
      <c r="J5155" s="3" t="str">
        <f>HYPERLINK("https://www.boe.es/gazeta/dias/1809/08/17/pdfs/GMD-1809-230.pdf#page=3","Abrir facsímil")</f>
        <v>Abrir facsímil</v>
      </c>
      <c r="K5155" s="3" t="s">
        <v>57</v>
      </c>
    </row>
    <row r="5156" spans="1:11" ht="42" customHeight="1">
      <c r="A5156" s="2" t="s">
        <v>12475</v>
      </c>
      <c r="B5156" s="2" t="s">
        <v>12476</v>
      </c>
      <c r="C5156" s="2" t="s">
        <v>131</v>
      </c>
      <c r="D5156" s="2" t="s">
        <v>18</v>
      </c>
      <c r="E5156" s="3" t="s">
        <v>2060</v>
      </c>
      <c r="F5156" s="3" t="s">
        <v>2061</v>
      </c>
      <c r="G5156" s="3" t="s">
        <v>110</v>
      </c>
      <c r="H5156" s="2" t="s">
        <v>55</v>
      </c>
      <c r="I5156" s="2" t="s">
        <v>12477</v>
      </c>
      <c r="J5156" s="3" t="str">
        <f>HYPERLINK("https://www.boe.es/gazeta/dias/1809/07/18/pdfs/GGB-1809-46.pdf#page=12","Abrir facsímil")</f>
        <v>Abrir facsímil</v>
      </c>
      <c r="K5156" s="3" t="s">
        <v>57</v>
      </c>
    </row>
    <row r="5157" spans="1:11" ht="42" customHeight="1">
      <c r="A5157" s="2" t="s">
        <v>12475</v>
      </c>
      <c r="B5157" s="2" t="s">
        <v>12476</v>
      </c>
      <c r="C5157" s="2" t="s">
        <v>369</v>
      </c>
      <c r="D5157" s="2" t="s">
        <v>40</v>
      </c>
      <c r="E5157" s="3" t="s">
        <v>864</v>
      </c>
      <c r="F5157" s="3" t="s">
        <v>2291</v>
      </c>
      <c r="G5157" s="3" t="s">
        <v>12478</v>
      </c>
      <c r="H5157" s="2" t="s">
        <v>55</v>
      </c>
      <c r="I5157" s="2" t="s">
        <v>12479</v>
      </c>
      <c r="J5157" s="3" t="str">
        <f>HYPERLINK("https://www.boe.es/gazeta/dias/1809/08/31/pdfs/GGB-H-1809-132.pdf#page=4","Abrir facsímil")</f>
        <v>Abrir facsímil</v>
      </c>
      <c r="K5157" s="3" t="s">
        <v>57</v>
      </c>
    </row>
    <row r="5158" spans="1:11" ht="42" customHeight="1">
      <c r="A5158" s="2" t="s">
        <v>12480</v>
      </c>
      <c r="B5158" s="2" t="s">
        <v>12481</v>
      </c>
      <c r="C5158" s="2" t="s">
        <v>25</v>
      </c>
      <c r="D5158" s="2" t="s">
        <v>26</v>
      </c>
      <c r="E5158" s="3" t="s">
        <v>1288</v>
      </c>
      <c r="F5158" s="3" t="s">
        <v>1289</v>
      </c>
      <c r="G5158" s="3" t="s">
        <v>301</v>
      </c>
      <c r="H5158" s="2" t="s">
        <v>55</v>
      </c>
      <c r="I5158" s="2" t="s">
        <v>12482</v>
      </c>
      <c r="J5158" s="3" t="str">
        <f>HYPERLINK("https://www.boe.es/gazeta/dias/1809/07/28/pdfs/GGB-1809-49.pdf#page=10","Abrir facsímil")</f>
        <v>Abrir facsímil</v>
      </c>
      <c r="K5158" s="3" t="s">
        <v>57</v>
      </c>
    </row>
    <row r="5159" spans="1:11" ht="42" customHeight="1">
      <c r="A5159" s="2" t="s">
        <v>12483</v>
      </c>
      <c r="B5159" s="2" t="s">
        <v>12484</v>
      </c>
      <c r="C5159" s="2" t="s">
        <v>25</v>
      </c>
      <c r="D5159" s="2" t="s">
        <v>107</v>
      </c>
      <c r="E5159" s="3" t="s">
        <v>627</v>
      </c>
      <c r="F5159" s="3" t="s">
        <v>628</v>
      </c>
      <c r="G5159" s="3" t="s">
        <v>270</v>
      </c>
      <c r="H5159" s="2" t="s">
        <v>55</v>
      </c>
      <c r="I5159" s="2" t="s">
        <v>12485</v>
      </c>
      <c r="J5159" s="3" t="str">
        <f>HYPERLINK("https://www.boe.es/gazeta/dias/1809/08/28/pdfs/GMD-1809-241.pdf#page=3","Abrir facsímil")</f>
        <v>Abrir facsímil</v>
      </c>
      <c r="K5159" s="3" t="s">
        <v>57</v>
      </c>
    </row>
    <row r="5160" spans="1:11" ht="42" customHeight="1">
      <c r="A5160" s="2" t="s">
        <v>12486</v>
      </c>
      <c r="B5160" s="2" t="s">
        <v>12486</v>
      </c>
      <c r="C5160" s="2" t="s">
        <v>17</v>
      </c>
      <c r="D5160" s="2" t="s">
        <v>18</v>
      </c>
      <c r="E5160" s="3" t="s">
        <v>739</v>
      </c>
      <c r="F5160" s="3" t="s">
        <v>740</v>
      </c>
      <c r="G5160" s="3" t="s">
        <v>21</v>
      </c>
      <c r="H5160" s="2" t="s">
        <v>55</v>
      </c>
      <c r="I5160" s="2" t="s">
        <v>12487</v>
      </c>
      <c r="J5160" s="3" t="str">
        <f>HYPERLINK("https://www.boe.es/gazeta/dias/1809/05/08/pdfs/GMD-1809-128.pdf#page=3","Abrir facsímil")</f>
        <v>Abrir facsímil</v>
      </c>
      <c r="K5160" s="3" t="s">
        <v>57</v>
      </c>
    </row>
    <row r="5161" spans="1:11" ht="42" customHeight="1">
      <c r="A5161" s="2" t="s">
        <v>12488</v>
      </c>
      <c r="B5161" s="2" t="s">
        <v>12488</v>
      </c>
      <c r="C5161" s="2" t="s">
        <v>25</v>
      </c>
      <c r="D5161" s="2" t="s">
        <v>26</v>
      </c>
      <c r="E5161" s="3" t="s">
        <v>1678</v>
      </c>
      <c r="F5161" s="3" t="s">
        <v>1679</v>
      </c>
      <c r="G5161" s="3" t="s">
        <v>1680</v>
      </c>
      <c r="H5161" s="2" t="s">
        <v>55</v>
      </c>
      <c r="I5161" s="2" t="s">
        <v>12489</v>
      </c>
      <c r="J5161" s="3" t="str">
        <f>HYPERLINK("https://www.boe.es/gazeta/dias/1809/05/29/pdfs/GGB-1809-32.pdf#page=6","Abrir facsímil")</f>
        <v>Abrir facsímil</v>
      </c>
      <c r="K5161" s="3" t="s">
        <v>57</v>
      </c>
    </row>
    <row r="5162" spans="1:11" ht="42" customHeight="1">
      <c r="A5162" s="2" t="s">
        <v>12490</v>
      </c>
      <c r="B5162" s="2" t="s">
        <v>12491</v>
      </c>
      <c r="C5162" s="2" t="s">
        <v>131</v>
      </c>
      <c r="D5162" s="2" t="s">
        <v>26</v>
      </c>
      <c r="E5162" s="3" t="s">
        <v>1206</v>
      </c>
      <c r="F5162" s="3" t="s">
        <v>1612</v>
      </c>
      <c r="G5162" s="3" t="s">
        <v>1613</v>
      </c>
      <c r="H5162" s="2" t="s">
        <v>55</v>
      </c>
      <c r="I5162" s="2" t="s">
        <v>12492</v>
      </c>
      <c r="J5162" s="3" t="str">
        <f>HYPERLINK("https://www.boe.es/gazeta/dias/1809/09/23/pdfs/GMD-1809-267.pdf#page=2","Abrir facsímil")</f>
        <v>Abrir facsímil</v>
      </c>
      <c r="K5162" s="3" t="s">
        <v>57</v>
      </c>
    </row>
    <row r="5163" spans="1:11" ht="42" customHeight="1">
      <c r="A5163" s="2" t="s">
        <v>12493</v>
      </c>
      <c r="B5163" s="2" t="s">
        <v>12493</v>
      </c>
      <c r="C5163" s="2" t="s">
        <v>25</v>
      </c>
      <c r="D5163" s="2" t="s">
        <v>18</v>
      </c>
      <c r="E5163" s="3" t="s">
        <v>2142</v>
      </c>
      <c r="F5163" s="3" t="s">
        <v>2143</v>
      </c>
      <c r="G5163" s="3" t="s">
        <v>21</v>
      </c>
      <c r="H5163" s="2" t="s">
        <v>55</v>
      </c>
      <c r="I5163" s="2" t="s">
        <v>12494</v>
      </c>
      <c r="J5163" s="3" t="str">
        <f>HYPERLINK("https://www.boe.es/gazeta/dias/1809/03/16/pdfs/GMD-1809-75.pdf#page=3","Abrir facsímil")</f>
        <v>Abrir facsímil</v>
      </c>
      <c r="K5163" s="3" t="s">
        <v>57</v>
      </c>
    </row>
    <row r="5164" spans="1:11" ht="42" customHeight="1">
      <c r="A5164" s="2" t="s">
        <v>12495</v>
      </c>
      <c r="B5164" s="2" t="s">
        <v>12496</v>
      </c>
      <c r="C5164" s="2" t="s">
        <v>369</v>
      </c>
      <c r="D5164" s="2" t="s">
        <v>18</v>
      </c>
      <c r="E5164" s="3" t="s">
        <v>1396</v>
      </c>
      <c r="F5164" s="3" t="s">
        <v>1397</v>
      </c>
      <c r="G5164" s="3" t="s">
        <v>906</v>
      </c>
      <c r="H5164" s="2" t="s">
        <v>55</v>
      </c>
      <c r="I5164" s="2" t="s">
        <v>12497</v>
      </c>
      <c r="J5164" s="3" t="str">
        <f>HYPERLINK("https://www.boe.es/gazeta/dias/1809/11/28/pdfs/GGB-1809-512.pdf#page=8","Abrir facsímil")</f>
        <v>Abrir facsímil</v>
      </c>
      <c r="K5164" s="3" t="s">
        <v>57</v>
      </c>
    </row>
    <row r="5165" spans="1:11" ht="42" customHeight="1">
      <c r="A5165" s="2" t="s">
        <v>12498</v>
      </c>
      <c r="B5165" s="2" t="s">
        <v>12499</v>
      </c>
      <c r="C5165" s="2" t="s">
        <v>25</v>
      </c>
      <c r="D5165" s="2" t="s">
        <v>72</v>
      </c>
      <c r="E5165" s="3" t="s">
        <v>143</v>
      </c>
      <c r="F5165" s="3" t="s">
        <v>705</v>
      </c>
      <c r="G5165" s="3" t="s">
        <v>110</v>
      </c>
      <c r="H5165" s="2" t="s">
        <v>55</v>
      </c>
      <c r="I5165" s="2" t="s">
        <v>12500</v>
      </c>
      <c r="J5165" s="3" t="str">
        <f>HYPERLINK("https://www.boe.es/gazeta/dias/1809/11/16/pdfs/GGB-H-1809-462.pdf#page=3","Abrir facsímil")</f>
        <v>Abrir facsímil</v>
      </c>
      <c r="K5165" s="3" t="s">
        <v>57</v>
      </c>
    </row>
    <row r="5166" spans="1:11" ht="42" customHeight="1">
      <c r="A5166" s="2" t="s">
        <v>12501</v>
      </c>
      <c r="B5166" s="2" t="s">
        <v>12502</v>
      </c>
      <c r="C5166" s="2" t="s">
        <v>17</v>
      </c>
      <c r="D5166" s="2" t="s">
        <v>18</v>
      </c>
      <c r="E5166" s="3" t="s">
        <v>1468</v>
      </c>
      <c r="F5166" s="3" t="s">
        <v>1469</v>
      </c>
      <c r="G5166" s="3" t="s">
        <v>104</v>
      </c>
      <c r="H5166" s="2" t="s">
        <v>55</v>
      </c>
      <c r="I5166" s="2" t="s">
        <v>12503</v>
      </c>
      <c r="J5166" s="3" t="str">
        <f>HYPERLINK("https://www.boe.es/gazeta/dias/1809/02/12/pdfs/GMD-1809-43.pdf#page=6","Abrir facsímil")</f>
        <v>Abrir facsímil</v>
      </c>
      <c r="K5166" s="3" t="s">
        <v>57</v>
      </c>
    </row>
    <row r="5167" spans="1:11" ht="42" customHeight="1">
      <c r="A5167" s="2" t="s">
        <v>12504</v>
      </c>
      <c r="B5167" s="2" t="s">
        <v>12505</v>
      </c>
      <c r="C5167" s="2" t="s">
        <v>17</v>
      </c>
      <c r="D5167" s="2" t="s">
        <v>18</v>
      </c>
      <c r="E5167" s="3" t="s">
        <v>33</v>
      </c>
      <c r="F5167" s="3" t="s">
        <v>34</v>
      </c>
      <c r="G5167" s="3" t="s">
        <v>595</v>
      </c>
      <c r="H5167" s="2" t="s">
        <v>55</v>
      </c>
      <c r="I5167" s="2" t="s">
        <v>12506</v>
      </c>
      <c r="J5167" s="3" t="str">
        <f>HYPERLINK("https://www.boe.es/gazeta/dias/1809/12/19/pdfs/GGB-1809-602.pdf#page=7","Abrir facsímil")</f>
        <v>Abrir facsímil</v>
      </c>
      <c r="K5167" s="3" t="s">
        <v>57</v>
      </c>
    </row>
    <row r="5168" spans="1:11" ht="42" customHeight="1">
      <c r="A5168" s="2" t="s">
        <v>12507</v>
      </c>
      <c r="B5168" s="2" t="s">
        <v>12508</v>
      </c>
      <c r="C5168" s="2" t="s">
        <v>25</v>
      </c>
      <c r="D5168" s="2" t="s">
        <v>26</v>
      </c>
      <c r="E5168" s="3" t="s">
        <v>163</v>
      </c>
      <c r="F5168" s="3" t="s">
        <v>164</v>
      </c>
      <c r="G5168" s="3" t="s">
        <v>21</v>
      </c>
      <c r="H5168" s="2" t="s">
        <v>55</v>
      </c>
      <c r="I5168" s="2" t="s">
        <v>12509</v>
      </c>
      <c r="J5168" s="3" t="str">
        <f>HYPERLINK("https://www.boe.es/gazeta/dias/1809/03/10/pdfs/GGB-H-1809-11.pdf#page=8","Abrir facsímil")</f>
        <v>Abrir facsímil</v>
      </c>
      <c r="K5168" s="3" t="s">
        <v>57</v>
      </c>
    </row>
    <row r="5169" spans="1:11" ht="42" customHeight="1">
      <c r="A5169" s="2" t="s">
        <v>12510</v>
      </c>
      <c r="B5169" s="2" t="s">
        <v>12511</v>
      </c>
      <c r="C5169" s="2" t="s">
        <v>17</v>
      </c>
      <c r="D5169" s="2" t="s">
        <v>18</v>
      </c>
      <c r="E5169" s="3" t="s">
        <v>589</v>
      </c>
      <c r="F5169" s="3" t="s">
        <v>590</v>
      </c>
      <c r="G5169" s="3" t="s">
        <v>1433</v>
      </c>
      <c r="H5169" s="2" t="s">
        <v>55</v>
      </c>
      <c r="I5169" s="2" t="s">
        <v>12512</v>
      </c>
      <c r="J5169" s="3" t="str">
        <f>HYPERLINK("https://www.boe.es/gazeta/dias/1809/10/05/pdfs/GGB-1809-282.pdf#page=8","Abrir facsímil")</f>
        <v>Abrir facsímil</v>
      </c>
      <c r="K5169" s="3" t="s">
        <v>57</v>
      </c>
    </row>
    <row r="5170" spans="1:11" ht="42" customHeight="1">
      <c r="A5170" s="2" t="s">
        <v>12513</v>
      </c>
      <c r="B5170" s="2" t="s">
        <v>12514</v>
      </c>
      <c r="C5170" s="2" t="s">
        <v>17</v>
      </c>
      <c r="D5170" s="2" t="s">
        <v>72</v>
      </c>
      <c r="E5170" s="3" t="s">
        <v>243</v>
      </c>
      <c r="F5170" s="3" t="s">
        <v>244</v>
      </c>
      <c r="G5170" s="3" t="s">
        <v>541</v>
      </c>
      <c r="H5170" s="2" t="s">
        <v>55</v>
      </c>
      <c r="I5170" s="2" t="s">
        <v>12515</v>
      </c>
      <c r="J5170" s="3" t="str">
        <f>HYPERLINK("https://www.boe.es/gazeta/dias/1809/02/17/pdfs/GGB-G-1809-8.pdf#page=8","Abrir facsímil")</f>
        <v>Abrir facsímil</v>
      </c>
      <c r="K5170" s="3" t="s">
        <v>57</v>
      </c>
    </row>
    <row r="5171" spans="1:11" ht="42" customHeight="1">
      <c r="A5171" s="2" t="s">
        <v>12516</v>
      </c>
      <c r="B5171" s="2" t="s">
        <v>12517</v>
      </c>
      <c r="C5171" s="2" t="s">
        <v>39</v>
      </c>
      <c r="D5171" s="2" t="s">
        <v>18</v>
      </c>
      <c r="E5171" s="3" t="s">
        <v>299</v>
      </c>
      <c r="F5171" s="3" t="s">
        <v>300</v>
      </c>
      <c r="G5171" s="3" t="s">
        <v>301</v>
      </c>
      <c r="H5171" s="2" t="s">
        <v>55</v>
      </c>
      <c r="I5171" s="2" t="s">
        <v>12518</v>
      </c>
      <c r="J5171" s="3" t="str">
        <f>HYPERLINK("https://www.boe.es/gazeta/dias/1809/05/26/pdfs/GGB-1809-31.pdf#page=10","Abrir facsímil")</f>
        <v>Abrir facsímil</v>
      </c>
      <c r="K5171" s="3" t="s">
        <v>57</v>
      </c>
    </row>
    <row r="5172" spans="1:11" ht="42" customHeight="1">
      <c r="A5172" s="2" t="s">
        <v>12519</v>
      </c>
      <c r="B5172" s="2" t="s">
        <v>12520</v>
      </c>
      <c r="C5172" s="2" t="s">
        <v>25</v>
      </c>
      <c r="D5172" s="2" t="s">
        <v>80</v>
      </c>
      <c r="E5172" s="3" t="s">
        <v>1700</v>
      </c>
      <c r="F5172" s="3" t="s">
        <v>1701</v>
      </c>
      <c r="G5172" s="3" t="s">
        <v>349</v>
      </c>
      <c r="H5172" s="2" t="s">
        <v>55</v>
      </c>
      <c r="I5172" s="2" t="s">
        <v>12521</v>
      </c>
      <c r="J5172" s="3" t="str">
        <f>HYPERLINK("https://www.boe.es/gazeta/dias/1809/01/16/pdfs/GGB-1809-3E.pdf#page=3","Abrir facsímil")</f>
        <v>Abrir facsímil</v>
      </c>
      <c r="K5172" s="3" t="s">
        <v>57</v>
      </c>
    </row>
    <row r="5173" spans="1:11" ht="42" customHeight="1">
      <c r="A5173" s="2" t="s">
        <v>12522</v>
      </c>
      <c r="B5173" s="2" t="s">
        <v>12523</v>
      </c>
      <c r="C5173" s="2" t="s">
        <v>369</v>
      </c>
      <c r="D5173" s="2" t="s">
        <v>18</v>
      </c>
      <c r="E5173" s="3" t="s">
        <v>196</v>
      </c>
      <c r="F5173" s="3" t="s">
        <v>197</v>
      </c>
      <c r="G5173" s="3" t="s">
        <v>198</v>
      </c>
      <c r="H5173" s="2" t="s">
        <v>55</v>
      </c>
      <c r="I5173" s="2" t="s">
        <v>12524</v>
      </c>
      <c r="J5173" s="3" t="str">
        <f>HYPERLINK("https://www.boe.es/gazeta/dias/1809/09/04/pdfs/GMD-1809-248.pdf#page=3","Abrir facsímil")</f>
        <v>Abrir facsímil</v>
      </c>
      <c r="K5173" s="3" t="s">
        <v>57</v>
      </c>
    </row>
    <row r="5174" spans="1:11" ht="42" customHeight="1">
      <c r="A5174" s="2" t="s">
        <v>12525</v>
      </c>
      <c r="B5174" s="2" t="s">
        <v>12526</v>
      </c>
      <c r="C5174" s="2" t="s">
        <v>79</v>
      </c>
      <c r="D5174" s="2" t="s">
        <v>18</v>
      </c>
      <c r="E5174" s="3" t="s">
        <v>327</v>
      </c>
      <c r="F5174" s="3" t="s">
        <v>328</v>
      </c>
      <c r="G5174" s="3" t="s">
        <v>1765</v>
      </c>
      <c r="H5174" s="2" t="s">
        <v>55</v>
      </c>
      <c r="I5174" s="2" t="s">
        <v>12527</v>
      </c>
      <c r="J5174" s="3" t="str">
        <f>HYPERLINK("https://www.boe.es/gazeta/dias/1809/09/14/pdfs/GGB-1809-192.pdf#page=7","Abrir facsímil")</f>
        <v>Abrir facsímil</v>
      </c>
      <c r="K5174" s="3" t="s">
        <v>57</v>
      </c>
    </row>
    <row r="5175" spans="1:11" ht="42" customHeight="1">
      <c r="A5175" s="2" t="s">
        <v>12528</v>
      </c>
      <c r="B5175" s="2" t="s">
        <v>12529</v>
      </c>
      <c r="C5175" s="2" t="s">
        <v>25</v>
      </c>
      <c r="D5175" s="2" t="s">
        <v>72</v>
      </c>
      <c r="E5175" s="3" t="s">
        <v>473</v>
      </c>
      <c r="F5175" s="3" t="s">
        <v>1199</v>
      </c>
      <c r="G5175" s="3" t="s">
        <v>94</v>
      </c>
      <c r="H5175" s="2" t="s">
        <v>55</v>
      </c>
      <c r="I5175" s="2" t="s">
        <v>12530</v>
      </c>
      <c r="J5175" s="3" t="str">
        <f>HYPERLINK("https://www.boe.es/gazeta/dias/1809/12/28/pdfs/GGB-H-1809-642.pdf#page=5","Abrir facsímil")</f>
        <v>Abrir facsímil</v>
      </c>
      <c r="K5175" s="3" t="s">
        <v>57</v>
      </c>
    </row>
    <row r="5176" spans="1:11" ht="42" customHeight="1">
      <c r="A5176" s="2" t="s">
        <v>12531</v>
      </c>
      <c r="B5176" s="2" t="s">
        <v>12532</v>
      </c>
      <c r="C5176" s="2" t="s">
        <v>79</v>
      </c>
      <c r="D5176" s="2" t="s">
        <v>18</v>
      </c>
      <c r="E5176" s="3" t="s">
        <v>102</v>
      </c>
      <c r="F5176" s="3" t="s">
        <v>103</v>
      </c>
      <c r="G5176" s="3" t="s">
        <v>104</v>
      </c>
      <c r="H5176" s="2" t="s">
        <v>55</v>
      </c>
      <c r="I5176" s="2" t="s">
        <v>12533</v>
      </c>
      <c r="J5176" s="3" t="str">
        <f>HYPERLINK("https://www.boe.es/gazeta/dias/1809/09/28/pdfs/GGB-1809-252.pdf#page=8","Abrir facsímil")</f>
        <v>Abrir facsímil</v>
      </c>
      <c r="K5176" s="3" t="s">
        <v>57</v>
      </c>
    </row>
    <row r="5177" spans="1:11" ht="42" customHeight="1">
      <c r="A5177" s="2" t="s">
        <v>12534</v>
      </c>
      <c r="B5177" s="2" t="s">
        <v>12534</v>
      </c>
      <c r="C5177" s="2" t="s">
        <v>17</v>
      </c>
      <c r="D5177" s="2" t="s">
        <v>18</v>
      </c>
      <c r="E5177" s="3" t="s">
        <v>33</v>
      </c>
      <c r="F5177" s="3" t="s">
        <v>34</v>
      </c>
      <c r="G5177" s="3" t="s">
        <v>595</v>
      </c>
      <c r="H5177" s="2" t="s">
        <v>55</v>
      </c>
      <c r="I5177" s="2" t="s">
        <v>12535</v>
      </c>
      <c r="J5177" s="3" t="str">
        <f>HYPERLINK("https://www.boe.es/gazeta/dias/1809/12/19/pdfs/GGB-1809-602.pdf#page=7","Abrir facsímil")</f>
        <v>Abrir facsímil</v>
      </c>
      <c r="K5177" s="3" t="s">
        <v>57</v>
      </c>
    </row>
    <row r="5178" spans="1:11" ht="42" customHeight="1">
      <c r="A5178" s="2" t="s">
        <v>12536</v>
      </c>
      <c r="B5178" s="2" t="s">
        <v>12537</v>
      </c>
      <c r="C5178" s="2" t="s">
        <v>131</v>
      </c>
      <c r="D5178" s="2" t="s">
        <v>18</v>
      </c>
      <c r="E5178" s="3" t="s">
        <v>712</v>
      </c>
      <c r="F5178" s="3" t="s">
        <v>713</v>
      </c>
      <c r="G5178" s="3" t="s">
        <v>154</v>
      </c>
      <c r="H5178" s="2" t="s">
        <v>55</v>
      </c>
      <c r="I5178" s="2" t="s">
        <v>12538</v>
      </c>
      <c r="J5178" s="3" t="str">
        <f>HYPERLINK("https://www.boe.es/gazeta/dias/1809/09/10/pdfs/GMD-1809-254.pdf#page=3","Abrir facsímil")</f>
        <v>Abrir facsímil</v>
      </c>
      <c r="K5178" s="3" t="s">
        <v>57</v>
      </c>
    </row>
    <row r="5179" spans="1:11" ht="42" customHeight="1">
      <c r="A5179" s="2" t="s">
        <v>12539</v>
      </c>
      <c r="B5179" s="2" t="s">
        <v>12539</v>
      </c>
      <c r="C5179" s="2" t="s">
        <v>17</v>
      </c>
      <c r="D5179" s="2" t="s">
        <v>18</v>
      </c>
      <c r="E5179" s="3" t="s">
        <v>33</v>
      </c>
      <c r="F5179" s="3" t="s">
        <v>34</v>
      </c>
      <c r="G5179" s="3" t="s">
        <v>493</v>
      </c>
      <c r="H5179" s="2" t="s">
        <v>55</v>
      </c>
      <c r="I5179" s="2" t="s">
        <v>12540</v>
      </c>
      <c r="J5179" s="3" t="str">
        <f>HYPERLINK("https://www.boe.es/gazeta/dias/1809/12/19/pdfs/GGB-1809-602.pdf#page=6","Abrir facsímil")</f>
        <v>Abrir facsímil</v>
      </c>
      <c r="K5179" s="3" t="s">
        <v>57</v>
      </c>
    </row>
    <row r="5180" spans="1:11" ht="42" customHeight="1">
      <c r="A5180" s="2" t="s">
        <v>12541</v>
      </c>
      <c r="B5180" s="2" t="s">
        <v>12542</v>
      </c>
      <c r="C5180" s="2" t="s">
        <v>17</v>
      </c>
      <c r="D5180" s="2" t="s">
        <v>18</v>
      </c>
      <c r="E5180" s="3" t="s">
        <v>220</v>
      </c>
      <c r="F5180" s="3" t="s">
        <v>221</v>
      </c>
      <c r="G5180" s="3" t="s">
        <v>154</v>
      </c>
      <c r="H5180" s="2" t="s">
        <v>55</v>
      </c>
      <c r="I5180" s="2" t="s">
        <v>12543</v>
      </c>
      <c r="J5180" s="3" t="str">
        <f>HYPERLINK("https://www.boe.es/gazeta/dias/1809/12/13/pdfs/GMD-1809-348.pdf#page=4","Abrir facsímil")</f>
        <v>Abrir facsímil</v>
      </c>
      <c r="K5180" s="3" t="s">
        <v>57</v>
      </c>
    </row>
    <row r="5181" spans="1:11" ht="42" customHeight="1">
      <c r="A5181" s="2" t="s">
        <v>12544</v>
      </c>
      <c r="B5181" s="2" t="s">
        <v>12544</v>
      </c>
      <c r="C5181" s="2" t="s">
        <v>25</v>
      </c>
      <c r="D5181" s="2" t="s">
        <v>26</v>
      </c>
      <c r="E5181" s="3" t="s">
        <v>621</v>
      </c>
      <c r="F5181" s="3" t="s">
        <v>913</v>
      </c>
      <c r="G5181" s="3" t="s">
        <v>75</v>
      </c>
      <c r="H5181" s="2" t="s">
        <v>55</v>
      </c>
      <c r="I5181" s="2" t="s">
        <v>12545</v>
      </c>
      <c r="J5181" s="3" t="str">
        <f>HYPERLINK("https://www.boe.es/gazeta/dias/1809/07/04/pdfs/GMD-1809-185.pdf#page=4","Abrir facsímil")</f>
        <v>Abrir facsímil</v>
      </c>
      <c r="K5181" s="3" t="s">
        <v>57</v>
      </c>
    </row>
    <row r="5182" spans="1:11" ht="42" customHeight="1">
      <c r="A5182" s="2" t="s">
        <v>12546</v>
      </c>
      <c r="B5182" s="2" t="s">
        <v>12546</v>
      </c>
      <c r="C5182" s="2" t="s">
        <v>25</v>
      </c>
      <c r="D5182" s="2" t="s">
        <v>18</v>
      </c>
      <c r="E5182" s="3" t="s">
        <v>1700</v>
      </c>
      <c r="F5182" s="3" t="s">
        <v>5404</v>
      </c>
      <c r="G5182" s="3" t="s">
        <v>3216</v>
      </c>
      <c r="H5182" s="2" t="s">
        <v>55</v>
      </c>
      <c r="I5182" s="2" t="s">
        <v>12547</v>
      </c>
      <c r="J5182" s="3" t="str">
        <f>HYPERLINK("https://www.boe.es/gazeta/dias/1809/01/16/pdfs/GMD-1809-16.pdf#page=4","Abrir facsímil")</f>
        <v>Abrir facsímil</v>
      </c>
      <c r="K5182" s="3" t="s">
        <v>57</v>
      </c>
    </row>
    <row r="5183" spans="1:11" ht="42" customHeight="1">
      <c r="A5183" s="2" t="s">
        <v>12546</v>
      </c>
      <c r="B5183" s="2" t="s">
        <v>12546</v>
      </c>
      <c r="C5183" s="2" t="s">
        <v>25</v>
      </c>
      <c r="D5183" s="2" t="s">
        <v>26</v>
      </c>
      <c r="E5183" s="3" t="s">
        <v>464</v>
      </c>
      <c r="F5183" s="3" t="s">
        <v>465</v>
      </c>
      <c r="G5183" s="3" t="s">
        <v>861</v>
      </c>
      <c r="H5183" s="2" t="s">
        <v>55</v>
      </c>
      <c r="I5183" s="2" t="s">
        <v>12548</v>
      </c>
      <c r="J5183" s="3" t="str">
        <f>HYPERLINK("https://www.boe.es/gazeta/dias/1809/07/05/pdfs/GMD-1809-186.pdf#page=2","Abrir facsímil")</f>
        <v>Abrir facsímil</v>
      </c>
      <c r="K5183" s="3" t="s">
        <v>57</v>
      </c>
    </row>
    <row r="5184" spans="1:11" ht="42" customHeight="1">
      <c r="A5184" s="2" t="s">
        <v>12546</v>
      </c>
      <c r="B5184" s="2" t="s">
        <v>12546</v>
      </c>
      <c r="C5184" s="2" t="s">
        <v>25</v>
      </c>
      <c r="D5184" s="2" t="s">
        <v>40</v>
      </c>
      <c r="E5184" s="3" t="s">
        <v>3265</v>
      </c>
      <c r="F5184" s="3" t="s">
        <v>3268</v>
      </c>
      <c r="G5184" s="3" t="s">
        <v>1702</v>
      </c>
      <c r="H5184" s="2" t="s">
        <v>55</v>
      </c>
      <c r="I5184" s="2" t="s">
        <v>12549</v>
      </c>
      <c r="J5184" s="3" t="str">
        <f>HYPERLINK("https://www.boe.es/gazeta/dias/1809/07/31/pdfs/GGB-1809-49E.pdf#page=1","Abrir facsímil")</f>
        <v>Abrir facsímil</v>
      </c>
      <c r="K5184" s="3" t="s">
        <v>57</v>
      </c>
    </row>
    <row r="5185" spans="1:11" ht="42" customHeight="1">
      <c r="A5185" s="2" t="s">
        <v>12546</v>
      </c>
      <c r="B5185" s="2" t="s">
        <v>12546</v>
      </c>
      <c r="C5185" s="2" t="s">
        <v>25</v>
      </c>
      <c r="D5185" s="2" t="s">
        <v>26</v>
      </c>
      <c r="E5185" s="3" t="s">
        <v>838</v>
      </c>
      <c r="F5185" s="3" t="s">
        <v>839</v>
      </c>
      <c r="G5185" s="3" t="s">
        <v>595</v>
      </c>
      <c r="H5185" s="2" t="s">
        <v>55</v>
      </c>
      <c r="I5185" s="2" t="s">
        <v>12550</v>
      </c>
      <c r="J5185" s="3" t="str">
        <f>HYPERLINK("https://www.boe.es/gazeta/dias/1809/08/03/pdfs/GGB-1809-12.pdf#page=7","Abrir facsímil")</f>
        <v>Abrir facsímil</v>
      </c>
      <c r="K5185" s="3" t="s">
        <v>57</v>
      </c>
    </row>
    <row r="5186" spans="1:11" ht="42" customHeight="1">
      <c r="A5186" s="2" t="s">
        <v>12546</v>
      </c>
      <c r="B5186" s="2" t="s">
        <v>12546</v>
      </c>
      <c r="C5186" s="2" t="s">
        <v>25</v>
      </c>
      <c r="D5186" s="2" t="s">
        <v>26</v>
      </c>
      <c r="E5186" s="3" t="s">
        <v>1865</v>
      </c>
      <c r="F5186" s="3" t="s">
        <v>3270</v>
      </c>
      <c r="G5186" s="3" t="s">
        <v>484</v>
      </c>
      <c r="H5186" s="2" t="s">
        <v>55</v>
      </c>
      <c r="I5186" s="2" t="s">
        <v>12551</v>
      </c>
      <c r="J5186" s="3" t="str">
        <f>HYPERLINK("https://www.boe.es/gazeta/dias/1809/08/08/pdfs/GGB-1809-32E.pdf#page=1","Abrir facsímil")</f>
        <v>Abrir facsímil</v>
      </c>
      <c r="K5186" s="3" t="s">
        <v>57</v>
      </c>
    </row>
    <row r="5187" spans="1:11" ht="42" customHeight="1">
      <c r="A5187" s="2" t="s">
        <v>12546</v>
      </c>
      <c r="B5187" s="2" t="s">
        <v>12546</v>
      </c>
      <c r="C5187" s="2" t="s">
        <v>25</v>
      </c>
      <c r="D5187" s="2" t="s">
        <v>26</v>
      </c>
      <c r="E5187" s="3" t="s">
        <v>1269</v>
      </c>
      <c r="F5187" s="3" t="s">
        <v>3272</v>
      </c>
      <c r="G5187" s="3" t="s">
        <v>3273</v>
      </c>
      <c r="H5187" s="2" t="s">
        <v>55</v>
      </c>
      <c r="I5187" s="2" t="s">
        <v>12552</v>
      </c>
      <c r="J5187" s="3" t="str">
        <f>HYPERLINK("https://www.boe.es/gazeta/dias/1809/08/12/pdfs/GMD-1809-225.pdf#page=3","Abrir facsímil")</f>
        <v>Abrir facsímil</v>
      </c>
      <c r="K5187" s="3" t="s">
        <v>57</v>
      </c>
    </row>
    <row r="5188" spans="1:11" ht="42" customHeight="1">
      <c r="A5188" s="2" t="s">
        <v>12546</v>
      </c>
      <c r="B5188" s="2" t="s">
        <v>12546</v>
      </c>
      <c r="C5188" s="2" t="s">
        <v>25</v>
      </c>
      <c r="D5188" s="2" t="s">
        <v>26</v>
      </c>
      <c r="E5188" s="3" t="s">
        <v>1269</v>
      </c>
      <c r="F5188" s="3" t="s">
        <v>3272</v>
      </c>
      <c r="G5188" s="3" t="s">
        <v>110</v>
      </c>
      <c r="H5188" s="2" t="s">
        <v>55</v>
      </c>
      <c r="I5188" s="2" t="s">
        <v>12553</v>
      </c>
      <c r="J5188" s="3" t="str">
        <f>HYPERLINK("https://www.boe.es/gazeta/dias/1809/08/12/pdfs/GMD-1809-225.pdf#page=4","Abrir facsímil")</f>
        <v>Abrir facsímil</v>
      </c>
      <c r="K5188" s="3" t="s">
        <v>57</v>
      </c>
    </row>
    <row r="5189" spans="1:11" ht="42" customHeight="1">
      <c r="A5189" s="2" t="s">
        <v>12546</v>
      </c>
      <c r="B5189" s="2" t="s">
        <v>12546</v>
      </c>
      <c r="C5189" s="2" t="s">
        <v>131</v>
      </c>
      <c r="D5189" s="2" t="s">
        <v>18</v>
      </c>
      <c r="E5189" s="3" t="s">
        <v>201</v>
      </c>
      <c r="F5189" s="3" t="s">
        <v>202</v>
      </c>
      <c r="G5189" s="3" t="s">
        <v>4645</v>
      </c>
      <c r="H5189" s="2" t="s">
        <v>55</v>
      </c>
      <c r="I5189" s="2" t="s">
        <v>12554</v>
      </c>
      <c r="J5189" s="3" t="str">
        <f>HYPERLINK("https://www.boe.es/gazeta/dias/1809/08/15/pdfs/GGB-1809-62.pdf#page=8","Abrir facsímil")</f>
        <v>Abrir facsímil</v>
      </c>
      <c r="K5189" s="3" t="s">
        <v>57</v>
      </c>
    </row>
    <row r="5190" spans="1:11" ht="42" customHeight="1">
      <c r="A5190" s="2" t="s">
        <v>12546</v>
      </c>
      <c r="B5190" s="2" t="s">
        <v>12546</v>
      </c>
      <c r="C5190" s="2" t="s">
        <v>25</v>
      </c>
      <c r="D5190" s="2" t="s">
        <v>40</v>
      </c>
      <c r="E5190" s="3" t="s">
        <v>73</v>
      </c>
      <c r="F5190" s="3" t="s">
        <v>822</v>
      </c>
      <c r="G5190" s="3" t="s">
        <v>823</v>
      </c>
      <c r="H5190" s="2" t="s">
        <v>55</v>
      </c>
      <c r="I5190" s="2" t="s">
        <v>12555</v>
      </c>
      <c r="J5190" s="3" t="str">
        <f>HYPERLINK("https://www.boe.es/gazeta/dias/1809/09/21/pdfs/GGB-1809-222.pdf#page=4","Abrir facsímil")</f>
        <v>Abrir facsímil</v>
      </c>
      <c r="K5190" s="3" t="s">
        <v>57</v>
      </c>
    </row>
    <row r="5191" spans="1:11" ht="42" customHeight="1">
      <c r="A5191" s="2" t="s">
        <v>12546</v>
      </c>
      <c r="B5191" s="2" t="s">
        <v>12546</v>
      </c>
      <c r="C5191" s="2" t="s">
        <v>25</v>
      </c>
      <c r="D5191" s="2" t="s">
        <v>18</v>
      </c>
      <c r="E5191" s="3" t="s">
        <v>73</v>
      </c>
      <c r="F5191" s="3" t="s">
        <v>822</v>
      </c>
      <c r="G5191" s="3" t="s">
        <v>234</v>
      </c>
      <c r="H5191" s="2" t="s">
        <v>55</v>
      </c>
      <c r="I5191" s="2" t="s">
        <v>12556</v>
      </c>
      <c r="J5191" s="3" t="str">
        <f>HYPERLINK("https://www.boe.es/gazeta/dias/1809/09/21/pdfs/GGB-1809-222.pdf#page=5","Abrir facsímil")</f>
        <v>Abrir facsímil</v>
      </c>
      <c r="K5191" s="3" t="s">
        <v>57</v>
      </c>
    </row>
    <row r="5192" spans="1:11" ht="42" customHeight="1">
      <c r="A5192" s="2" t="s">
        <v>12546</v>
      </c>
      <c r="B5192" s="2" t="s">
        <v>12546</v>
      </c>
      <c r="C5192" s="2" t="s">
        <v>25</v>
      </c>
      <c r="D5192" s="2" t="s">
        <v>18</v>
      </c>
      <c r="E5192" s="3" t="s">
        <v>190</v>
      </c>
      <c r="F5192" s="3" t="s">
        <v>3283</v>
      </c>
      <c r="G5192" s="3" t="s">
        <v>1935</v>
      </c>
      <c r="H5192" s="2" t="s">
        <v>55</v>
      </c>
      <c r="I5192" s="2" t="s">
        <v>12557</v>
      </c>
      <c r="J5192" s="3" t="str">
        <f>HYPERLINK("https://www.boe.es/gazeta/dias/1809/10/14/pdfs/GMD-1809-288.pdf#page=4","Abrir facsímil")</f>
        <v>Abrir facsímil</v>
      </c>
      <c r="K5192" s="3" t="s">
        <v>57</v>
      </c>
    </row>
    <row r="5193" spans="1:11" ht="42" customHeight="1">
      <c r="A5193" s="2" t="s">
        <v>12558</v>
      </c>
      <c r="B5193" s="2" t="s">
        <v>12559</v>
      </c>
      <c r="C5193" s="2" t="s">
        <v>25</v>
      </c>
      <c r="D5193" s="2" t="s">
        <v>26</v>
      </c>
      <c r="E5193" s="3" t="s">
        <v>92</v>
      </c>
      <c r="F5193" s="3" t="s">
        <v>93</v>
      </c>
      <c r="G5193" s="3" t="s">
        <v>623</v>
      </c>
      <c r="H5193" s="2" t="s">
        <v>55</v>
      </c>
      <c r="I5193" s="2" t="s">
        <v>12560</v>
      </c>
      <c r="J5193" s="3" t="str">
        <f>HYPERLINK("https://www.boe.es/gazeta/dias/1809/05/22/pdfs/GGB-G-1809-30.pdf#page=6","Abrir facsímil")</f>
        <v>Abrir facsímil</v>
      </c>
      <c r="K5193" s="3" t="s">
        <v>57</v>
      </c>
    </row>
    <row r="5194" spans="1:11" ht="42" customHeight="1">
      <c r="A5194" s="2" t="s">
        <v>12561</v>
      </c>
      <c r="B5194" s="2" t="s">
        <v>12562</v>
      </c>
      <c r="C5194" s="2" t="s">
        <v>17</v>
      </c>
      <c r="D5194" s="2" t="s">
        <v>72</v>
      </c>
      <c r="E5194" s="3" t="s">
        <v>3178</v>
      </c>
      <c r="F5194" s="3" t="s">
        <v>3179</v>
      </c>
      <c r="G5194" s="3" t="s">
        <v>396</v>
      </c>
      <c r="H5194" s="2" t="s">
        <v>55</v>
      </c>
      <c r="I5194" s="2" t="s">
        <v>12563</v>
      </c>
      <c r="J5194" s="3" t="str">
        <f>HYPERLINK("https://www.boe.es/gazeta/dias/1809/04/20/pdfs/GMD-E-1809-110.pdf#page=1","Abrir facsímil")</f>
        <v>Abrir facsímil</v>
      </c>
      <c r="K5194" s="3" t="s">
        <v>57</v>
      </c>
    </row>
    <row r="5195" spans="1:11" ht="42" customHeight="1">
      <c r="A5195" s="2" t="s">
        <v>12564</v>
      </c>
      <c r="B5195" s="2" t="s">
        <v>12564</v>
      </c>
      <c r="C5195" s="2" t="s">
        <v>131</v>
      </c>
      <c r="D5195" s="2" t="s">
        <v>18</v>
      </c>
      <c r="E5195" s="3" t="s">
        <v>515</v>
      </c>
      <c r="F5195" s="3" t="s">
        <v>3947</v>
      </c>
      <c r="G5195" s="3" t="s">
        <v>687</v>
      </c>
      <c r="H5195" s="2" t="s">
        <v>55</v>
      </c>
      <c r="I5195" s="2" t="s">
        <v>12565</v>
      </c>
      <c r="J5195" s="3" t="str">
        <f>HYPERLINK("https://www.boe.es/gazeta/dias/1809/09/02/pdfs/GGB-1809-142.pdf#page=8","Abrir facsímil")</f>
        <v>Abrir facsímil</v>
      </c>
      <c r="K5195" s="3" t="s">
        <v>57</v>
      </c>
    </row>
    <row r="5196" spans="1:11" ht="42" customHeight="1">
      <c r="A5196" s="2" t="s">
        <v>12566</v>
      </c>
      <c r="B5196" s="2" t="s">
        <v>12566</v>
      </c>
      <c r="C5196" s="2" t="s">
        <v>25</v>
      </c>
      <c r="D5196" s="2" t="s">
        <v>26</v>
      </c>
      <c r="E5196" s="3" t="s">
        <v>5140</v>
      </c>
      <c r="F5196" s="3" t="s">
        <v>5141</v>
      </c>
      <c r="G5196" s="3" t="s">
        <v>6049</v>
      </c>
      <c r="H5196" s="2" t="s">
        <v>55</v>
      </c>
      <c r="I5196" s="2" t="s">
        <v>12567</v>
      </c>
      <c r="J5196" s="3" t="str">
        <f>HYPERLINK("https://www.boe.es/gazeta/dias/1809/07/16/pdfs/GMD-1809-197.pdf#page=3","Abrir facsímil")</f>
        <v>Abrir facsímil</v>
      </c>
      <c r="K5196" s="3" t="s">
        <v>57</v>
      </c>
    </row>
    <row r="5197" spans="1:11" ht="42" customHeight="1">
      <c r="A5197" s="2" t="s">
        <v>12566</v>
      </c>
      <c r="B5197" s="2" t="s">
        <v>12566</v>
      </c>
      <c r="C5197" s="2" t="s">
        <v>25</v>
      </c>
      <c r="D5197" s="2" t="s">
        <v>18</v>
      </c>
      <c r="E5197" s="3" t="s">
        <v>211</v>
      </c>
      <c r="F5197" s="3" t="s">
        <v>212</v>
      </c>
      <c r="G5197" s="3" t="s">
        <v>467</v>
      </c>
      <c r="H5197" s="2" t="s">
        <v>55</v>
      </c>
      <c r="I5197" s="2" t="s">
        <v>12568</v>
      </c>
      <c r="J5197" s="3" t="str">
        <f>HYPERLINK("https://www.boe.es/gazeta/dias/1809/10/27/pdfs/GMD-1809-301.pdf#page=2","Abrir facsímil")</f>
        <v>Abrir facsímil</v>
      </c>
      <c r="K5197" s="3" t="s">
        <v>57</v>
      </c>
    </row>
    <row r="5198" spans="1:11" ht="42" customHeight="1">
      <c r="A5198" s="2" t="s">
        <v>12566</v>
      </c>
      <c r="B5198" s="2" t="s">
        <v>12566</v>
      </c>
      <c r="C5198" s="2" t="s">
        <v>25</v>
      </c>
      <c r="D5198" s="2" t="s">
        <v>26</v>
      </c>
      <c r="E5198" s="3" t="s">
        <v>216</v>
      </c>
      <c r="F5198" s="3" t="s">
        <v>217</v>
      </c>
      <c r="G5198" s="3" t="s">
        <v>270</v>
      </c>
      <c r="H5198" s="2" t="s">
        <v>55</v>
      </c>
      <c r="I5198" s="2" t="s">
        <v>12569</v>
      </c>
      <c r="J5198" s="3" t="str">
        <f>HYPERLINK("https://www.boe.es/gazeta/dias/1809/12/05/pdfs/GGB-H-1809-542.pdf#page=3","Abrir facsímil")</f>
        <v>Abrir facsímil</v>
      </c>
      <c r="K5198" s="3" t="s">
        <v>57</v>
      </c>
    </row>
    <row r="5199" spans="1:11" ht="42" customHeight="1">
      <c r="A5199" s="2" t="s">
        <v>12570</v>
      </c>
      <c r="B5199" s="2" t="s">
        <v>12571</v>
      </c>
      <c r="C5199" s="2" t="s">
        <v>17</v>
      </c>
      <c r="D5199" s="2" t="s">
        <v>40</v>
      </c>
      <c r="E5199" s="3" t="s">
        <v>776</v>
      </c>
      <c r="F5199" s="3" t="s">
        <v>777</v>
      </c>
      <c r="G5199" s="3" t="s">
        <v>736</v>
      </c>
      <c r="H5199" s="2" t="s">
        <v>55</v>
      </c>
      <c r="I5199" s="2" t="s">
        <v>12572</v>
      </c>
      <c r="J5199" s="3" t="str">
        <f>HYPERLINK("https://www.boe.es/gazeta/dias/1809/05/28/pdfs/GMD-E-1809-148.pdf#page=1","Abrir facsímil")</f>
        <v>Abrir facsímil</v>
      </c>
      <c r="K5199" s="3" t="s">
        <v>57</v>
      </c>
    </row>
    <row r="5200" spans="1:11" ht="42" customHeight="1">
      <c r="A5200" s="2" t="s">
        <v>12573</v>
      </c>
      <c r="B5200" s="2" t="s">
        <v>12574</v>
      </c>
      <c r="C5200" s="2" t="s">
        <v>17</v>
      </c>
      <c r="D5200" s="2" t="s">
        <v>72</v>
      </c>
      <c r="E5200" s="3" t="s">
        <v>243</v>
      </c>
      <c r="F5200" s="3" t="s">
        <v>244</v>
      </c>
      <c r="G5200" s="3" t="s">
        <v>110</v>
      </c>
      <c r="H5200" s="2" t="s">
        <v>55</v>
      </c>
      <c r="I5200" s="2" t="s">
        <v>12575</v>
      </c>
      <c r="J5200" s="3" t="str">
        <f>HYPERLINK("https://www.boe.es/gazeta/dias/1809/02/17/pdfs/GGB-G-1809-8.pdf#page=5","Abrir facsímil")</f>
        <v>Abrir facsímil</v>
      </c>
      <c r="K5200" s="3" t="s">
        <v>57</v>
      </c>
    </row>
    <row r="5201" spans="1:11" ht="42" customHeight="1">
      <c r="A5201" s="2" t="s">
        <v>12576</v>
      </c>
      <c r="B5201" s="2" t="s">
        <v>12577</v>
      </c>
      <c r="C5201" s="2" t="s">
        <v>17</v>
      </c>
      <c r="D5201" s="2" t="s">
        <v>72</v>
      </c>
      <c r="E5201" s="3" t="s">
        <v>243</v>
      </c>
      <c r="F5201" s="3" t="s">
        <v>244</v>
      </c>
      <c r="G5201" s="3" t="s">
        <v>110</v>
      </c>
      <c r="H5201" s="2" t="s">
        <v>55</v>
      </c>
      <c r="I5201" s="2" t="s">
        <v>12578</v>
      </c>
      <c r="J5201" s="3" t="str">
        <f>HYPERLINK("https://www.boe.es/gazeta/dias/1809/02/17/pdfs/GGB-G-1809-8.pdf#page=5","Abrir facsímil")</f>
        <v>Abrir facsímil</v>
      </c>
      <c r="K5201" s="3" t="s">
        <v>57</v>
      </c>
    </row>
    <row r="5202" spans="1:11" ht="42" customHeight="1">
      <c r="A5202" s="2" t="s">
        <v>12579</v>
      </c>
      <c r="B5202" s="2" t="s">
        <v>12579</v>
      </c>
      <c r="C5202" s="2" t="s">
        <v>25</v>
      </c>
      <c r="D5202" s="2" t="s">
        <v>26</v>
      </c>
      <c r="E5202" s="3" t="s">
        <v>173</v>
      </c>
      <c r="F5202" s="3" t="s">
        <v>1885</v>
      </c>
      <c r="G5202" s="3" t="s">
        <v>9271</v>
      </c>
      <c r="H5202" s="2" t="s">
        <v>55</v>
      </c>
      <c r="I5202" s="2" t="s">
        <v>12580</v>
      </c>
      <c r="J5202" s="3" t="str">
        <f>HYPERLINK("https://www.boe.es/gazeta/dias/1809/09/12/pdfs/GGB-H-1809-182.pdf#page=2","Abrir facsímil")</f>
        <v>Abrir facsímil</v>
      </c>
      <c r="K5202" s="3" t="s">
        <v>57</v>
      </c>
    </row>
    <row r="5203" spans="1:11" ht="42" customHeight="1">
      <c r="A5203" s="2" t="s">
        <v>12579</v>
      </c>
      <c r="B5203" s="2" t="s">
        <v>12579</v>
      </c>
      <c r="C5203" s="2" t="s">
        <v>25</v>
      </c>
      <c r="D5203" s="2" t="s">
        <v>18</v>
      </c>
      <c r="E5203" s="3" t="s">
        <v>294</v>
      </c>
      <c r="F5203" s="3" t="s">
        <v>1360</v>
      </c>
      <c r="G5203" s="3" t="s">
        <v>1424</v>
      </c>
      <c r="H5203" s="2" t="s">
        <v>55</v>
      </c>
      <c r="I5203" s="2" t="s">
        <v>12581</v>
      </c>
      <c r="J5203" s="3" t="str">
        <f>HYPERLINK("https://www.boe.es/gazeta/dias/1809/09/30/pdfs/GGB-1809-262.pdf#page=5","Abrir facsímil")</f>
        <v>Abrir facsímil</v>
      </c>
      <c r="K5203" s="3" t="s">
        <v>57</v>
      </c>
    </row>
    <row r="5204" spans="1:11" ht="42" customHeight="1">
      <c r="A5204" s="2" t="s">
        <v>12579</v>
      </c>
      <c r="B5204" s="2" t="s">
        <v>12579</v>
      </c>
      <c r="C5204" s="2" t="s">
        <v>25</v>
      </c>
      <c r="D5204" s="2" t="s">
        <v>26</v>
      </c>
      <c r="E5204" s="3" t="s">
        <v>695</v>
      </c>
      <c r="F5204" s="3" t="s">
        <v>1658</v>
      </c>
      <c r="G5204" s="3" t="s">
        <v>1844</v>
      </c>
      <c r="H5204" s="2" t="s">
        <v>55</v>
      </c>
      <c r="I5204" s="2" t="s">
        <v>12582</v>
      </c>
      <c r="J5204" s="3" t="str">
        <f>HYPERLINK("https://www.boe.es/gazeta/dias/1809/10/24/pdfs/GGB-H-1809-362.pdf#page=7","Abrir facsímil")</f>
        <v>Abrir facsímil</v>
      </c>
      <c r="K5204" s="3" t="s">
        <v>57</v>
      </c>
    </row>
    <row r="5205" spans="1:11" ht="42" customHeight="1">
      <c r="A5205" s="2" t="s">
        <v>12579</v>
      </c>
      <c r="B5205" s="2" t="s">
        <v>12579</v>
      </c>
      <c r="C5205" s="2" t="s">
        <v>25</v>
      </c>
      <c r="D5205" s="2" t="s">
        <v>26</v>
      </c>
      <c r="E5205" s="3" t="s">
        <v>814</v>
      </c>
      <c r="F5205" s="3" t="s">
        <v>2095</v>
      </c>
      <c r="G5205" s="3" t="s">
        <v>62</v>
      </c>
      <c r="H5205" s="2" t="s">
        <v>55</v>
      </c>
      <c r="I5205" s="2" t="s">
        <v>12583</v>
      </c>
      <c r="J5205" s="3" t="str">
        <f>HYPERLINK("https://www.boe.es/gazeta/dias/1809/12/09/pdfs/GMD-1809-344.pdf#page=4","Abrir facsímil")</f>
        <v>Abrir facsímil</v>
      </c>
      <c r="K5205" s="3" t="s">
        <v>57</v>
      </c>
    </row>
    <row r="5206" spans="1:11" ht="42" customHeight="1">
      <c r="A5206" s="2" t="s">
        <v>12584</v>
      </c>
      <c r="B5206" s="2" t="s">
        <v>12585</v>
      </c>
      <c r="C5206" s="2" t="s">
        <v>17</v>
      </c>
      <c r="D5206" s="2" t="s">
        <v>18</v>
      </c>
      <c r="E5206" s="3" t="s">
        <v>394</v>
      </c>
      <c r="F5206" s="3" t="s">
        <v>1210</v>
      </c>
      <c r="G5206" s="3" t="s">
        <v>1211</v>
      </c>
      <c r="H5206" s="2" t="s">
        <v>55</v>
      </c>
      <c r="I5206" s="2" t="s">
        <v>12586</v>
      </c>
      <c r="J5206" s="3" t="str">
        <f>HYPERLINK("https://www.boe.es/gazeta/dias/1809/12/14/pdfs/GGB-1809-582.pdf#page=1","Abrir facsímil")</f>
        <v>Abrir facsímil</v>
      </c>
      <c r="K5206" s="3" t="s">
        <v>57</v>
      </c>
    </row>
    <row r="5207" spans="1:11" ht="42" customHeight="1">
      <c r="A5207" s="2" t="s">
        <v>12587</v>
      </c>
      <c r="B5207" s="2" t="s">
        <v>12587</v>
      </c>
      <c r="C5207" s="2" t="s">
        <v>47</v>
      </c>
      <c r="D5207" s="2" t="s">
        <v>18</v>
      </c>
      <c r="E5207" s="3" t="s">
        <v>6618</v>
      </c>
      <c r="F5207" s="3" t="s">
        <v>6619</v>
      </c>
      <c r="G5207" s="3" t="s">
        <v>687</v>
      </c>
      <c r="H5207" s="2" t="s">
        <v>55</v>
      </c>
      <c r="I5207" s="2" t="s">
        <v>12588</v>
      </c>
      <c r="J5207" s="3" t="str">
        <f>HYPERLINK("https://www.boe.es/gazeta/dias/1809/09/18/pdfs/GMD-1809-262.pdf#page=3","Abrir facsímil")</f>
        <v>Abrir facsímil</v>
      </c>
      <c r="K5207" s="3" t="s">
        <v>57</v>
      </c>
    </row>
    <row r="5208" spans="1:11" ht="42" customHeight="1">
      <c r="A5208" s="2" t="s">
        <v>12587</v>
      </c>
      <c r="B5208" s="2" t="s">
        <v>12587</v>
      </c>
      <c r="C5208" s="2" t="s">
        <v>369</v>
      </c>
      <c r="D5208" s="2" t="s">
        <v>18</v>
      </c>
      <c r="E5208" s="3" t="s">
        <v>1822</v>
      </c>
      <c r="F5208" s="3" t="s">
        <v>1823</v>
      </c>
      <c r="G5208" s="3" t="s">
        <v>154</v>
      </c>
      <c r="H5208" s="2" t="s">
        <v>55</v>
      </c>
      <c r="I5208" s="2" t="s">
        <v>12589</v>
      </c>
      <c r="J5208" s="3" t="str">
        <f>HYPERLINK("https://www.boe.es/gazeta/dias/1809/10/11/pdfs/GMD-1809-285.pdf#page=2","Abrir facsímil")</f>
        <v>Abrir facsímil</v>
      </c>
      <c r="K5208" s="3" t="s">
        <v>57</v>
      </c>
    </row>
    <row r="5209" spans="1:11" ht="42" customHeight="1">
      <c r="A5209" s="2" t="s">
        <v>12590</v>
      </c>
      <c r="B5209" s="2" t="s">
        <v>12590</v>
      </c>
      <c r="C5209" s="2" t="s">
        <v>288</v>
      </c>
      <c r="D5209" s="2" t="s">
        <v>107</v>
      </c>
      <c r="E5209" s="3" t="s">
        <v>1822</v>
      </c>
      <c r="F5209" s="3" t="s">
        <v>1823</v>
      </c>
      <c r="G5209" s="3" t="s">
        <v>154</v>
      </c>
      <c r="H5209" s="2" t="s">
        <v>55</v>
      </c>
      <c r="I5209" s="2" t="s">
        <v>12591</v>
      </c>
      <c r="J5209" s="3" t="str">
        <f>HYPERLINK("https://www.boe.es/gazeta/dias/1809/10/11/pdfs/GMD-1809-285.pdf#page=2","Abrir facsímil")</f>
        <v>Abrir facsímil</v>
      </c>
      <c r="K5209" s="3" t="s">
        <v>57</v>
      </c>
    </row>
    <row r="5210" spans="1:11" ht="42" customHeight="1">
      <c r="A5210" s="2" t="s">
        <v>12592</v>
      </c>
      <c r="B5210" s="2" t="s">
        <v>12593</v>
      </c>
      <c r="C5210" s="2" t="s">
        <v>25</v>
      </c>
      <c r="D5210" s="2" t="s">
        <v>26</v>
      </c>
      <c r="E5210" s="3" t="s">
        <v>761</v>
      </c>
      <c r="F5210" s="3" t="s">
        <v>1218</v>
      </c>
      <c r="G5210" s="3" t="s">
        <v>154</v>
      </c>
      <c r="H5210" s="2" t="s">
        <v>55</v>
      </c>
      <c r="I5210" s="2" t="s">
        <v>12594</v>
      </c>
      <c r="J5210" s="3" t="str">
        <f>HYPERLINK("https://www.boe.es/gazeta/dias/1809/06/02/pdfs/GGB-1809-33.pdf#page=12","Abrir facsímil")</f>
        <v>Abrir facsímil</v>
      </c>
      <c r="K5210" s="3" t="s">
        <v>57</v>
      </c>
    </row>
    <row r="5211" spans="1:11" ht="42" customHeight="1">
      <c r="A5211" s="2" t="s">
        <v>12595</v>
      </c>
      <c r="B5211" s="2" t="s">
        <v>12595</v>
      </c>
      <c r="C5211" s="2" t="s">
        <v>17</v>
      </c>
      <c r="D5211" s="2" t="s">
        <v>18</v>
      </c>
      <c r="E5211" s="3" t="s">
        <v>724</v>
      </c>
      <c r="F5211" s="3" t="s">
        <v>725</v>
      </c>
      <c r="G5211" s="3" t="s">
        <v>726</v>
      </c>
      <c r="H5211" s="2" t="s">
        <v>55</v>
      </c>
      <c r="I5211" s="2" t="s">
        <v>12596</v>
      </c>
      <c r="J5211" s="3" t="str">
        <f>HYPERLINK("https://www.boe.es/gazeta/dias/1809/11/19/pdfs/GMD-1809-324.pdf#page=3","Abrir facsímil")</f>
        <v>Abrir facsímil</v>
      </c>
      <c r="K5211" s="3" t="s">
        <v>57</v>
      </c>
    </row>
    <row r="5212" spans="1:11" ht="42" customHeight="1">
      <c r="A5212" s="2" t="s">
        <v>12597</v>
      </c>
      <c r="B5212" s="2" t="s">
        <v>12598</v>
      </c>
      <c r="C5212" s="2" t="s">
        <v>25</v>
      </c>
      <c r="D5212" s="2" t="s">
        <v>72</v>
      </c>
      <c r="E5212" s="3" t="s">
        <v>118</v>
      </c>
      <c r="F5212" s="3" t="s">
        <v>819</v>
      </c>
      <c r="G5212" s="3" t="s">
        <v>2287</v>
      </c>
      <c r="H5212" s="2" t="s">
        <v>55</v>
      </c>
      <c r="I5212" s="2" t="s">
        <v>12599</v>
      </c>
      <c r="J5212" s="3" t="str">
        <f>HYPERLINK("https://www.boe.es/gazeta/dias/1809/09/07/pdfs/GGB-H-1809-162.pdf#page=7","Abrir facsímil")</f>
        <v>Abrir facsímil</v>
      </c>
      <c r="K5212" s="3" t="s">
        <v>57</v>
      </c>
    </row>
    <row r="5213" spans="1:11" ht="42" customHeight="1">
      <c r="A5213" s="2" t="s">
        <v>12600</v>
      </c>
      <c r="B5213" s="2" t="s">
        <v>12601</v>
      </c>
      <c r="C5213" s="2" t="s">
        <v>25</v>
      </c>
      <c r="D5213" s="2" t="s">
        <v>40</v>
      </c>
      <c r="E5213" s="3" t="s">
        <v>432</v>
      </c>
      <c r="F5213" s="3" t="s">
        <v>1525</v>
      </c>
      <c r="G5213" s="3" t="s">
        <v>1526</v>
      </c>
      <c r="H5213" s="2" t="s">
        <v>55</v>
      </c>
      <c r="I5213" s="2" t="s">
        <v>12602</v>
      </c>
      <c r="J5213" s="3" t="str">
        <f>HYPERLINK("https://www.boe.es/gazeta/dias/1809/07/11/pdfs/GGB-1809-44.pdf#page=12","Abrir facsímil")</f>
        <v>Abrir facsímil</v>
      </c>
      <c r="K5213" s="3" t="s">
        <v>57</v>
      </c>
    </row>
    <row r="5214" spans="1:11" ht="42" customHeight="1">
      <c r="A5214" s="2" t="s">
        <v>12603</v>
      </c>
      <c r="B5214" s="2" t="s">
        <v>12604</v>
      </c>
      <c r="C5214" s="2" t="s">
        <v>17</v>
      </c>
      <c r="D5214" s="2" t="s">
        <v>72</v>
      </c>
      <c r="E5214" s="3" t="s">
        <v>557</v>
      </c>
      <c r="F5214" s="3" t="s">
        <v>558</v>
      </c>
      <c r="G5214" s="3" t="s">
        <v>21</v>
      </c>
      <c r="H5214" s="2" t="s">
        <v>55</v>
      </c>
      <c r="I5214" s="2" t="s">
        <v>12605</v>
      </c>
      <c r="J5214" s="3" t="str">
        <f>HYPERLINK("https://www.boe.es/gazeta/dias/1809/04/19/pdfs/GMD-E-1809-109.pdf#page=1","Abrir facsímil")</f>
        <v>Abrir facsímil</v>
      </c>
      <c r="K5214" s="3" t="s">
        <v>57</v>
      </c>
    </row>
    <row r="5215" spans="1:11" ht="42" customHeight="1">
      <c r="A5215" s="2" t="s">
        <v>12606</v>
      </c>
      <c r="B5215" s="2" t="s">
        <v>12607</v>
      </c>
      <c r="C5215" s="2" t="s">
        <v>17</v>
      </c>
      <c r="D5215" s="2" t="s">
        <v>18</v>
      </c>
      <c r="E5215" s="3" t="s">
        <v>621</v>
      </c>
      <c r="F5215" s="3" t="s">
        <v>622</v>
      </c>
      <c r="G5215" s="3" t="s">
        <v>255</v>
      </c>
      <c r="H5215" s="2" t="s">
        <v>22</v>
      </c>
      <c r="I5215" s="2" t="s">
        <v>12608</v>
      </c>
      <c r="J5215" s="3" t="str">
        <f>HYPERLINK("https://www.boe.es/gazeta/dias/1809/07/04/pdfs/GGB-1809-42.pdf#page=5","Abrir facsímil")</f>
        <v>Abrir facsímil</v>
      </c>
      <c r="K5215" s="3" t="s">
        <v>24</v>
      </c>
    </row>
    <row r="5216" spans="1:11" ht="42" customHeight="1">
      <c r="A5216" s="2" t="s">
        <v>12609</v>
      </c>
      <c r="B5216" s="2" t="s">
        <v>12609</v>
      </c>
      <c r="C5216" s="2" t="s">
        <v>25</v>
      </c>
      <c r="D5216" s="2" t="s">
        <v>18</v>
      </c>
      <c r="E5216" s="3" t="s">
        <v>635</v>
      </c>
      <c r="F5216" s="3" t="s">
        <v>5226</v>
      </c>
      <c r="G5216" s="3" t="s">
        <v>816</v>
      </c>
      <c r="H5216" s="2" t="s">
        <v>55</v>
      </c>
      <c r="I5216" s="2" t="s">
        <v>12610</v>
      </c>
      <c r="J5216" s="3" t="str">
        <f>HYPERLINK("https://www.boe.es/gazeta/dias/1809/12/16/pdfs/GMD-1809-351.pdf#page=1","Abrir facsímil")</f>
        <v>Abrir facsímil</v>
      </c>
      <c r="K5216" s="3" t="s">
        <v>57</v>
      </c>
    </row>
    <row r="5217" spans="1:11" ht="42" customHeight="1">
      <c r="A5217" s="2" t="s">
        <v>12611</v>
      </c>
      <c r="B5217" s="2" t="s">
        <v>12612</v>
      </c>
      <c r="C5217" s="2" t="s">
        <v>17</v>
      </c>
      <c r="D5217" s="2" t="s">
        <v>18</v>
      </c>
      <c r="E5217" s="3" t="s">
        <v>327</v>
      </c>
      <c r="F5217" s="3" t="s">
        <v>328</v>
      </c>
      <c r="G5217" s="3" t="s">
        <v>329</v>
      </c>
      <c r="H5217" s="2" t="s">
        <v>55</v>
      </c>
      <c r="I5217" s="2" t="s">
        <v>12613</v>
      </c>
      <c r="J5217" s="3" t="str">
        <f>HYPERLINK("https://www.boe.es/gazeta/dias/1809/09/14/pdfs/GGB-1809-192.pdf#page=8","Abrir facsímil")</f>
        <v>Abrir facsímil</v>
      </c>
      <c r="K5217" s="3" t="s">
        <v>57</v>
      </c>
    </row>
    <row r="5218" spans="1:11" ht="42" customHeight="1">
      <c r="A5218" s="2" t="s">
        <v>12614</v>
      </c>
      <c r="B5218" s="2" t="s">
        <v>12614</v>
      </c>
      <c r="C5218" s="2" t="s">
        <v>17</v>
      </c>
      <c r="D5218" s="2" t="s">
        <v>18</v>
      </c>
      <c r="E5218" s="3" t="s">
        <v>347</v>
      </c>
      <c r="F5218" s="3" t="s">
        <v>348</v>
      </c>
      <c r="G5218" s="3" t="s">
        <v>270</v>
      </c>
      <c r="H5218" s="2" t="s">
        <v>55</v>
      </c>
      <c r="I5218" s="2" t="s">
        <v>12615</v>
      </c>
      <c r="J5218" s="3" t="str">
        <f>HYPERLINK("https://www.boe.es/gazeta/dias/1809/03/07/pdfs/GMD-1809-66.pdf#page=4","Abrir facsímil")</f>
        <v>Abrir facsímil</v>
      </c>
      <c r="K5218" s="3" t="s">
        <v>57</v>
      </c>
    </row>
    <row r="5219" spans="1:11" ht="42" customHeight="1">
      <c r="A5219" s="2" t="s">
        <v>12614</v>
      </c>
      <c r="B5219" s="2" t="s">
        <v>12614</v>
      </c>
      <c r="C5219" s="2" t="s">
        <v>25</v>
      </c>
      <c r="D5219" s="2" t="s">
        <v>18</v>
      </c>
      <c r="E5219" s="3" t="s">
        <v>2845</v>
      </c>
      <c r="F5219" s="3" t="s">
        <v>2846</v>
      </c>
      <c r="G5219" s="3" t="s">
        <v>21</v>
      </c>
      <c r="H5219" s="2" t="s">
        <v>55</v>
      </c>
      <c r="I5219" s="2" t="s">
        <v>12616</v>
      </c>
      <c r="J5219" s="3" t="str">
        <f>HYPERLINK("https://www.boe.es/gazeta/dias/1809/11/23/pdfs/GGB-1809-492.pdf#page=6","Abrir facsímil")</f>
        <v>Abrir facsímil</v>
      </c>
      <c r="K5219" s="3" t="s">
        <v>57</v>
      </c>
    </row>
    <row r="5220" spans="1:11" ht="42" customHeight="1">
      <c r="A5220" s="2" t="s">
        <v>12617</v>
      </c>
      <c r="B5220" s="2" t="s">
        <v>12617</v>
      </c>
      <c r="C5220" s="2" t="s">
        <v>25</v>
      </c>
      <c r="D5220" s="2" t="s">
        <v>18</v>
      </c>
      <c r="E5220" s="3" t="s">
        <v>3397</v>
      </c>
      <c r="F5220" s="3" t="s">
        <v>3398</v>
      </c>
      <c r="G5220" s="3" t="s">
        <v>4342</v>
      </c>
      <c r="H5220" s="2" t="s">
        <v>55</v>
      </c>
      <c r="I5220" s="2" t="s">
        <v>12618</v>
      </c>
      <c r="J5220" s="3" t="str">
        <f>HYPERLINK("https://www.boe.es/gazeta/dias/1809/02/08/pdfs/GMD-1809-39.pdf#page=3","Abrir facsímil")</f>
        <v>Abrir facsímil</v>
      </c>
      <c r="K5220" s="3" t="s">
        <v>57</v>
      </c>
    </row>
    <row r="5221" spans="1:11" ht="42" customHeight="1">
      <c r="A5221" s="2" t="s">
        <v>12617</v>
      </c>
      <c r="B5221" s="2" t="s">
        <v>12617</v>
      </c>
      <c r="C5221" s="2" t="s">
        <v>131</v>
      </c>
      <c r="D5221" s="2" t="s">
        <v>18</v>
      </c>
      <c r="E5221" s="3" t="s">
        <v>278</v>
      </c>
      <c r="F5221" s="3" t="s">
        <v>279</v>
      </c>
      <c r="G5221" s="3" t="s">
        <v>1680</v>
      </c>
      <c r="H5221" s="2" t="s">
        <v>55</v>
      </c>
      <c r="I5221" s="2" t="s">
        <v>12619</v>
      </c>
      <c r="J5221" s="3" t="str">
        <f>HYPERLINK("https://www.boe.es/gazeta/dias/1809/03/26/pdfs/GMD-1809-85.pdf#page=4","Abrir facsímil")</f>
        <v>Abrir facsímil</v>
      </c>
      <c r="K5221" s="3" t="s">
        <v>57</v>
      </c>
    </row>
    <row r="5222" spans="1:11" ht="42" customHeight="1">
      <c r="A5222" s="2" t="s">
        <v>12617</v>
      </c>
      <c r="B5222" s="2" t="s">
        <v>12617</v>
      </c>
      <c r="C5222" s="2" t="s">
        <v>17</v>
      </c>
      <c r="D5222" s="2" t="s">
        <v>18</v>
      </c>
      <c r="E5222" s="3" t="s">
        <v>102</v>
      </c>
      <c r="F5222" s="3" t="s">
        <v>103</v>
      </c>
      <c r="G5222" s="3" t="s">
        <v>830</v>
      </c>
      <c r="H5222" s="2" t="s">
        <v>55</v>
      </c>
      <c r="I5222" s="2" t="s">
        <v>12620</v>
      </c>
      <c r="J5222" s="3" t="str">
        <f>HYPERLINK("https://www.boe.es/gazeta/dias/1809/09/28/pdfs/GGB-1809-252.pdf#page=7","Abrir facsímil")</f>
        <v>Abrir facsímil</v>
      </c>
      <c r="K5222" s="3" t="s">
        <v>57</v>
      </c>
    </row>
    <row r="5223" spans="1:11" ht="42" customHeight="1">
      <c r="A5223" s="2" t="s">
        <v>12617</v>
      </c>
      <c r="B5223" s="2" t="s">
        <v>12617</v>
      </c>
      <c r="C5223" s="2" t="s">
        <v>25</v>
      </c>
      <c r="D5223" s="2" t="s">
        <v>18</v>
      </c>
      <c r="E5223" s="3" t="s">
        <v>211</v>
      </c>
      <c r="F5223" s="3" t="s">
        <v>212</v>
      </c>
      <c r="G5223" s="3" t="s">
        <v>467</v>
      </c>
      <c r="H5223" s="2" t="s">
        <v>55</v>
      </c>
      <c r="I5223" s="2" t="s">
        <v>12621</v>
      </c>
      <c r="J5223" s="3" t="str">
        <f>HYPERLINK("https://www.boe.es/gazeta/dias/1809/10/27/pdfs/GMD-1809-301.pdf#page=2","Abrir facsímil")</f>
        <v>Abrir facsímil</v>
      </c>
      <c r="K5223" s="3" t="s">
        <v>57</v>
      </c>
    </row>
    <row r="5224" spans="1:11" ht="42" customHeight="1">
      <c r="A5224" s="2" t="s">
        <v>12617</v>
      </c>
      <c r="B5224" s="2" t="s">
        <v>12617</v>
      </c>
      <c r="C5224" s="2" t="s">
        <v>25</v>
      </c>
      <c r="D5224" s="2" t="s">
        <v>18</v>
      </c>
      <c r="E5224" s="3" t="s">
        <v>211</v>
      </c>
      <c r="F5224" s="3" t="s">
        <v>212</v>
      </c>
      <c r="G5224" s="3" t="s">
        <v>29</v>
      </c>
      <c r="H5224" s="2" t="s">
        <v>55</v>
      </c>
      <c r="I5224" s="2" t="s">
        <v>12622</v>
      </c>
      <c r="J5224" s="3" t="str">
        <f>HYPERLINK("https://www.boe.es/gazeta/dias/1809/10/27/pdfs/GMD-1809-301.pdf#page=3","Abrir facsímil")</f>
        <v>Abrir facsímil</v>
      </c>
      <c r="K5224" s="3" t="s">
        <v>57</v>
      </c>
    </row>
    <row r="5225" spans="1:11" ht="42" customHeight="1">
      <c r="A5225" s="2" t="s">
        <v>12617</v>
      </c>
      <c r="B5225" s="2" t="s">
        <v>12617</v>
      </c>
      <c r="C5225" s="2" t="s">
        <v>17</v>
      </c>
      <c r="D5225" s="2" t="s">
        <v>18</v>
      </c>
      <c r="E5225" s="3" t="s">
        <v>771</v>
      </c>
      <c r="F5225" s="3" t="s">
        <v>772</v>
      </c>
      <c r="G5225" s="3" t="s">
        <v>2251</v>
      </c>
      <c r="H5225" s="2" t="s">
        <v>55</v>
      </c>
      <c r="I5225" s="2" t="s">
        <v>12623</v>
      </c>
      <c r="J5225" s="3" t="str">
        <f>HYPERLINK("https://www.boe.es/gazeta/dias/1809/10/31/pdfs/GGB-1809-392.pdf#page=6","Abrir facsímil")</f>
        <v>Abrir facsímil</v>
      </c>
      <c r="K5225" s="3" t="s">
        <v>57</v>
      </c>
    </row>
    <row r="5226" spans="1:11" ht="42" customHeight="1">
      <c r="A5226" s="2" t="s">
        <v>12617</v>
      </c>
      <c r="B5226" s="2" t="s">
        <v>12617</v>
      </c>
      <c r="C5226" s="2" t="s">
        <v>25</v>
      </c>
      <c r="D5226" s="2" t="s">
        <v>26</v>
      </c>
      <c r="E5226" s="3" t="s">
        <v>216</v>
      </c>
      <c r="F5226" s="3" t="s">
        <v>217</v>
      </c>
      <c r="G5226" s="3" t="s">
        <v>270</v>
      </c>
      <c r="H5226" s="2" t="s">
        <v>55</v>
      </c>
      <c r="I5226" s="2" t="s">
        <v>12624</v>
      </c>
      <c r="J5226" s="3" t="str">
        <f>HYPERLINK("https://www.boe.es/gazeta/dias/1809/12/05/pdfs/GGB-H-1809-542.pdf#page=3","Abrir facsímil")</f>
        <v>Abrir facsímil</v>
      </c>
      <c r="K5226" s="3" t="s">
        <v>57</v>
      </c>
    </row>
    <row r="5227" spans="1:11" ht="42" customHeight="1">
      <c r="A5227" s="2" t="s">
        <v>12617</v>
      </c>
      <c r="B5227" s="2" t="s">
        <v>12617</v>
      </c>
      <c r="C5227" s="2" t="s">
        <v>25</v>
      </c>
      <c r="D5227" s="2" t="s">
        <v>26</v>
      </c>
      <c r="E5227" s="3" t="s">
        <v>216</v>
      </c>
      <c r="F5227" s="3" t="s">
        <v>217</v>
      </c>
      <c r="G5227" s="3" t="s">
        <v>587</v>
      </c>
      <c r="H5227" s="2" t="s">
        <v>55</v>
      </c>
      <c r="I5227" s="2" t="s">
        <v>12625</v>
      </c>
      <c r="J5227" s="3" t="str">
        <f>HYPERLINK("https://www.boe.es/gazeta/dias/1809/12/05/pdfs/GGB-H-1809-542.pdf#page=4","Abrir facsímil")</f>
        <v>Abrir facsímil</v>
      </c>
      <c r="K5227" s="3" t="s">
        <v>57</v>
      </c>
    </row>
    <row r="5228" spans="1:11" ht="42" customHeight="1">
      <c r="A5228" s="2" t="s">
        <v>12617</v>
      </c>
      <c r="B5228" s="2" t="s">
        <v>12617</v>
      </c>
      <c r="C5228" s="2" t="s">
        <v>25</v>
      </c>
      <c r="D5228" s="2" t="s">
        <v>18</v>
      </c>
      <c r="E5228" s="3" t="s">
        <v>220</v>
      </c>
      <c r="F5228" s="3" t="s">
        <v>221</v>
      </c>
      <c r="G5228" s="3" t="s">
        <v>154</v>
      </c>
      <c r="H5228" s="2" t="s">
        <v>55</v>
      </c>
      <c r="I5228" s="2" t="s">
        <v>12626</v>
      </c>
      <c r="J5228" s="3" t="str">
        <f>HYPERLINK("https://www.boe.es/gazeta/dias/1809/12/13/pdfs/GMD-1809-348.pdf#page=4","Abrir facsímil")</f>
        <v>Abrir facsímil</v>
      </c>
      <c r="K5228" s="3" t="s">
        <v>57</v>
      </c>
    </row>
    <row r="5229" spans="1:11" ht="42" customHeight="1">
      <c r="A5229" s="2" t="s">
        <v>12617</v>
      </c>
      <c r="B5229" s="2" t="s">
        <v>12617</v>
      </c>
      <c r="C5229" s="2" t="s">
        <v>25</v>
      </c>
      <c r="D5229" s="2" t="s">
        <v>26</v>
      </c>
      <c r="E5229" s="3" t="s">
        <v>1948</v>
      </c>
      <c r="F5229" s="3" t="s">
        <v>2055</v>
      </c>
      <c r="G5229" s="3" t="s">
        <v>234</v>
      </c>
      <c r="H5229" s="2" t="s">
        <v>55</v>
      </c>
      <c r="I5229" s="2" t="s">
        <v>12627</v>
      </c>
      <c r="J5229" s="3" t="str">
        <f>HYPERLINK("https://www.boe.es/gazeta/dias/1809/12/23/pdfs/GMD-1809-358.pdf#page=4","Abrir facsímil")</f>
        <v>Abrir facsímil</v>
      </c>
      <c r="K5229" s="3" t="s">
        <v>57</v>
      </c>
    </row>
    <row r="5230" spans="1:11" ht="42" customHeight="1">
      <c r="A5230" s="2" t="s">
        <v>12628</v>
      </c>
      <c r="B5230" s="2" t="s">
        <v>12629</v>
      </c>
      <c r="C5230" s="2" t="s">
        <v>17</v>
      </c>
      <c r="D5230" s="2" t="s">
        <v>18</v>
      </c>
      <c r="E5230" s="3" t="s">
        <v>33</v>
      </c>
      <c r="F5230" s="3" t="s">
        <v>34</v>
      </c>
      <c r="G5230" s="3" t="s">
        <v>493</v>
      </c>
      <c r="H5230" s="2" t="s">
        <v>55</v>
      </c>
      <c r="I5230" s="2" t="s">
        <v>12630</v>
      </c>
      <c r="J5230" s="3" t="str">
        <f>HYPERLINK("https://www.boe.es/gazeta/dias/1809/12/19/pdfs/GGB-1809-602.pdf#page=6","Abrir facsímil")</f>
        <v>Abrir facsímil</v>
      </c>
      <c r="K5230" s="3" t="s">
        <v>57</v>
      </c>
    </row>
    <row r="5231" spans="1:11" ht="42" customHeight="1">
      <c r="A5231" s="2" t="s">
        <v>12631</v>
      </c>
      <c r="B5231" s="2" t="s">
        <v>12632</v>
      </c>
      <c r="C5231" s="2" t="s">
        <v>17</v>
      </c>
      <c r="D5231" s="2" t="s">
        <v>18</v>
      </c>
      <c r="E5231" s="3" t="s">
        <v>3397</v>
      </c>
      <c r="F5231" s="3" t="s">
        <v>3398</v>
      </c>
      <c r="G5231" s="3" t="s">
        <v>225</v>
      </c>
      <c r="H5231" s="2" t="s">
        <v>55</v>
      </c>
      <c r="I5231" s="2" t="s">
        <v>12633</v>
      </c>
      <c r="J5231" s="3" t="str">
        <f>HYPERLINK("https://www.boe.es/gazeta/dias/1809/02/08/pdfs/GMD-1809-39.pdf#page=4","Abrir facsímil")</f>
        <v>Abrir facsímil</v>
      </c>
      <c r="K5231" s="3" t="s">
        <v>57</v>
      </c>
    </row>
    <row r="5232" spans="1:11" ht="42" customHeight="1">
      <c r="A5232" s="2" t="s">
        <v>12634</v>
      </c>
      <c r="B5232" s="2" t="s">
        <v>12634</v>
      </c>
      <c r="C5232" s="2" t="s">
        <v>25</v>
      </c>
      <c r="D5232" s="2" t="s">
        <v>26</v>
      </c>
      <c r="E5232" s="3" t="s">
        <v>3258</v>
      </c>
      <c r="F5232" s="3" t="s">
        <v>3259</v>
      </c>
      <c r="G5232" s="3" t="s">
        <v>225</v>
      </c>
      <c r="H5232" s="2" t="s">
        <v>55</v>
      </c>
      <c r="I5232" s="2" t="s">
        <v>12635</v>
      </c>
      <c r="J5232" s="3" t="str">
        <f>HYPERLINK("https://www.boe.es/gazeta/dias/1809/04/03/pdfs/GMD-1809-93.pdf#page=4","Abrir facsímil")</f>
        <v>Abrir facsímil</v>
      </c>
      <c r="K5232" s="3" t="s">
        <v>57</v>
      </c>
    </row>
    <row r="5233" spans="1:11" ht="42" customHeight="1">
      <c r="A5233" s="2" t="s">
        <v>12636</v>
      </c>
      <c r="B5233" s="2" t="s">
        <v>12636</v>
      </c>
      <c r="C5233" s="2" t="s">
        <v>25</v>
      </c>
      <c r="D5233" s="2" t="s">
        <v>26</v>
      </c>
      <c r="E5233" s="3" t="s">
        <v>838</v>
      </c>
      <c r="F5233" s="3" t="s">
        <v>839</v>
      </c>
      <c r="G5233" s="3" t="s">
        <v>595</v>
      </c>
      <c r="H5233" s="2" t="s">
        <v>55</v>
      </c>
      <c r="I5233" s="2" t="s">
        <v>12637</v>
      </c>
      <c r="J5233" s="3" t="str">
        <f>HYPERLINK("https://www.boe.es/gazeta/dias/1809/08/03/pdfs/GGB-1809-12.pdf#page=7","Abrir facsímil")</f>
        <v>Abrir facsímil</v>
      </c>
      <c r="K5233" s="3" t="s">
        <v>57</v>
      </c>
    </row>
    <row r="5234" spans="1:11" ht="42" customHeight="1">
      <c r="A5234" s="2" t="s">
        <v>12634</v>
      </c>
      <c r="B5234" s="2" t="s">
        <v>12634</v>
      </c>
      <c r="C5234" s="2" t="s">
        <v>17</v>
      </c>
      <c r="D5234" s="2" t="s">
        <v>72</v>
      </c>
      <c r="E5234" s="3" t="s">
        <v>118</v>
      </c>
      <c r="F5234" s="3" t="s">
        <v>819</v>
      </c>
      <c r="G5234" s="3" t="s">
        <v>726</v>
      </c>
      <c r="H5234" s="2" t="s">
        <v>55</v>
      </c>
      <c r="I5234" s="2" t="s">
        <v>12638</v>
      </c>
      <c r="J5234" s="3" t="str">
        <f>HYPERLINK("https://www.boe.es/gazeta/dias/1809/09/07/pdfs/GGB-H-1809-162.pdf#page=3","Abrir facsímil")</f>
        <v>Abrir facsímil</v>
      </c>
      <c r="K5234" s="3" t="s">
        <v>57</v>
      </c>
    </row>
    <row r="5235" spans="1:11" ht="42" customHeight="1">
      <c r="A5235" s="2" t="s">
        <v>12634</v>
      </c>
      <c r="B5235" s="2" t="s">
        <v>12634</v>
      </c>
      <c r="C5235" s="2" t="s">
        <v>25</v>
      </c>
      <c r="D5235" s="2" t="s">
        <v>26</v>
      </c>
      <c r="E5235" s="3" t="s">
        <v>73</v>
      </c>
      <c r="F5235" s="3" t="s">
        <v>822</v>
      </c>
      <c r="G5235" s="3" t="s">
        <v>3275</v>
      </c>
      <c r="H5235" s="2" t="s">
        <v>55</v>
      </c>
      <c r="I5235" s="2" t="s">
        <v>12639</v>
      </c>
      <c r="J5235" s="3" t="str">
        <f>HYPERLINK("https://www.boe.es/gazeta/dias/1809/09/21/pdfs/GGB-1809-222.pdf#page=3","Abrir facsímil")</f>
        <v>Abrir facsímil</v>
      </c>
      <c r="K5235" s="3" t="s">
        <v>57</v>
      </c>
    </row>
    <row r="5236" spans="1:11" ht="42" customHeight="1">
      <c r="A5236" s="2" t="s">
        <v>12634</v>
      </c>
      <c r="B5236" s="2" t="s">
        <v>12634</v>
      </c>
      <c r="C5236" s="2" t="s">
        <v>25</v>
      </c>
      <c r="D5236" s="2" t="s">
        <v>26</v>
      </c>
      <c r="E5236" s="3" t="s">
        <v>73</v>
      </c>
      <c r="F5236" s="3" t="s">
        <v>822</v>
      </c>
      <c r="G5236" s="3" t="s">
        <v>234</v>
      </c>
      <c r="H5236" s="2" t="s">
        <v>55</v>
      </c>
      <c r="I5236" s="2" t="s">
        <v>12640</v>
      </c>
      <c r="J5236" s="3" t="str">
        <f>HYPERLINK("https://www.boe.es/gazeta/dias/1809/09/21/pdfs/GGB-1809-222.pdf#page=5","Abrir facsímil")</f>
        <v>Abrir facsímil</v>
      </c>
      <c r="K5236" s="3" t="s">
        <v>57</v>
      </c>
    </row>
    <row r="5237" spans="1:11" ht="42" customHeight="1">
      <c r="A5237" s="2" t="s">
        <v>12634</v>
      </c>
      <c r="B5237" s="2" t="s">
        <v>12634</v>
      </c>
      <c r="C5237" s="2" t="s">
        <v>25</v>
      </c>
      <c r="D5237" s="2" t="s">
        <v>26</v>
      </c>
      <c r="E5237" s="3" t="s">
        <v>190</v>
      </c>
      <c r="F5237" s="3" t="s">
        <v>3283</v>
      </c>
      <c r="G5237" s="3" t="s">
        <v>1935</v>
      </c>
      <c r="H5237" s="2" t="s">
        <v>55</v>
      </c>
      <c r="I5237" s="2" t="s">
        <v>12641</v>
      </c>
      <c r="J5237" s="3" t="str">
        <f>HYPERLINK("https://www.boe.es/gazeta/dias/1809/10/14/pdfs/GMD-1809-288.pdf#page=4","Abrir facsímil")</f>
        <v>Abrir facsímil</v>
      </c>
      <c r="K5237" s="3" t="s">
        <v>57</v>
      </c>
    </row>
    <row r="5238" spans="1:11" ht="42" customHeight="1">
      <c r="A5238" s="2" t="s">
        <v>12634</v>
      </c>
      <c r="B5238" s="2" t="s">
        <v>12634</v>
      </c>
      <c r="C5238" s="2" t="s">
        <v>25</v>
      </c>
      <c r="D5238" s="2" t="s">
        <v>26</v>
      </c>
      <c r="E5238" s="3" t="s">
        <v>220</v>
      </c>
      <c r="F5238" s="3" t="s">
        <v>221</v>
      </c>
      <c r="G5238" s="3" t="s">
        <v>154</v>
      </c>
      <c r="H5238" s="2" t="s">
        <v>55</v>
      </c>
      <c r="I5238" s="2" t="s">
        <v>12642</v>
      </c>
      <c r="J5238" s="3" t="str">
        <f>HYPERLINK("https://www.boe.es/gazeta/dias/1809/12/13/pdfs/GMD-1809-348.pdf#page=4","Abrir facsímil")</f>
        <v>Abrir facsímil</v>
      </c>
      <c r="K5238" s="3" t="s">
        <v>57</v>
      </c>
    </row>
    <row r="5239" spans="1:11" ht="42" customHeight="1">
      <c r="A5239" s="2" t="s">
        <v>12643</v>
      </c>
      <c r="B5239" s="2" t="s">
        <v>12644</v>
      </c>
      <c r="C5239" s="2" t="s">
        <v>17</v>
      </c>
      <c r="D5239" s="2" t="s">
        <v>72</v>
      </c>
      <c r="E5239" s="3" t="s">
        <v>1206</v>
      </c>
      <c r="F5239" s="3" t="s">
        <v>1207</v>
      </c>
      <c r="G5239" s="3" t="s">
        <v>3149</v>
      </c>
      <c r="H5239" s="2" t="s">
        <v>55</v>
      </c>
      <c r="I5239" s="2" t="s">
        <v>12645</v>
      </c>
      <c r="J5239" s="3" t="str">
        <f>HYPERLINK("https://www.boe.es/gazeta/dias/1809/09/23/pdfs/GGB-H-1809-232.pdf#page=2","Abrir facsímil")</f>
        <v>Abrir facsímil</v>
      </c>
      <c r="K5239" s="3" t="s">
        <v>57</v>
      </c>
    </row>
    <row r="5240" spans="1:11" ht="42" customHeight="1">
      <c r="A5240" s="2" t="s">
        <v>12646</v>
      </c>
      <c r="B5240" s="2" t="s">
        <v>12647</v>
      </c>
      <c r="C5240" s="2" t="s">
        <v>25</v>
      </c>
      <c r="D5240" s="2" t="s">
        <v>18</v>
      </c>
      <c r="E5240" s="3" t="s">
        <v>294</v>
      </c>
      <c r="F5240" s="3" t="s">
        <v>1360</v>
      </c>
      <c r="G5240" s="3" t="s">
        <v>1424</v>
      </c>
      <c r="H5240" s="2" t="s">
        <v>55</v>
      </c>
      <c r="I5240" s="2" t="s">
        <v>12648</v>
      </c>
      <c r="J5240" s="3" t="str">
        <f>HYPERLINK("https://www.boe.es/gazeta/dias/1809/09/30/pdfs/GGB-1809-262.pdf#page=5","Abrir facsímil")</f>
        <v>Abrir facsímil</v>
      </c>
      <c r="K5240" s="3" t="s">
        <v>57</v>
      </c>
    </row>
    <row r="5241" spans="1:11" ht="42" customHeight="1">
      <c r="A5241" s="2" t="s">
        <v>12649</v>
      </c>
      <c r="B5241" s="2" t="s">
        <v>12649</v>
      </c>
      <c r="C5241" s="2" t="s">
        <v>17</v>
      </c>
      <c r="D5241" s="2" t="s">
        <v>18</v>
      </c>
      <c r="E5241" s="3" t="s">
        <v>720</v>
      </c>
      <c r="F5241" s="3" t="s">
        <v>2154</v>
      </c>
      <c r="G5241" s="3" t="s">
        <v>1152</v>
      </c>
      <c r="H5241" s="2" t="s">
        <v>55</v>
      </c>
      <c r="I5241" s="2" t="s">
        <v>12650</v>
      </c>
      <c r="J5241" s="3" t="str">
        <f>HYPERLINK("https://www.boe.es/gazeta/dias/1809/01/27/pdfs/GMD-1809-27.pdf#page=4","Abrir facsímil")</f>
        <v>Abrir facsímil</v>
      </c>
      <c r="K5241" s="3" t="s">
        <v>57</v>
      </c>
    </row>
    <row r="5242" spans="1:11" ht="42" customHeight="1">
      <c r="A5242" s="2" t="s">
        <v>12651</v>
      </c>
      <c r="B5242" s="2" t="s">
        <v>12652</v>
      </c>
      <c r="C5242" s="2" t="s">
        <v>25</v>
      </c>
      <c r="D5242" s="2" t="s">
        <v>18</v>
      </c>
      <c r="E5242" s="3" t="s">
        <v>864</v>
      </c>
      <c r="F5242" s="3" t="s">
        <v>2684</v>
      </c>
      <c r="G5242" s="3" t="s">
        <v>6436</v>
      </c>
      <c r="H5242" s="2" t="s">
        <v>55</v>
      </c>
      <c r="I5242" s="2" t="s">
        <v>12653</v>
      </c>
      <c r="J5242" s="3" t="str">
        <f>HYPERLINK("https://www.boe.es/gazeta/dias/1809/08/31/pdfs/GGB-1809-132.pdf#page=4","Abrir facsímil")</f>
        <v>Abrir facsímil</v>
      </c>
      <c r="K5242" s="3" t="s">
        <v>57</v>
      </c>
    </row>
    <row r="5243" spans="1:11" ht="42" customHeight="1">
      <c r="A5243" s="2" t="s">
        <v>12654</v>
      </c>
      <c r="B5243" s="2" t="s">
        <v>12655</v>
      </c>
      <c r="C5243" s="2" t="s">
        <v>25</v>
      </c>
      <c r="D5243" s="2" t="s">
        <v>18</v>
      </c>
      <c r="E5243" s="3" t="s">
        <v>201</v>
      </c>
      <c r="F5243" s="3" t="s">
        <v>202</v>
      </c>
      <c r="G5243" s="3" t="s">
        <v>595</v>
      </c>
      <c r="H5243" s="2" t="s">
        <v>55</v>
      </c>
      <c r="I5243" s="2" t="s">
        <v>12656</v>
      </c>
      <c r="J5243" s="3" t="str">
        <f>HYPERLINK("https://www.boe.es/gazeta/dias/1809/08/15/pdfs/GGB-1809-62.pdf#page=7","Abrir facsímil")</f>
        <v>Abrir facsímil</v>
      </c>
      <c r="K5243" s="3" t="s">
        <v>57</v>
      </c>
    </row>
    <row r="5244" spans="1:11" ht="42" customHeight="1">
      <c r="A5244" s="2" t="s">
        <v>12657</v>
      </c>
      <c r="B5244" s="2" t="s">
        <v>12658</v>
      </c>
      <c r="C5244" s="2" t="s">
        <v>17</v>
      </c>
      <c r="D5244" s="2" t="s">
        <v>72</v>
      </c>
      <c r="E5244" s="3" t="s">
        <v>635</v>
      </c>
      <c r="F5244" s="3" t="s">
        <v>2073</v>
      </c>
      <c r="G5244" s="3" t="s">
        <v>9868</v>
      </c>
      <c r="H5244" s="2" t="s">
        <v>55</v>
      </c>
      <c r="I5244" s="2" t="s">
        <v>12659</v>
      </c>
      <c r="J5244" s="3" t="str">
        <f>HYPERLINK("https://www.boe.es/gazeta/dias/1809/12/16/pdfs/GGB-H-1809-592.pdf#page=6","Abrir facsímil")</f>
        <v>Abrir facsímil</v>
      </c>
      <c r="K5244" s="3" t="s">
        <v>57</v>
      </c>
    </row>
    <row r="5245" spans="1:11" ht="42" customHeight="1">
      <c r="A5245" s="2" t="s">
        <v>12657</v>
      </c>
      <c r="B5245" s="2" t="s">
        <v>12658</v>
      </c>
      <c r="C5245" s="2" t="s">
        <v>131</v>
      </c>
      <c r="D5245" s="2" t="s">
        <v>18</v>
      </c>
      <c r="E5245" s="3" t="s">
        <v>473</v>
      </c>
      <c r="F5245" s="3" t="s">
        <v>1182</v>
      </c>
      <c r="G5245" s="3" t="s">
        <v>2284</v>
      </c>
      <c r="H5245" s="2" t="s">
        <v>55</v>
      </c>
      <c r="I5245" s="2" t="s">
        <v>12660</v>
      </c>
      <c r="J5245" s="3" t="str">
        <f>HYPERLINK("https://www.boe.es/gazeta/dias/1809/12/28/pdfs/GGB-1809-642.pdf#page=8","Abrir facsímil")</f>
        <v>Abrir facsímil</v>
      </c>
      <c r="K5245" s="3" t="s">
        <v>57</v>
      </c>
    </row>
    <row r="5246" spans="1:11" ht="42" customHeight="1">
      <c r="A5246" s="2" t="s">
        <v>12661</v>
      </c>
      <c r="B5246" s="2" t="s">
        <v>12662</v>
      </c>
      <c r="C5246" s="2" t="s">
        <v>47</v>
      </c>
      <c r="D5246" s="2" t="s">
        <v>80</v>
      </c>
      <c r="E5246" s="3" t="s">
        <v>599</v>
      </c>
      <c r="F5246" s="3" t="s">
        <v>3926</v>
      </c>
      <c r="G5246" s="3" t="s">
        <v>110</v>
      </c>
      <c r="H5246" s="2" t="s">
        <v>55</v>
      </c>
      <c r="I5246" s="2" t="s">
        <v>12663</v>
      </c>
      <c r="J5246" s="3" t="str">
        <f>HYPERLINK("https://www.boe.es/gazeta/dias/1809/01/19/pdfs/GGB-1809-3E2.pdf#page=1","Abrir facsímil")</f>
        <v>Abrir facsímil</v>
      </c>
      <c r="K5246" s="3" t="s">
        <v>57</v>
      </c>
    </row>
    <row r="5247" spans="1:11" ht="42" customHeight="1">
      <c r="A5247" s="2" t="s">
        <v>12661</v>
      </c>
      <c r="B5247" s="2" t="s">
        <v>12662</v>
      </c>
      <c r="C5247" s="2" t="s">
        <v>2176</v>
      </c>
      <c r="D5247" s="2" t="s">
        <v>72</v>
      </c>
      <c r="E5247" s="3" t="s">
        <v>720</v>
      </c>
      <c r="F5247" s="3" t="s">
        <v>721</v>
      </c>
      <c r="G5247" s="3" t="s">
        <v>110</v>
      </c>
      <c r="H5247" s="2" t="s">
        <v>55</v>
      </c>
      <c r="I5247" s="2" t="s">
        <v>12664</v>
      </c>
      <c r="J5247" s="3" t="str">
        <f>HYPERLINK("https://www.boe.es/gazeta/dias/1809/01/27/pdfs/GGB-G-1809-5.pdf#page=5","Abrir facsímil")</f>
        <v>Abrir facsímil</v>
      </c>
      <c r="K5247" s="3" t="s">
        <v>57</v>
      </c>
    </row>
    <row r="5248" spans="1:11" ht="42" customHeight="1">
      <c r="A5248" s="2" t="s">
        <v>12661</v>
      </c>
      <c r="B5248" s="2" t="s">
        <v>12662</v>
      </c>
      <c r="C5248" s="2" t="s">
        <v>47</v>
      </c>
      <c r="D5248" s="2" t="s">
        <v>40</v>
      </c>
      <c r="E5248" s="3" t="s">
        <v>158</v>
      </c>
      <c r="F5248" s="3" t="s">
        <v>159</v>
      </c>
      <c r="G5248" s="3" t="s">
        <v>906</v>
      </c>
      <c r="H5248" s="2" t="s">
        <v>55</v>
      </c>
      <c r="I5248" s="2" t="s">
        <v>12665</v>
      </c>
      <c r="J5248" s="3" t="str">
        <f>HYPERLINK("https://www.boe.es/gazeta/dias/1809/02/10/pdfs/GGB-1809-7.pdf#page=8","Abrir facsímil")</f>
        <v>Abrir facsímil</v>
      </c>
      <c r="K5248" s="3" t="s">
        <v>57</v>
      </c>
    </row>
    <row r="5249" spans="1:11" ht="42" customHeight="1">
      <c r="A5249" s="2" t="s">
        <v>12661</v>
      </c>
      <c r="B5249" s="2" t="s">
        <v>12662</v>
      </c>
      <c r="C5249" s="2" t="s">
        <v>25</v>
      </c>
      <c r="D5249" s="2" t="s">
        <v>18</v>
      </c>
      <c r="E5249" s="3" t="s">
        <v>158</v>
      </c>
      <c r="F5249" s="3" t="s">
        <v>159</v>
      </c>
      <c r="G5249" s="3" t="s">
        <v>154</v>
      </c>
      <c r="H5249" s="2" t="s">
        <v>55</v>
      </c>
      <c r="I5249" s="2" t="s">
        <v>12666</v>
      </c>
      <c r="J5249" s="3" t="str">
        <f>HYPERLINK("https://www.boe.es/gazeta/dias/1809/02/10/pdfs/GGB-1809-7.pdf#page=10","Abrir facsímil")</f>
        <v>Abrir facsímil</v>
      </c>
      <c r="K5249" s="3" t="s">
        <v>57</v>
      </c>
    </row>
    <row r="5250" spans="1:11" ht="42" customHeight="1">
      <c r="A5250" s="2" t="s">
        <v>12661</v>
      </c>
      <c r="B5250" s="2" t="s">
        <v>12662</v>
      </c>
      <c r="C5250" s="2" t="s">
        <v>47</v>
      </c>
      <c r="D5250" s="2" t="s">
        <v>72</v>
      </c>
      <c r="E5250" s="3" t="s">
        <v>158</v>
      </c>
      <c r="F5250" s="3" t="s">
        <v>1794</v>
      </c>
      <c r="G5250" s="3" t="s">
        <v>396</v>
      </c>
      <c r="H5250" s="2" t="s">
        <v>55</v>
      </c>
      <c r="I5250" s="2" t="s">
        <v>12667</v>
      </c>
      <c r="J5250" s="3" t="str">
        <f>HYPERLINK("https://www.boe.es/gazeta/dias/1809/02/10/pdfs/GGB-G-1809-7.pdf#page=8","Abrir facsímil")</f>
        <v>Abrir facsímil</v>
      </c>
      <c r="K5250" s="3" t="s">
        <v>57</v>
      </c>
    </row>
    <row r="5251" spans="1:11" ht="42" customHeight="1">
      <c r="A5251" s="2" t="s">
        <v>12661</v>
      </c>
      <c r="B5251" s="2" t="s">
        <v>12662</v>
      </c>
      <c r="C5251" s="2" t="s">
        <v>47</v>
      </c>
      <c r="D5251" s="2" t="s">
        <v>18</v>
      </c>
      <c r="E5251" s="3" t="s">
        <v>163</v>
      </c>
      <c r="F5251" s="3" t="s">
        <v>478</v>
      </c>
      <c r="G5251" s="3" t="s">
        <v>3932</v>
      </c>
      <c r="H5251" s="2" t="s">
        <v>55</v>
      </c>
      <c r="I5251" s="2" t="s">
        <v>12668</v>
      </c>
      <c r="J5251" s="3" t="str">
        <f>HYPERLINK("https://www.boe.es/gazeta/dias/1809/03/10/pdfs/GGB-1809-11.pdf#page=15","Abrir facsímil")</f>
        <v>Abrir facsímil</v>
      </c>
      <c r="K5251" s="3" t="s">
        <v>57</v>
      </c>
    </row>
    <row r="5252" spans="1:11" ht="42" customHeight="1">
      <c r="A5252" s="2" t="s">
        <v>12661</v>
      </c>
      <c r="B5252" s="2" t="s">
        <v>12662</v>
      </c>
      <c r="C5252" s="2" t="s">
        <v>39</v>
      </c>
      <c r="D5252" s="2" t="s">
        <v>72</v>
      </c>
      <c r="E5252" s="3" t="s">
        <v>163</v>
      </c>
      <c r="F5252" s="3" t="s">
        <v>9738</v>
      </c>
      <c r="G5252" s="3" t="s">
        <v>29</v>
      </c>
      <c r="H5252" s="2" t="s">
        <v>55</v>
      </c>
      <c r="I5252" s="2" t="s">
        <v>12669</v>
      </c>
      <c r="J5252" s="3" t="str">
        <f>HYPERLINK("https://www.boe.es/gazeta/dias/1809/03/10/pdfs/GGB-G-1809-11.pdf#page=3","Abrir facsímil")</f>
        <v>Abrir facsímil</v>
      </c>
      <c r="K5252" s="3" t="s">
        <v>57</v>
      </c>
    </row>
    <row r="5253" spans="1:11" ht="42" customHeight="1">
      <c r="A5253" s="2" t="s">
        <v>12661</v>
      </c>
      <c r="B5253" s="2" t="s">
        <v>12662</v>
      </c>
      <c r="C5253" s="2" t="s">
        <v>25</v>
      </c>
      <c r="D5253" s="2" t="s">
        <v>26</v>
      </c>
      <c r="E5253" s="3" t="s">
        <v>500</v>
      </c>
      <c r="F5253" s="3" t="s">
        <v>2357</v>
      </c>
      <c r="G5253" s="3" t="s">
        <v>906</v>
      </c>
      <c r="H5253" s="2" t="s">
        <v>55</v>
      </c>
      <c r="I5253" s="2" t="s">
        <v>12670</v>
      </c>
      <c r="J5253" s="3" t="str">
        <f>HYPERLINK("https://www.boe.es/gazeta/dias/1809/03/24/pdfs/GGB-1809-13.pdf#page=8","Abrir facsímil")</f>
        <v>Abrir facsímil</v>
      </c>
      <c r="K5253" s="3" t="s">
        <v>57</v>
      </c>
    </row>
    <row r="5254" spans="1:11" ht="42" customHeight="1">
      <c r="A5254" s="2" t="s">
        <v>12661</v>
      </c>
      <c r="B5254" s="2" t="s">
        <v>12662</v>
      </c>
      <c r="C5254" s="2" t="s">
        <v>47</v>
      </c>
      <c r="D5254" s="2" t="s">
        <v>18</v>
      </c>
      <c r="E5254" s="3" t="s">
        <v>749</v>
      </c>
      <c r="F5254" s="3" t="s">
        <v>750</v>
      </c>
      <c r="G5254" s="3" t="s">
        <v>1056</v>
      </c>
      <c r="H5254" s="2" t="s">
        <v>55</v>
      </c>
      <c r="I5254" s="2" t="s">
        <v>12671</v>
      </c>
      <c r="J5254" s="3" t="str">
        <f>HYPERLINK("https://www.boe.es/gazeta/dias/1809/05/19/pdfs/GGB-1809-29.pdf#page=7","Abrir facsímil")</f>
        <v>Abrir facsímil</v>
      </c>
      <c r="K5254" s="3" t="s">
        <v>57</v>
      </c>
    </row>
    <row r="5255" spans="1:11" ht="42" customHeight="1">
      <c r="A5255" s="2" t="s">
        <v>12661</v>
      </c>
      <c r="B5255" s="2" t="s">
        <v>12662</v>
      </c>
      <c r="C5255" s="2" t="s">
        <v>47</v>
      </c>
      <c r="D5255" s="2" t="s">
        <v>18</v>
      </c>
      <c r="E5255" s="3" t="s">
        <v>749</v>
      </c>
      <c r="F5255" s="3" t="s">
        <v>750</v>
      </c>
      <c r="G5255" s="3" t="s">
        <v>1441</v>
      </c>
      <c r="H5255" s="2" t="s">
        <v>55</v>
      </c>
      <c r="I5255" s="2" t="s">
        <v>12672</v>
      </c>
      <c r="J5255" s="3" t="str">
        <f>HYPERLINK("https://www.boe.es/gazeta/dias/1809/05/19/pdfs/GGB-1809-29.pdf#page=8","Abrir facsímil")</f>
        <v>Abrir facsímil</v>
      </c>
      <c r="K5255" s="3" t="s">
        <v>57</v>
      </c>
    </row>
    <row r="5256" spans="1:11" ht="42" customHeight="1">
      <c r="A5256" s="2" t="s">
        <v>12661</v>
      </c>
      <c r="B5256" s="2" t="s">
        <v>12662</v>
      </c>
      <c r="C5256" s="2" t="s">
        <v>47</v>
      </c>
      <c r="D5256" s="2" t="s">
        <v>18</v>
      </c>
      <c r="E5256" s="3" t="s">
        <v>299</v>
      </c>
      <c r="F5256" s="3" t="s">
        <v>300</v>
      </c>
      <c r="G5256" s="3" t="s">
        <v>6527</v>
      </c>
      <c r="H5256" s="2" t="s">
        <v>55</v>
      </c>
      <c r="I5256" s="2" t="s">
        <v>12673</v>
      </c>
      <c r="J5256" s="3" t="str">
        <f>HYPERLINK("https://www.boe.es/gazeta/dias/1809/05/26/pdfs/GGB-1809-31.pdf#page=7","Abrir facsímil")</f>
        <v>Abrir facsímil</v>
      </c>
      <c r="K5256" s="3" t="s">
        <v>57</v>
      </c>
    </row>
    <row r="5257" spans="1:11" ht="42" customHeight="1">
      <c r="A5257" s="2" t="s">
        <v>12661</v>
      </c>
      <c r="B5257" s="2" t="s">
        <v>12662</v>
      </c>
      <c r="C5257" s="2" t="s">
        <v>79</v>
      </c>
      <c r="D5257" s="2" t="s">
        <v>18</v>
      </c>
      <c r="E5257" s="3" t="s">
        <v>299</v>
      </c>
      <c r="F5257" s="3" t="s">
        <v>300</v>
      </c>
      <c r="G5257" s="3" t="s">
        <v>301</v>
      </c>
      <c r="H5257" s="2" t="s">
        <v>55</v>
      </c>
      <c r="I5257" s="2" t="s">
        <v>12674</v>
      </c>
      <c r="J5257" s="3" t="str">
        <f>HYPERLINK("https://www.boe.es/gazeta/dias/1809/05/26/pdfs/GGB-1809-31.pdf#page=10","Abrir facsímil")</f>
        <v>Abrir facsímil</v>
      </c>
      <c r="K5257" s="3" t="s">
        <v>57</v>
      </c>
    </row>
    <row r="5258" spans="1:11" ht="42" customHeight="1">
      <c r="A5258" s="2" t="s">
        <v>12661</v>
      </c>
      <c r="B5258" s="2" t="s">
        <v>12662</v>
      </c>
      <c r="C5258" s="2" t="s">
        <v>39</v>
      </c>
      <c r="D5258" s="2" t="s">
        <v>18</v>
      </c>
      <c r="E5258" s="3" t="s">
        <v>1678</v>
      </c>
      <c r="F5258" s="3" t="s">
        <v>1679</v>
      </c>
      <c r="G5258" s="3" t="s">
        <v>6987</v>
      </c>
      <c r="H5258" s="2" t="s">
        <v>55</v>
      </c>
      <c r="I5258" s="2" t="s">
        <v>12675</v>
      </c>
      <c r="J5258" s="3" t="str">
        <f>HYPERLINK("https://www.boe.es/gazeta/dias/1809/05/29/pdfs/GGB-1809-32.pdf#page=8","Abrir facsímil")</f>
        <v>Abrir facsímil</v>
      </c>
      <c r="K5258" s="3" t="s">
        <v>57</v>
      </c>
    </row>
    <row r="5259" spans="1:11" ht="42" customHeight="1">
      <c r="A5259" s="2" t="s">
        <v>12661</v>
      </c>
      <c r="B5259" s="2" t="s">
        <v>12662</v>
      </c>
      <c r="C5259" s="2" t="s">
        <v>47</v>
      </c>
      <c r="D5259" s="2" t="s">
        <v>18</v>
      </c>
      <c r="E5259" s="3" t="s">
        <v>268</v>
      </c>
      <c r="F5259" s="3" t="s">
        <v>2768</v>
      </c>
      <c r="G5259" s="3" t="s">
        <v>29</v>
      </c>
      <c r="H5259" s="2" t="s">
        <v>55</v>
      </c>
      <c r="I5259" s="2" t="s">
        <v>12676</v>
      </c>
      <c r="J5259" s="3" t="str">
        <f>HYPERLINK("https://www.boe.es/gazeta/dias/1809/06/05/pdfs/GGB-1809-34.pdf#page=3","Abrir facsímil")</f>
        <v>Abrir facsímil</v>
      </c>
      <c r="K5259" s="3" t="s">
        <v>57</v>
      </c>
    </row>
    <row r="5260" spans="1:11" ht="42" customHeight="1">
      <c r="A5260" s="2" t="s">
        <v>12661</v>
      </c>
      <c r="B5260" s="2" t="s">
        <v>12662</v>
      </c>
      <c r="C5260" s="2" t="s">
        <v>39</v>
      </c>
      <c r="D5260" s="2" t="s">
        <v>18</v>
      </c>
      <c r="E5260" s="3" t="s">
        <v>268</v>
      </c>
      <c r="F5260" s="3" t="s">
        <v>2768</v>
      </c>
      <c r="G5260" s="3" t="s">
        <v>595</v>
      </c>
      <c r="H5260" s="2" t="s">
        <v>55</v>
      </c>
      <c r="I5260" s="2" t="s">
        <v>12677</v>
      </c>
      <c r="J5260" s="3" t="str">
        <f>HYPERLINK("https://www.boe.es/gazeta/dias/1809/06/05/pdfs/GGB-1809-34.pdf#page=7","Abrir facsímil")</f>
        <v>Abrir facsímil</v>
      </c>
      <c r="K5260" s="3" t="s">
        <v>57</v>
      </c>
    </row>
    <row r="5261" spans="1:11" ht="42" customHeight="1">
      <c r="A5261" s="2" t="s">
        <v>12661</v>
      </c>
      <c r="B5261" s="2" t="s">
        <v>12662</v>
      </c>
      <c r="C5261" s="2" t="s">
        <v>25</v>
      </c>
      <c r="D5261" s="2" t="s">
        <v>26</v>
      </c>
      <c r="E5261" s="3" t="s">
        <v>429</v>
      </c>
      <c r="F5261" s="3" t="s">
        <v>430</v>
      </c>
      <c r="G5261" s="3" t="s">
        <v>270</v>
      </c>
      <c r="H5261" s="2" t="s">
        <v>55</v>
      </c>
      <c r="I5261" s="2" t="s">
        <v>12678</v>
      </c>
      <c r="J5261" s="3" t="str">
        <f>HYPERLINK("https://www.boe.es/gazeta/dias/1809/06/09/pdfs/GGB-1809-35.pdf#page=6","Abrir facsímil")</f>
        <v>Abrir facsímil</v>
      </c>
      <c r="K5261" s="3" t="s">
        <v>57</v>
      </c>
    </row>
    <row r="5262" spans="1:11" ht="42" customHeight="1">
      <c r="A5262" s="2" t="s">
        <v>12661</v>
      </c>
      <c r="B5262" s="2" t="s">
        <v>12662</v>
      </c>
      <c r="C5262" s="2" t="s">
        <v>47</v>
      </c>
      <c r="D5262" s="2" t="s">
        <v>18</v>
      </c>
      <c r="E5262" s="3" t="s">
        <v>429</v>
      </c>
      <c r="F5262" s="3" t="s">
        <v>430</v>
      </c>
      <c r="G5262" s="3" t="s">
        <v>1138</v>
      </c>
      <c r="H5262" s="2" t="s">
        <v>55</v>
      </c>
      <c r="I5262" s="2" t="s">
        <v>12679</v>
      </c>
      <c r="J5262" s="3" t="str">
        <f>HYPERLINK("https://www.boe.es/gazeta/dias/1809/06/09/pdfs/GGB-1809-35.pdf#page=7","Abrir facsímil")</f>
        <v>Abrir facsímil</v>
      </c>
      <c r="K5262" s="3" t="s">
        <v>57</v>
      </c>
    </row>
    <row r="5263" spans="1:11" ht="42" customHeight="1">
      <c r="A5263" s="2" t="s">
        <v>12661</v>
      </c>
      <c r="B5263" s="2" t="s">
        <v>12662</v>
      </c>
      <c r="C5263" s="2" t="s">
        <v>47</v>
      </c>
      <c r="D5263" s="2" t="s">
        <v>18</v>
      </c>
      <c r="E5263" s="3" t="s">
        <v>1652</v>
      </c>
      <c r="F5263" s="3" t="s">
        <v>1653</v>
      </c>
      <c r="G5263" s="3" t="s">
        <v>169</v>
      </c>
      <c r="H5263" s="2" t="s">
        <v>55</v>
      </c>
      <c r="I5263" s="2" t="s">
        <v>12680</v>
      </c>
      <c r="J5263" s="3" t="str">
        <f>HYPERLINK("https://www.boe.es/gazeta/dias/1809/07/25/pdfs/GGB-1809-48.pdf#page=11","Abrir facsímil")</f>
        <v>Abrir facsímil</v>
      </c>
      <c r="K5263" s="3" t="s">
        <v>57</v>
      </c>
    </row>
    <row r="5264" spans="1:11" ht="42" customHeight="1">
      <c r="A5264" s="2" t="s">
        <v>12661</v>
      </c>
      <c r="B5264" s="2" t="s">
        <v>12662</v>
      </c>
      <c r="C5264" s="2" t="s">
        <v>131</v>
      </c>
      <c r="D5264" s="2" t="s">
        <v>80</v>
      </c>
      <c r="E5264" s="3" t="s">
        <v>248</v>
      </c>
      <c r="F5264" s="3" t="s">
        <v>249</v>
      </c>
      <c r="G5264" s="3" t="s">
        <v>169</v>
      </c>
      <c r="H5264" s="2" t="s">
        <v>55</v>
      </c>
      <c r="I5264" s="2" t="s">
        <v>12681</v>
      </c>
      <c r="J5264" s="3" t="str">
        <f>HYPERLINK("https://www.boe.es/gazeta/dias/1809/07/26/pdfs/GGB-1809-48E.pdf#page=11","Abrir facsímil")</f>
        <v>Abrir facsímil</v>
      </c>
      <c r="K5264" s="3" t="s">
        <v>57</v>
      </c>
    </row>
    <row r="5265" spans="1:11" ht="42" customHeight="1">
      <c r="A5265" s="2" t="s">
        <v>12661</v>
      </c>
      <c r="B5265" s="2" t="s">
        <v>12662</v>
      </c>
      <c r="C5265" s="2" t="s">
        <v>39</v>
      </c>
      <c r="D5265" s="2" t="s">
        <v>18</v>
      </c>
      <c r="E5265" s="3" t="s">
        <v>1288</v>
      </c>
      <c r="F5265" s="3" t="s">
        <v>1289</v>
      </c>
      <c r="G5265" s="3" t="s">
        <v>1290</v>
      </c>
      <c r="H5265" s="2" t="s">
        <v>55</v>
      </c>
      <c r="I5265" s="2" t="s">
        <v>12682</v>
      </c>
      <c r="J5265" s="3" t="str">
        <f>HYPERLINK("https://www.boe.es/gazeta/dias/1809/07/28/pdfs/GGB-1809-49.pdf#page=11","Abrir facsímil")</f>
        <v>Abrir facsímil</v>
      </c>
      <c r="K5265" s="3" t="s">
        <v>57</v>
      </c>
    </row>
    <row r="5266" spans="1:11" ht="42" customHeight="1">
      <c r="A5266" s="2" t="s">
        <v>12661</v>
      </c>
      <c r="B5266" s="2" t="s">
        <v>12662</v>
      </c>
      <c r="C5266" s="2" t="s">
        <v>47</v>
      </c>
      <c r="D5266" s="2" t="s">
        <v>18</v>
      </c>
      <c r="E5266" s="3" t="s">
        <v>838</v>
      </c>
      <c r="F5266" s="3" t="s">
        <v>839</v>
      </c>
      <c r="G5266" s="3" t="s">
        <v>906</v>
      </c>
      <c r="H5266" s="2" t="s">
        <v>55</v>
      </c>
      <c r="I5266" s="2" t="s">
        <v>12683</v>
      </c>
      <c r="J5266" s="3" t="str">
        <f>HYPERLINK("https://www.boe.es/gazeta/dias/1809/08/03/pdfs/GGB-1809-12.pdf#page=8","Abrir facsímil")</f>
        <v>Abrir facsímil</v>
      </c>
      <c r="K5266" s="3" t="s">
        <v>57</v>
      </c>
    </row>
    <row r="5267" spans="1:11" ht="42" customHeight="1">
      <c r="A5267" s="2" t="s">
        <v>12661</v>
      </c>
      <c r="B5267" s="2" t="s">
        <v>12662</v>
      </c>
      <c r="C5267" s="2" t="s">
        <v>17</v>
      </c>
      <c r="D5267" s="2" t="s">
        <v>72</v>
      </c>
      <c r="E5267" s="3" t="s">
        <v>864</v>
      </c>
      <c r="F5267" s="3" t="s">
        <v>2291</v>
      </c>
      <c r="G5267" s="3" t="s">
        <v>3216</v>
      </c>
      <c r="H5267" s="2" t="s">
        <v>55</v>
      </c>
      <c r="I5267" s="2" t="s">
        <v>12684</v>
      </c>
      <c r="J5267" s="3" t="str">
        <f>HYPERLINK("https://www.boe.es/gazeta/dias/1809/08/31/pdfs/GGB-H-1809-132.pdf#page=2","Abrir facsímil")</f>
        <v>Abrir facsímil</v>
      </c>
      <c r="K5267" s="3" t="s">
        <v>57</v>
      </c>
    </row>
    <row r="5268" spans="1:11" ht="42" customHeight="1">
      <c r="A5268" s="2" t="s">
        <v>12661</v>
      </c>
      <c r="B5268" s="2" t="s">
        <v>12662</v>
      </c>
      <c r="C5268" s="2" t="s">
        <v>47</v>
      </c>
      <c r="D5268" s="2" t="s">
        <v>72</v>
      </c>
      <c r="E5268" s="3" t="s">
        <v>864</v>
      </c>
      <c r="F5268" s="3" t="s">
        <v>2291</v>
      </c>
      <c r="G5268" s="3" t="s">
        <v>12478</v>
      </c>
      <c r="H5268" s="2" t="s">
        <v>55</v>
      </c>
      <c r="I5268" s="2" t="s">
        <v>12685</v>
      </c>
      <c r="J5268" s="3" t="str">
        <f>HYPERLINK("https://www.boe.es/gazeta/dias/1809/08/31/pdfs/GGB-H-1809-132.pdf#page=4","Abrir facsímil")</f>
        <v>Abrir facsímil</v>
      </c>
      <c r="K5268" s="3" t="s">
        <v>57</v>
      </c>
    </row>
    <row r="5269" spans="1:11" ht="42" customHeight="1">
      <c r="A5269" s="2" t="s">
        <v>12661</v>
      </c>
      <c r="B5269" s="2" t="s">
        <v>12662</v>
      </c>
      <c r="C5269" s="2" t="s">
        <v>47</v>
      </c>
      <c r="D5269" s="2" t="s">
        <v>18</v>
      </c>
      <c r="E5269" s="3" t="s">
        <v>327</v>
      </c>
      <c r="F5269" s="3" t="s">
        <v>328</v>
      </c>
      <c r="G5269" s="3" t="s">
        <v>1765</v>
      </c>
      <c r="H5269" s="2" t="s">
        <v>55</v>
      </c>
      <c r="I5269" s="2" t="s">
        <v>12686</v>
      </c>
      <c r="J5269" s="3" t="str">
        <f>HYPERLINK("https://www.boe.es/gazeta/dias/1809/09/14/pdfs/GGB-1809-192.pdf#page=7","Abrir facsímil")</f>
        <v>Abrir facsímil</v>
      </c>
      <c r="K5269" s="3" t="s">
        <v>57</v>
      </c>
    </row>
    <row r="5270" spans="1:11" ht="42" customHeight="1">
      <c r="A5270" s="2" t="s">
        <v>12661</v>
      </c>
      <c r="B5270" s="2" t="s">
        <v>12662</v>
      </c>
      <c r="C5270" s="2" t="s">
        <v>79</v>
      </c>
      <c r="D5270" s="2" t="s">
        <v>18</v>
      </c>
      <c r="E5270" s="3" t="s">
        <v>102</v>
      </c>
      <c r="F5270" s="3" t="s">
        <v>103</v>
      </c>
      <c r="G5270" s="3" t="s">
        <v>830</v>
      </c>
      <c r="H5270" s="2" t="s">
        <v>55</v>
      </c>
      <c r="I5270" s="2" t="s">
        <v>12687</v>
      </c>
      <c r="J5270" s="3" t="str">
        <f>HYPERLINK("https://www.boe.es/gazeta/dias/1809/09/28/pdfs/GGB-1809-252.pdf#page=7","Abrir facsímil")</f>
        <v>Abrir facsímil</v>
      </c>
      <c r="K5270" s="3" t="s">
        <v>57</v>
      </c>
    </row>
    <row r="5271" spans="1:11" ht="42" customHeight="1">
      <c r="A5271" s="2" t="s">
        <v>12661</v>
      </c>
      <c r="B5271" s="2" t="s">
        <v>12662</v>
      </c>
      <c r="C5271" s="2" t="s">
        <v>47</v>
      </c>
      <c r="D5271" s="2" t="s">
        <v>40</v>
      </c>
      <c r="E5271" s="3" t="s">
        <v>7514</v>
      </c>
      <c r="F5271" s="3" t="s">
        <v>7515</v>
      </c>
      <c r="G5271" s="3" t="s">
        <v>12688</v>
      </c>
      <c r="H5271" s="2" t="s">
        <v>55</v>
      </c>
      <c r="I5271" s="2" t="s">
        <v>12689</v>
      </c>
      <c r="J5271" s="3" t="str">
        <f>HYPERLINK("https://www.boe.es/gazeta/dias/1809/10/17/pdfs/GGB-1809-332.pdf#page=7","Abrir facsímil")</f>
        <v>Abrir facsímil</v>
      </c>
      <c r="K5271" s="3" t="s">
        <v>57</v>
      </c>
    </row>
    <row r="5272" spans="1:11" ht="42" customHeight="1">
      <c r="A5272" s="2" t="s">
        <v>12661</v>
      </c>
      <c r="B5272" s="2" t="s">
        <v>12662</v>
      </c>
      <c r="C5272" s="2" t="s">
        <v>17</v>
      </c>
      <c r="D5272" s="2" t="s">
        <v>18</v>
      </c>
      <c r="E5272" s="3" t="s">
        <v>695</v>
      </c>
      <c r="F5272" s="3" t="s">
        <v>696</v>
      </c>
      <c r="G5272" s="3" t="s">
        <v>697</v>
      </c>
      <c r="H5272" s="2" t="s">
        <v>55</v>
      </c>
      <c r="I5272" s="2" t="s">
        <v>12690</v>
      </c>
      <c r="J5272" s="3" t="str">
        <f>HYPERLINK("https://www.boe.es/gazeta/dias/1809/10/24/pdfs/GGB-1809-362.pdf#page=6","Abrir facsímil")</f>
        <v>Abrir facsímil</v>
      </c>
      <c r="K5272" s="3" t="s">
        <v>57</v>
      </c>
    </row>
    <row r="5273" spans="1:11" ht="42" customHeight="1">
      <c r="A5273" s="2" t="s">
        <v>12661</v>
      </c>
      <c r="B5273" s="2" t="s">
        <v>12662</v>
      </c>
      <c r="C5273" s="2" t="s">
        <v>17</v>
      </c>
      <c r="D5273" s="2" t="s">
        <v>18</v>
      </c>
      <c r="E5273" s="3" t="s">
        <v>695</v>
      </c>
      <c r="F5273" s="3" t="s">
        <v>696</v>
      </c>
      <c r="G5273" s="3" t="s">
        <v>12691</v>
      </c>
      <c r="H5273" s="2" t="s">
        <v>55</v>
      </c>
      <c r="I5273" s="2" t="s">
        <v>12692</v>
      </c>
      <c r="J5273" s="3" t="str">
        <f>HYPERLINK("https://www.boe.es/gazeta/dias/1809/10/24/pdfs/GGB-1809-362.pdf#page=7","Abrir facsímil")</f>
        <v>Abrir facsímil</v>
      </c>
      <c r="K5273" s="3" t="s">
        <v>57</v>
      </c>
    </row>
    <row r="5274" spans="1:11" ht="42" customHeight="1">
      <c r="A5274" s="2" t="s">
        <v>12661</v>
      </c>
      <c r="B5274" s="2" t="s">
        <v>12662</v>
      </c>
      <c r="C5274" s="2" t="s">
        <v>47</v>
      </c>
      <c r="D5274" s="2" t="s">
        <v>18</v>
      </c>
      <c r="E5274" s="3" t="s">
        <v>1226</v>
      </c>
      <c r="F5274" s="3" t="s">
        <v>1566</v>
      </c>
      <c r="G5274" s="3" t="s">
        <v>3650</v>
      </c>
      <c r="H5274" s="2" t="s">
        <v>55</v>
      </c>
      <c r="I5274" s="2" t="s">
        <v>12693</v>
      </c>
      <c r="J5274" s="3" t="str">
        <f>HYPERLINK("https://www.boe.es/gazeta/dias/1809/11/09/pdfs/GGB-1809-432.pdf#page=7","Abrir facsímil")</f>
        <v>Abrir facsímil</v>
      </c>
      <c r="K5274" s="3" t="s">
        <v>57</v>
      </c>
    </row>
    <row r="5275" spans="1:11" ht="42" customHeight="1">
      <c r="A5275" s="2" t="s">
        <v>12661</v>
      </c>
      <c r="B5275" s="2" t="s">
        <v>12662</v>
      </c>
      <c r="C5275" s="2" t="s">
        <v>47</v>
      </c>
      <c r="D5275" s="2" t="s">
        <v>18</v>
      </c>
      <c r="E5275" s="3" t="s">
        <v>2414</v>
      </c>
      <c r="F5275" s="3" t="s">
        <v>4556</v>
      </c>
      <c r="G5275" s="3" t="s">
        <v>4557</v>
      </c>
      <c r="H5275" s="2" t="s">
        <v>55</v>
      </c>
      <c r="I5275" s="2" t="s">
        <v>12694</v>
      </c>
      <c r="J5275" s="3" t="str">
        <f>HYPERLINK("https://www.boe.es/gazeta/dias/1809/11/18/pdfs/GGB-1809-472.pdf#page=8","Abrir facsímil")</f>
        <v>Abrir facsímil</v>
      </c>
      <c r="K5275" s="3" t="s">
        <v>57</v>
      </c>
    </row>
    <row r="5276" spans="1:11" ht="42" customHeight="1">
      <c r="A5276" s="2" t="s">
        <v>12661</v>
      </c>
      <c r="B5276" s="2" t="s">
        <v>12662</v>
      </c>
      <c r="C5276" s="2" t="s">
        <v>25</v>
      </c>
      <c r="D5276" s="2" t="s">
        <v>18</v>
      </c>
      <c r="E5276" s="3" t="s">
        <v>263</v>
      </c>
      <c r="F5276" s="3" t="s">
        <v>264</v>
      </c>
      <c r="G5276" s="3" t="s">
        <v>154</v>
      </c>
      <c r="H5276" s="2" t="s">
        <v>55</v>
      </c>
      <c r="I5276" s="2" t="s">
        <v>12695</v>
      </c>
      <c r="J5276" s="3" t="str">
        <f>HYPERLINK("https://www.boe.es/gazeta/dias/1809/11/21/pdfs/GGB-1809-482.pdf#page=7","Abrir facsímil")</f>
        <v>Abrir facsímil</v>
      </c>
      <c r="K5276" s="3" t="s">
        <v>57</v>
      </c>
    </row>
    <row r="5277" spans="1:11" ht="42" customHeight="1">
      <c r="A5277" s="2" t="s">
        <v>12661</v>
      </c>
      <c r="B5277" s="2" t="s">
        <v>12662</v>
      </c>
      <c r="C5277" s="2" t="s">
        <v>39</v>
      </c>
      <c r="D5277" s="2" t="s">
        <v>40</v>
      </c>
      <c r="E5277" s="3" t="s">
        <v>1898</v>
      </c>
      <c r="F5277" s="3" t="s">
        <v>1899</v>
      </c>
      <c r="G5277" s="3" t="s">
        <v>62</v>
      </c>
      <c r="H5277" s="2" t="s">
        <v>55</v>
      </c>
      <c r="I5277" s="2" t="s">
        <v>12696</v>
      </c>
      <c r="J5277" s="3" t="str">
        <f>HYPERLINK("https://www.boe.es/gazeta/dias/1809/12/02/pdfs/GGB-1809-532.pdf#page=8","Abrir facsímil")</f>
        <v>Abrir facsímil</v>
      </c>
      <c r="K5277" s="3" t="s">
        <v>57</v>
      </c>
    </row>
    <row r="5278" spans="1:11" ht="42" customHeight="1">
      <c r="A5278" s="2" t="s">
        <v>12661</v>
      </c>
      <c r="B5278" s="2" t="s">
        <v>12662</v>
      </c>
      <c r="C5278" s="2" t="s">
        <v>47</v>
      </c>
      <c r="D5278" s="2" t="s">
        <v>18</v>
      </c>
      <c r="E5278" s="3" t="s">
        <v>3714</v>
      </c>
      <c r="F5278" s="3" t="s">
        <v>4205</v>
      </c>
      <c r="G5278" s="3" t="s">
        <v>789</v>
      </c>
      <c r="H5278" s="2" t="s">
        <v>55</v>
      </c>
      <c r="I5278" s="2" t="s">
        <v>12697</v>
      </c>
      <c r="J5278" s="3" t="str">
        <f>HYPERLINK("https://www.boe.es/gazeta/dias/1809/12/07/pdfs/GGB-1809-552.pdf#page=8","Abrir facsímil")</f>
        <v>Abrir facsímil</v>
      </c>
      <c r="K5278" s="3" t="s">
        <v>57</v>
      </c>
    </row>
    <row r="5279" spans="1:11" ht="42" customHeight="1">
      <c r="A5279" s="2" t="s">
        <v>12661</v>
      </c>
      <c r="B5279" s="2" t="s">
        <v>12662</v>
      </c>
      <c r="C5279" s="2" t="s">
        <v>25</v>
      </c>
      <c r="D5279" s="2" t="s">
        <v>26</v>
      </c>
      <c r="E5279" s="3" t="s">
        <v>635</v>
      </c>
      <c r="F5279" s="3" t="s">
        <v>636</v>
      </c>
      <c r="G5279" s="3" t="s">
        <v>11671</v>
      </c>
      <c r="H5279" s="2" t="s">
        <v>55</v>
      </c>
      <c r="I5279" s="2" t="s">
        <v>12698</v>
      </c>
      <c r="J5279" s="3" t="str">
        <f>HYPERLINK("https://www.boe.es/gazeta/dias/1809/12/16/pdfs/GGB-1809-592.pdf#page=3","Abrir facsímil")</f>
        <v>Abrir facsímil</v>
      </c>
      <c r="K5279" s="3" t="s">
        <v>57</v>
      </c>
    </row>
    <row r="5280" spans="1:11" ht="42" customHeight="1">
      <c r="A5280" s="2" t="s">
        <v>12699</v>
      </c>
      <c r="B5280" s="2" t="s">
        <v>12700</v>
      </c>
      <c r="C5280" s="2" t="s">
        <v>17</v>
      </c>
      <c r="D5280" s="2" t="s">
        <v>18</v>
      </c>
      <c r="E5280" s="3" t="s">
        <v>123</v>
      </c>
      <c r="F5280" s="3" t="s">
        <v>310</v>
      </c>
      <c r="G5280" s="3" t="s">
        <v>120</v>
      </c>
      <c r="H5280" s="2" t="s">
        <v>55</v>
      </c>
      <c r="I5280" s="2" t="s">
        <v>12701</v>
      </c>
      <c r="J5280" s="3" t="str">
        <f>HYPERLINK("https://www.boe.es/gazeta/dias/1809/04/21/pdfs/GGB-1809-20.pdf#page=7","Abrir facsímil")</f>
        <v>Abrir facsímil</v>
      </c>
      <c r="K5280" s="3" t="s">
        <v>57</v>
      </c>
    </row>
    <row r="5281" spans="1:11" ht="42" customHeight="1">
      <c r="A5281" s="2" t="s">
        <v>12702</v>
      </c>
      <c r="B5281" s="2" t="s">
        <v>12703</v>
      </c>
      <c r="C5281" s="2" t="s">
        <v>25</v>
      </c>
      <c r="D5281" s="2" t="s">
        <v>18</v>
      </c>
      <c r="E5281" s="3" t="s">
        <v>27</v>
      </c>
      <c r="F5281" s="3" t="s">
        <v>254</v>
      </c>
      <c r="G5281" s="3" t="s">
        <v>239</v>
      </c>
      <c r="H5281" s="2" t="s">
        <v>55</v>
      </c>
      <c r="I5281" s="2" t="s">
        <v>12704</v>
      </c>
      <c r="J5281" s="3" t="str">
        <f>HYPERLINK("https://www.boe.es/gazeta/dias/1809/05/12/pdfs/GGB-1809-26.pdf#page=11","Abrir facsímil")</f>
        <v>Abrir facsímil</v>
      </c>
      <c r="K5281" s="3" t="s">
        <v>57</v>
      </c>
    </row>
    <row r="5282" spans="1:11" ht="42" customHeight="1">
      <c r="A5282" s="2" t="s">
        <v>12705</v>
      </c>
      <c r="B5282" s="2" t="s">
        <v>12706</v>
      </c>
      <c r="C5282" s="2" t="s">
        <v>17</v>
      </c>
      <c r="D5282" s="2" t="s">
        <v>18</v>
      </c>
      <c r="E5282" s="3" t="s">
        <v>33</v>
      </c>
      <c r="F5282" s="3" t="s">
        <v>34</v>
      </c>
      <c r="G5282" s="3" t="s">
        <v>35</v>
      </c>
      <c r="H5282" s="2" t="s">
        <v>55</v>
      </c>
      <c r="I5282" s="2" t="s">
        <v>12707</v>
      </c>
      <c r="J5282" s="3" t="str">
        <f>HYPERLINK("https://www.boe.es/gazeta/dias/1809/12/19/pdfs/GGB-1809-602.pdf#page=5","Abrir facsímil")</f>
        <v>Abrir facsímil</v>
      </c>
      <c r="K5282" s="3" t="s">
        <v>57</v>
      </c>
    </row>
    <row r="5283" spans="1:11" ht="42" customHeight="1">
      <c r="A5283" s="2" t="s">
        <v>12708</v>
      </c>
      <c r="B5283" s="2" t="s">
        <v>12709</v>
      </c>
      <c r="C5283" s="2" t="s">
        <v>47</v>
      </c>
      <c r="D5283" s="2" t="s">
        <v>40</v>
      </c>
      <c r="E5283" s="3" t="s">
        <v>3084</v>
      </c>
      <c r="F5283" s="3" t="s">
        <v>3085</v>
      </c>
      <c r="G5283" s="3" t="s">
        <v>239</v>
      </c>
      <c r="H5283" s="2" t="s">
        <v>55</v>
      </c>
      <c r="I5283" s="2" t="s">
        <v>12710</v>
      </c>
      <c r="J5283" s="3" t="str">
        <f>HYPERLINK("https://www.boe.es/gazeta/dias/1809/01/04/pdfs/GMS-1809-63E.pdf#page=4","Abrir facsímil")</f>
        <v>Abrir facsímil</v>
      </c>
      <c r="K5283" s="3" t="s">
        <v>57</v>
      </c>
    </row>
    <row r="5284" spans="1:11" ht="42" customHeight="1">
      <c r="A5284" s="2" t="s">
        <v>12711</v>
      </c>
      <c r="B5284" s="2" t="s">
        <v>12712</v>
      </c>
      <c r="C5284" s="2" t="s">
        <v>25</v>
      </c>
      <c r="D5284" s="2" t="s">
        <v>40</v>
      </c>
      <c r="E5284" s="3" t="s">
        <v>2166</v>
      </c>
      <c r="F5284" s="3" t="s">
        <v>2167</v>
      </c>
      <c r="G5284" s="3" t="s">
        <v>396</v>
      </c>
      <c r="H5284" s="2" t="s">
        <v>55</v>
      </c>
      <c r="I5284" s="2" t="s">
        <v>12713</v>
      </c>
      <c r="J5284" s="3" t="str">
        <f>HYPERLINK("https://www.boe.es/gazeta/dias/1809/01/20/pdfs/GGB-1809-4.pdf#page=7","Abrir facsímil")</f>
        <v>Abrir facsímil</v>
      </c>
      <c r="K5284" s="3" t="s">
        <v>57</v>
      </c>
    </row>
    <row r="5285" spans="1:11" ht="42" customHeight="1">
      <c r="A5285" s="2" t="s">
        <v>12711</v>
      </c>
      <c r="B5285" s="2" t="s">
        <v>12712</v>
      </c>
      <c r="C5285" s="2" t="s">
        <v>47</v>
      </c>
      <c r="D5285" s="2" t="s">
        <v>72</v>
      </c>
      <c r="E5285" s="3" t="s">
        <v>720</v>
      </c>
      <c r="F5285" s="3" t="s">
        <v>721</v>
      </c>
      <c r="G5285" s="3" t="s">
        <v>439</v>
      </c>
      <c r="H5285" s="2" t="s">
        <v>55</v>
      </c>
      <c r="I5285" s="2" t="s">
        <v>12714</v>
      </c>
      <c r="J5285" s="3" t="str">
        <f>HYPERLINK("https://www.boe.es/gazeta/dias/1809/01/27/pdfs/GGB-G-1809-5.pdf#page=3","Abrir facsímil")</f>
        <v>Abrir facsímil</v>
      </c>
      <c r="K5285" s="3" t="s">
        <v>57</v>
      </c>
    </row>
    <row r="5286" spans="1:11" ht="42" customHeight="1">
      <c r="A5286" s="2" t="s">
        <v>12711</v>
      </c>
      <c r="B5286" s="2" t="s">
        <v>12712</v>
      </c>
      <c r="C5286" s="2" t="s">
        <v>369</v>
      </c>
      <c r="D5286" s="2" t="s">
        <v>107</v>
      </c>
      <c r="E5286" s="3" t="s">
        <v>158</v>
      </c>
      <c r="F5286" s="3" t="s">
        <v>159</v>
      </c>
      <c r="G5286" s="3" t="s">
        <v>21</v>
      </c>
      <c r="H5286" s="2" t="s">
        <v>55</v>
      </c>
      <c r="I5286" s="2" t="s">
        <v>12715</v>
      </c>
      <c r="J5286" s="3" t="str">
        <f>HYPERLINK("https://www.boe.es/gazeta/dias/1809/02/10/pdfs/GGB-1809-7.pdf#page=12","Abrir facsímil")</f>
        <v>Abrir facsímil</v>
      </c>
      <c r="K5286" s="3" t="s">
        <v>57</v>
      </c>
    </row>
    <row r="5287" spans="1:11" ht="42" customHeight="1">
      <c r="A5287" s="2" t="s">
        <v>12711</v>
      </c>
      <c r="B5287" s="2" t="s">
        <v>12712</v>
      </c>
      <c r="C5287" s="2" t="s">
        <v>47</v>
      </c>
      <c r="D5287" s="2" t="s">
        <v>18</v>
      </c>
      <c r="E5287" s="3" t="s">
        <v>123</v>
      </c>
      <c r="F5287" s="3" t="s">
        <v>310</v>
      </c>
      <c r="G5287" s="3" t="s">
        <v>110</v>
      </c>
      <c r="H5287" s="2" t="s">
        <v>55</v>
      </c>
      <c r="I5287" s="2" t="s">
        <v>12716</v>
      </c>
      <c r="J5287" s="3" t="str">
        <f>HYPERLINK("https://www.boe.es/gazeta/dias/1809/04/21/pdfs/GGB-1809-20.pdf#page=8","Abrir facsímil")</f>
        <v>Abrir facsímil</v>
      </c>
      <c r="K5287" s="3" t="s">
        <v>57</v>
      </c>
    </row>
    <row r="5288" spans="1:11" ht="42" customHeight="1">
      <c r="A5288" s="2" t="s">
        <v>12711</v>
      </c>
      <c r="B5288" s="2" t="s">
        <v>12712</v>
      </c>
      <c r="C5288" s="2" t="s">
        <v>25</v>
      </c>
      <c r="D5288" s="2" t="s">
        <v>26</v>
      </c>
      <c r="E5288" s="3" t="s">
        <v>92</v>
      </c>
      <c r="F5288" s="3" t="s">
        <v>93</v>
      </c>
      <c r="G5288" s="3" t="s">
        <v>623</v>
      </c>
      <c r="H5288" s="2" t="s">
        <v>55</v>
      </c>
      <c r="I5288" s="2" t="s">
        <v>12717</v>
      </c>
      <c r="J5288" s="3" t="str">
        <f>HYPERLINK("https://www.boe.es/gazeta/dias/1809/05/22/pdfs/GGB-G-1809-30.pdf#page=6","Abrir facsímil")</f>
        <v>Abrir facsímil</v>
      </c>
      <c r="K5288" s="3" t="s">
        <v>57</v>
      </c>
    </row>
    <row r="5289" spans="1:11" ht="42" customHeight="1">
      <c r="A5289" s="2" t="s">
        <v>12711</v>
      </c>
      <c r="B5289" s="2" t="s">
        <v>12712</v>
      </c>
      <c r="C5289" s="2" t="s">
        <v>25</v>
      </c>
      <c r="D5289" s="2" t="s">
        <v>18</v>
      </c>
      <c r="E5289" s="3" t="s">
        <v>299</v>
      </c>
      <c r="F5289" s="3" t="s">
        <v>300</v>
      </c>
      <c r="G5289" s="3" t="s">
        <v>301</v>
      </c>
      <c r="H5289" s="2" t="s">
        <v>55</v>
      </c>
      <c r="I5289" s="2" t="s">
        <v>12718</v>
      </c>
      <c r="J5289" s="3" t="str">
        <f>HYPERLINK("https://www.boe.es/gazeta/dias/1809/05/26/pdfs/GGB-1809-31.pdf#page=10","Abrir facsímil")</f>
        <v>Abrir facsímil</v>
      </c>
      <c r="K5289" s="3" t="s">
        <v>57</v>
      </c>
    </row>
    <row r="5290" spans="1:11" ht="42" customHeight="1">
      <c r="A5290" s="2" t="s">
        <v>12711</v>
      </c>
      <c r="B5290" s="2" t="s">
        <v>12712</v>
      </c>
      <c r="C5290" s="2" t="s">
        <v>25</v>
      </c>
      <c r="D5290" s="2" t="s">
        <v>26</v>
      </c>
      <c r="E5290" s="3" t="s">
        <v>761</v>
      </c>
      <c r="F5290" s="3" t="s">
        <v>1218</v>
      </c>
      <c r="G5290" s="3" t="s">
        <v>154</v>
      </c>
      <c r="H5290" s="2" t="s">
        <v>55</v>
      </c>
      <c r="I5290" s="2" t="s">
        <v>12719</v>
      </c>
      <c r="J5290" s="3" t="str">
        <f>HYPERLINK("https://www.boe.es/gazeta/dias/1809/06/02/pdfs/GGB-1809-33.pdf#page=12","Abrir facsímil")</f>
        <v>Abrir facsímil</v>
      </c>
      <c r="K5290" s="3" t="s">
        <v>57</v>
      </c>
    </row>
    <row r="5291" spans="1:11" ht="42" customHeight="1">
      <c r="A5291" s="2" t="s">
        <v>12711</v>
      </c>
      <c r="B5291" s="2" t="s">
        <v>12712</v>
      </c>
      <c r="C5291" s="2" t="s">
        <v>47</v>
      </c>
      <c r="D5291" s="2" t="s">
        <v>40</v>
      </c>
      <c r="E5291" s="3" t="s">
        <v>1282</v>
      </c>
      <c r="F5291" s="3" t="s">
        <v>1283</v>
      </c>
      <c r="G5291" s="3" t="s">
        <v>4114</v>
      </c>
      <c r="H5291" s="2" t="s">
        <v>55</v>
      </c>
      <c r="I5291" s="2" t="s">
        <v>12720</v>
      </c>
      <c r="J5291" s="3" t="str">
        <f>HYPERLINK("https://www.boe.es/gazeta/dias/1809/06/26/pdfs/GGB-1809-40.pdf#page=12","Abrir facsímil")</f>
        <v>Abrir facsímil</v>
      </c>
      <c r="K5291" s="3" t="s">
        <v>57</v>
      </c>
    </row>
    <row r="5292" spans="1:11" ht="42" customHeight="1">
      <c r="A5292" s="2" t="s">
        <v>12711</v>
      </c>
      <c r="B5292" s="2" t="s">
        <v>12712</v>
      </c>
      <c r="C5292" s="2" t="s">
        <v>47</v>
      </c>
      <c r="D5292" s="2" t="s">
        <v>18</v>
      </c>
      <c r="E5292" s="3" t="s">
        <v>7514</v>
      </c>
      <c r="F5292" s="3" t="s">
        <v>7515</v>
      </c>
      <c r="G5292" s="3" t="s">
        <v>623</v>
      </c>
      <c r="H5292" s="2" t="s">
        <v>55</v>
      </c>
      <c r="I5292" s="2" t="s">
        <v>12721</v>
      </c>
      <c r="J5292" s="3" t="str">
        <f>HYPERLINK("https://www.boe.es/gazeta/dias/1809/10/17/pdfs/GGB-1809-332.pdf#page=6","Abrir facsímil")</f>
        <v>Abrir facsímil</v>
      </c>
      <c r="K5292" s="3" t="s">
        <v>57</v>
      </c>
    </row>
    <row r="5293" spans="1:11" ht="42" customHeight="1">
      <c r="A5293" s="2" t="s">
        <v>12722</v>
      </c>
      <c r="B5293" s="2" t="s">
        <v>12723</v>
      </c>
      <c r="C5293" s="2" t="s">
        <v>17</v>
      </c>
      <c r="D5293" s="2" t="s">
        <v>18</v>
      </c>
      <c r="E5293" s="3" t="s">
        <v>102</v>
      </c>
      <c r="F5293" s="3" t="s">
        <v>1095</v>
      </c>
      <c r="G5293" s="3" t="s">
        <v>29</v>
      </c>
      <c r="H5293" s="2" t="s">
        <v>55</v>
      </c>
      <c r="I5293" s="2" t="s">
        <v>12724</v>
      </c>
      <c r="J5293" s="3" t="str">
        <f>HYPERLINK("https://www.boe.es/gazeta/dias/1809/09/28/pdfs/GMD-1809-272.pdf#page=3","Abrir facsímil")</f>
        <v>Abrir facsímil</v>
      </c>
      <c r="K5293" s="3" t="s">
        <v>57</v>
      </c>
    </row>
    <row r="5294" spans="1:11" ht="42" customHeight="1">
      <c r="A5294" s="2" t="s">
        <v>12725</v>
      </c>
      <c r="B5294" s="2" t="s">
        <v>12726</v>
      </c>
      <c r="C5294" s="2" t="s">
        <v>17</v>
      </c>
      <c r="D5294" s="2" t="s">
        <v>18</v>
      </c>
      <c r="E5294" s="3" t="s">
        <v>294</v>
      </c>
      <c r="F5294" s="3" t="s">
        <v>1360</v>
      </c>
      <c r="G5294" s="3" t="s">
        <v>2517</v>
      </c>
      <c r="H5294" s="2" t="s">
        <v>55</v>
      </c>
      <c r="I5294" s="2" t="s">
        <v>12727</v>
      </c>
      <c r="J5294" s="3" t="str">
        <f>HYPERLINK("https://www.boe.es/gazeta/dias/1809/09/30/pdfs/GGB-1809-262.pdf#page=2","Abrir facsímil")</f>
        <v>Abrir facsímil</v>
      </c>
      <c r="K5294" s="3" t="s">
        <v>57</v>
      </c>
    </row>
    <row r="5295" spans="1:11" ht="42" customHeight="1">
      <c r="A5295" s="2" t="s">
        <v>12728</v>
      </c>
      <c r="B5295" s="2" t="s">
        <v>12729</v>
      </c>
      <c r="C5295" s="2" t="s">
        <v>25</v>
      </c>
      <c r="D5295" s="2" t="s">
        <v>18</v>
      </c>
      <c r="E5295" s="3" t="s">
        <v>294</v>
      </c>
      <c r="F5295" s="3" t="s">
        <v>1360</v>
      </c>
      <c r="G5295" s="3" t="s">
        <v>830</v>
      </c>
      <c r="H5295" s="2" t="s">
        <v>55</v>
      </c>
      <c r="I5295" s="2" t="s">
        <v>12730</v>
      </c>
      <c r="J5295" s="3" t="str">
        <f>HYPERLINK("https://www.boe.es/gazeta/dias/1809/09/30/pdfs/GGB-1809-262.pdf#page=4","Abrir facsímil")</f>
        <v>Abrir facsímil</v>
      </c>
      <c r="K5295" s="3" t="s">
        <v>57</v>
      </c>
    </row>
    <row r="5296" spans="1:11" ht="42" customHeight="1">
      <c r="A5296" s="2" t="s">
        <v>12731</v>
      </c>
      <c r="B5296" s="2" t="s">
        <v>12732</v>
      </c>
      <c r="C5296" s="2" t="s">
        <v>79</v>
      </c>
      <c r="D5296" s="2" t="s">
        <v>18</v>
      </c>
      <c r="E5296" s="3" t="s">
        <v>102</v>
      </c>
      <c r="F5296" s="3" t="s">
        <v>103</v>
      </c>
      <c r="G5296" s="3" t="s">
        <v>830</v>
      </c>
      <c r="H5296" s="2" t="s">
        <v>55</v>
      </c>
      <c r="I5296" s="2" t="s">
        <v>12733</v>
      </c>
      <c r="J5296" s="3" t="str">
        <f>HYPERLINK("https://www.boe.es/gazeta/dias/1809/09/28/pdfs/GGB-1809-252.pdf#page=7","Abrir facsímil")</f>
        <v>Abrir facsímil</v>
      </c>
      <c r="K5296" s="3" t="s">
        <v>57</v>
      </c>
    </row>
    <row r="5297" spans="1:11" ht="42" customHeight="1">
      <c r="A5297" s="2" t="s">
        <v>12734</v>
      </c>
      <c r="B5297" s="2" t="s">
        <v>12735</v>
      </c>
      <c r="C5297" s="2" t="s">
        <v>17</v>
      </c>
      <c r="D5297" s="2" t="s">
        <v>18</v>
      </c>
      <c r="E5297" s="3" t="s">
        <v>305</v>
      </c>
      <c r="F5297" s="3" t="s">
        <v>306</v>
      </c>
      <c r="G5297" s="3" t="s">
        <v>29</v>
      </c>
      <c r="H5297" s="2" t="s">
        <v>55</v>
      </c>
      <c r="I5297" s="2" t="s">
        <v>12736</v>
      </c>
      <c r="J5297" s="3" t="str">
        <f>HYPERLINK("https://www.boe.es/gazeta/dias/1809/10/20/pdfs/GMD-1809-294.pdf#page=3","Abrir facsímil")</f>
        <v>Abrir facsímil</v>
      </c>
      <c r="K5297" s="3" t="s">
        <v>57</v>
      </c>
    </row>
    <row r="5298" spans="1:11" ht="42" customHeight="1">
      <c r="A5298" s="2" t="s">
        <v>12737</v>
      </c>
      <c r="B5298" s="2" t="s">
        <v>12738</v>
      </c>
      <c r="C5298" s="2" t="s">
        <v>131</v>
      </c>
      <c r="D5298" s="2" t="s">
        <v>26</v>
      </c>
      <c r="E5298" s="3" t="s">
        <v>1954</v>
      </c>
      <c r="F5298" s="3" t="s">
        <v>1955</v>
      </c>
      <c r="G5298" s="3" t="s">
        <v>1956</v>
      </c>
      <c r="H5298" s="2" t="s">
        <v>55</v>
      </c>
      <c r="I5298" s="2" t="s">
        <v>12739</v>
      </c>
      <c r="J5298" s="3" t="str">
        <f>HYPERLINK("https://www.boe.es/gazeta/dias/1809/11/08/pdfs/GMD-1809-313.pdf#page=4","Abrir facsímil")</f>
        <v>Abrir facsímil</v>
      </c>
      <c r="K5298" s="3" t="s">
        <v>57</v>
      </c>
    </row>
    <row r="5299" spans="1:11" ht="42" customHeight="1">
      <c r="A5299" s="2" t="s">
        <v>12737</v>
      </c>
      <c r="B5299" s="2" t="s">
        <v>12738</v>
      </c>
      <c r="C5299" s="2" t="s">
        <v>17</v>
      </c>
      <c r="D5299" s="2" t="s">
        <v>72</v>
      </c>
      <c r="E5299" s="3" t="s">
        <v>216</v>
      </c>
      <c r="F5299" s="3" t="s">
        <v>217</v>
      </c>
      <c r="G5299" s="3" t="s">
        <v>439</v>
      </c>
      <c r="H5299" s="2" t="s">
        <v>55</v>
      </c>
      <c r="I5299" s="2" t="s">
        <v>12740</v>
      </c>
      <c r="J5299" s="3" t="str">
        <f>HYPERLINK("https://www.boe.es/gazeta/dias/1809/12/05/pdfs/GGB-H-1809-542.pdf#page=7","Abrir facsímil")</f>
        <v>Abrir facsímil</v>
      </c>
      <c r="K5299" s="3" t="s">
        <v>57</v>
      </c>
    </row>
    <row r="5300" spans="1:11" ht="42" customHeight="1">
      <c r="A5300" s="2" t="s">
        <v>12741</v>
      </c>
      <c r="B5300" s="2" t="s">
        <v>12742</v>
      </c>
      <c r="C5300" s="2" t="s">
        <v>17</v>
      </c>
      <c r="D5300" s="2" t="s">
        <v>18</v>
      </c>
      <c r="E5300" s="3" t="s">
        <v>1468</v>
      </c>
      <c r="F5300" s="3" t="s">
        <v>1469</v>
      </c>
      <c r="G5300" s="3" t="s">
        <v>104</v>
      </c>
      <c r="H5300" s="2" t="s">
        <v>55</v>
      </c>
      <c r="I5300" s="2" t="s">
        <v>12743</v>
      </c>
      <c r="J5300" s="3" t="str">
        <f>HYPERLINK("https://www.boe.es/gazeta/dias/1809/02/12/pdfs/GMD-1809-43.pdf#page=6","Abrir facsímil")</f>
        <v>Abrir facsímil</v>
      </c>
      <c r="K5300" s="3" t="s">
        <v>57</v>
      </c>
    </row>
    <row r="5301" spans="1:11" ht="42" customHeight="1">
      <c r="A5301" s="2" t="s">
        <v>12744</v>
      </c>
      <c r="B5301" s="2" t="s">
        <v>12745</v>
      </c>
      <c r="C5301" s="2" t="s">
        <v>17</v>
      </c>
      <c r="D5301" s="2" t="s">
        <v>18</v>
      </c>
      <c r="E5301" s="3" t="s">
        <v>2060</v>
      </c>
      <c r="F5301" s="3" t="s">
        <v>2061</v>
      </c>
      <c r="G5301" s="3" t="s">
        <v>239</v>
      </c>
      <c r="H5301" s="2" t="s">
        <v>55</v>
      </c>
      <c r="I5301" s="2" t="s">
        <v>12746</v>
      </c>
      <c r="J5301" s="3" t="str">
        <f>HYPERLINK("https://www.boe.es/gazeta/dias/1809/07/18/pdfs/GGB-1809-46.pdf#page=11","Abrir facsímil")</f>
        <v>Abrir facsímil</v>
      </c>
      <c r="K5301" s="3" t="s">
        <v>57</v>
      </c>
    </row>
    <row r="5302" spans="1:11" ht="42" customHeight="1">
      <c r="A5302" s="2" t="s">
        <v>12744</v>
      </c>
      <c r="B5302" s="2" t="s">
        <v>12745</v>
      </c>
      <c r="C5302" s="2" t="s">
        <v>131</v>
      </c>
      <c r="D5302" s="2" t="s">
        <v>18</v>
      </c>
      <c r="E5302" s="3" t="s">
        <v>2060</v>
      </c>
      <c r="F5302" s="3" t="s">
        <v>2061</v>
      </c>
      <c r="G5302" s="3" t="s">
        <v>110</v>
      </c>
      <c r="H5302" s="2" t="s">
        <v>55</v>
      </c>
      <c r="I5302" s="2" t="s">
        <v>12747</v>
      </c>
      <c r="J5302" s="3" t="str">
        <f>HYPERLINK("https://www.boe.es/gazeta/dias/1809/07/18/pdfs/GGB-1809-46.pdf#page=12","Abrir facsímil")</f>
        <v>Abrir facsímil</v>
      </c>
      <c r="K5302" s="3" t="s">
        <v>57</v>
      </c>
    </row>
    <row r="5303" spans="1:11" ht="42" customHeight="1">
      <c r="A5303" s="2" t="s">
        <v>12744</v>
      </c>
      <c r="B5303" s="2" t="s">
        <v>12745</v>
      </c>
      <c r="C5303" s="2" t="s">
        <v>17</v>
      </c>
      <c r="D5303" s="2" t="s">
        <v>80</v>
      </c>
      <c r="E5303" s="3" t="s">
        <v>248</v>
      </c>
      <c r="F5303" s="3" t="s">
        <v>249</v>
      </c>
      <c r="G5303" s="3" t="s">
        <v>169</v>
      </c>
      <c r="H5303" s="2" t="s">
        <v>55</v>
      </c>
      <c r="I5303" s="2" t="s">
        <v>12748</v>
      </c>
      <c r="J5303" s="3" t="str">
        <f>HYPERLINK("https://www.boe.es/gazeta/dias/1809/07/26/pdfs/GGB-1809-48E.pdf#page=11","Abrir facsímil")</f>
        <v>Abrir facsímil</v>
      </c>
      <c r="K5303" s="3" t="s">
        <v>57</v>
      </c>
    </row>
    <row r="5304" spans="1:11" ht="42" customHeight="1">
      <c r="A5304" s="2" t="s">
        <v>12749</v>
      </c>
      <c r="B5304" s="2" t="s">
        <v>12750</v>
      </c>
      <c r="C5304" s="2" t="s">
        <v>17</v>
      </c>
      <c r="D5304" s="2" t="s">
        <v>72</v>
      </c>
      <c r="E5304" s="3" t="s">
        <v>1206</v>
      </c>
      <c r="F5304" s="3" t="s">
        <v>1207</v>
      </c>
      <c r="G5304" s="3" t="s">
        <v>3149</v>
      </c>
      <c r="H5304" s="2" t="s">
        <v>55</v>
      </c>
      <c r="I5304" s="2" t="s">
        <v>12751</v>
      </c>
      <c r="J5304" s="3" t="str">
        <f>HYPERLINK("https://www.boe.es/gazeta/dias/1809/09/23/pdfs/GGB-H-1809-232.pdf#page=2","Abrir facsímil")</f>
        <v>Abrir facsímil</v>
      </c>
      <c r="K5304" s="3" t="s">
        <v>57</v>
      </c>
    </row>
    <row r="5305" spans="1:11" ht="42" customHeight="1">
      <c r="A5305" s="2" t="s">
        <v>12752</v>
      </c>
      <c r="B5305" s="2" t="s">
        <v>12753</v>
      </c>
      <c r="C5305" s="2" t="s">
        <v>25</v>
      </c>
      <c r="D5305" s="2" t="s">
        <v>80</v>
      </c>
      <c r="E5305" s="3" t="s">
        <v>81</v>
      </c>
      <c r="F5305" s="3" t="s">
        <v>82</v>
      </c>
      <c r="G5305" s="3" t="s">
        <v>3332</v>
      </c>
      <c r="H5305" s="2" t="s">
        <v>55</v>
      </c>
      <c r="I5305" s="2" t="s">
        <v>12754</v>
      </c>
      <c r="J5305" s="3" t="str">
        <f>HYPERLINK("https://www.boe.es/gazeta/dias/1809/04/11/pdfs/GGB-1809-16E.pdf#page=8","Abrir facsímil")</f>
        <v>Abrir facsímil</v>
      </c>
      <c r="K5305" s="3" t="s">
        <v>57</v>
      </c>
    </row>
    <row r="5306" spans="1:11" ht="42" customHeight="1">
      <c r="A5306" s="2" t="s">
        <v>12752</v>
      </c>
      <c r="B5306" s="2" t="s">
        <v>12753</v>
      </c>
      <c r="C5306" s="2" t="s">
        <v>131</v>
      </c>
      <c r="D5306" s="2" t="s">
        <v>26</v>
      </c>
      <c r="E5306" s="3" t="s">
        <v>515</v>
      </c>
      <c r="F5306" s="3" t="s">
        <v>516</v>
      </c>
      <c r="G5306" s="3" t="s">
        <v>1380</v>
      </c>
      <c r="H5306" s="2" t="s">
        <v>55</v>
      </c>
      <c r="I5306" s="2" t="s">
        <v>12755</v>
      </c>
      <c r="J5306" s="3" t="str">
        <f>HYPERLINK("https://www.boe.es/gazeta/dias/1809/09/02/pdfs/GMD-1809-246.pdf#page=3","Abrir facsímil")</f>
        <v>Abrir facsímil</v>
      </c>
      <c r="K5306" s="3" t="s">
        <v>57</v>
      </c>
    </row>
    <row r="5307" spans="1:11" ht="42" customHeight="1">
      <c r="A5307" s="2" t="s">
        <v>12756</v>
      </c>
      <c r="B5307" s="2" t="s">
        <v>12756</v>
      </c>
      <c r="C5307" s="2" t="s">
        <v>25</v>
      </c>
      <c r="D5307" s="2" t="s">
        <v>107</v>
      </c>
      <c r="E5307" s="3" t="s">
        <v>27</v>
      </c>
      <c r="F5307" s="3" t="s">
        <v>254</v>
      </c>
      <c r="G5307" s="3" t="s">
        <v>914</v>
      </c>
      <c r="H5307" s="2" t="s">
        <v>55</v>
      </c>
      <c r="I5307" s="2" t="s">
        <v>12757</v>
      </c>
      <c r="J5307" s="3" t="str">
        <f>HYPERLINK("https://www.boe.es/gazeta/dias/1809/05/12/pdfs/GGB-1809-26.pdf#page=5","Abrir facsímil")</f>
        <v>Abrir facsímil</v>
      </c>
      <c r="K5307" s="3" t="s">
        <v>57</v>
      </c>
    </row>
    <row r="5308" spans="1:11" ht="42" customHeight="1">
      <c r="A5308" s="2" t="s">
        <v>12758</v>
      </c>
      <c r="B5308" s="2" t="s">
        <v>12758</v>
      </c>
      <c r="C5308" s="2" t="s">
        <v>25</v>
      </c>
      <c r="D5308" s="2" t="s">
        <v>72</v>
      </c>
      <c r="E5308" s="3" t="s">
        <v>1514</v>
      </c>
      <c r="F5308" s="3" t="s">
        <v>1515</v>
      </c>
      <c r="G5308" s="3" t="s">
        <v>239</v>
      </c>
      <c r="H5308" s="2" t="s">
        <v>55</v>
      </c>
      <c r="I5308" s="2" t="s">
        <v>12759</v>
      </c>
      <c r="J5308" s="3" t="str">
        <f>HYPERLINK("https://www.boe.es/gazeta/dias/1809/04/17/pdfs/GGB-G-1809-19.pdf#page=5","Abrir facsímil")</f>
        <v>Abrir facsímil</v>
      </c>
      <c r="K5308" s="3" t="s">
        <v>57</v>
      </c>
    </row>
    <row r="5309" spans="1:11" ht="42" customHeight="1">
      <c r="A5309" s="2" t="s">
        <v>12760</v>
      </c>
      <c r="B5309" s="2" t="s">
        <v>12761</v>
      </c>
      <c r="C5309" s="2" t="s">
        <v>25</v>
      </c>
      <c r="D5309" s="2" t="s">
        <v>18</v>
      </c>
      <c r="E5309" s="3" t="s">
        <v>41</v>
      </c>
      <c r="F5309" s="3" t="s">
        <v>42</v>
      </c>
      <c r="G5309" s="3" t="s">
        <v>43</v>
      </c>
      <c r="H5309" s="2" t="s">
        <v>55</v>
      </c>
      <c r="I5309" s="2" t="s">
        <v>12762</v>
      </c>
      <c r="J5309" s="3" t="str">
        <f>HYPERLINK("https://www.boe.es/gazeta/dias/1809/03/11/pdfs/GMD-1809-70.pdf#page=4","Abrir facsímil")</f>
        <v>Abrir facsímil</v>
      </c>
      <c r="K5309" s="3" t="s">
        <v>57</v>
      </c>
    </row>
    <row r="5310" spans="1:11" ht="42" customHeight="1">
      <c r="A5310" s="2" t="s">
        <v>12763</v>
      </c>
      <c r="B5310" s="2" t="s">
        <v>12764</v>
      </c>
      <c r="C5310" s="2" t="s">
        <v>369</v>
      </c>
      <c r="D5310" s="2" t="s">
        <v>18</v>
      </c>
      <c r="E5310" s="3" t="s">
        <v>41</v>
      </c>
      <c r="F5310" s="3" t="s">
        <v>42</v>
      </c>
      <c r="G5310" s="3" t="s">
        <v>43</v>
      </c>
      <c r="H5310" s="2" t="s">
        <v>55</v>
      </c>
      <c r="I5310" s="2" t="s">
        <v>12765</v>
      </c>
      <c r="J5310" s="3" t="str">
        <f>HYPERLINK("https://www.boe.es/gazeta/dias/1809/03/11/pdfs/GMD-1809-70.pdf#page=4","Abrir facsímil")</f>
        <v>Abrir facsímil</v>
      </c>
      <c r="K5310" s="3" t="s">
        <v>57</v>
      </c>
    </row>
    <row r="5311" spans="1:11" ht="42" customHeight="1">
      <c r="A5311" s="2" t="s">
        <v>12766</v>
      </c>
      <c r="B5311" s="2" t="s">
        <v>12767</v>
      </c>
      <c r="C5311" s="2" t="s">
        <v>25</v>
      </c>
      <c r="D5311" s="2" t="s">
        <v>26</v>
      </c>
      <c r="E5311" s="3" t="s">
        <v>27</v>
      </c>
      <c r="F5311" s="3" t="s">
        <v>254</v>
      </c>
      <c r="G5311" s="3" t="s">
        <v>693</v>
      </c>
      <c r="H5311" s="2" t="s">
        <v>55</v>
      </c>
      <c r="I5311" s="2" t="s">
        <v>12768</v>
      </c>
      <c r="J5311" s="3" t="str">
        <f>HYPERLINK("https://www.boe.es/gazeta/dias/1809/05/12/pdfs/GGB-1809-26.pdf#page=9","Abrir facsímil")</f>
        <v>Abrir facsímil</v>
      </c>
      <c r="K5311" s="3" t="s">
        <v>57</v>
      </c>
    </row>
    <row r="5312" spans="1:11" ht="42" customHeight="1">
      <c r="A5312" s="2" t="s">
        <v>12769</v>
      </c>
      <c r="B5312" s="2" t="s">
        <v>12769</v>
      </c>
      <c r="C5312" s="2" t="s">
        <v>25</v>
      </c>
      <c r="D5312" s="2" t="s">
        <v>18</v>
      </c>
      <c r="E5312" s="3" t="s">
        <v>283</v>
      </c>
      <c r="F5312" s="3" t="s">
        <v>284</v>
      </c>
      <c r="G5312" s="3" t="s">
        <v>21</v>
      </c>
      <c r="H5312" s="2" t="s">
        <v>55</v>
      </c>
      <c r="I5312" s="2" t="s">
        <v>12770</v>
      </c>
      <c r="J5312" s="3" t="str">
        <f>HYPERLINK("https://www.boe.es/gazeta/dias/1809/02/09/pdfs/GMD-1809-40.pdf#page=1","Abrir facsímil")</f>
        <v>Abrir facsímil</v>
      </c>
      <c r="K5312" s="3" t="s">
        <v>57</v>
      </c>
    </row>
    <row r="5313" spans="1:11" ht="42" customHeight="1">
      <c r="A5313" s="2" t="s">
        <v>12771</v>
      </c>
      <c r="B5313" s="2" t="s">
        <v>12771</v>
      </c>
      <c r="C5313" s="2" t="s">
        <v>25</v>
      </c>
      <c r="D5313" s="2" t="s">
        <v>72</v>
      </c>
      <c r="E5313" s="3" t="s">
        <v>394</v>
      </c>
      <c r="F5313" s="3" t="s">
        <v>395</v>
      </c>
      <c r="G5313" s="3" t="s">
        <v>623</v>
      </c>
      <c r="H5313" s="2" t="s">
        <v>55</v>
      </c>
      <c r="I5313" s="2" t="s">
        <v>12772</v>
      </c>
      <c r="J5313" s="3" t="str">
        <f>HYPERLINK("https://www.boe.es/gazeta/dias/1809/12/14/pdfs/GGB-H-1809-582.pdf#page=6","Abrir facsímil")</f>
        <v>Abrir facsímil</v>
      </c>
      <c r="K5313" s="3" t="s">
        <v>57</v>
      </c>
    </row>
    <row r="5314" spans="1:11" ht="42" customHeight="1">
      <c r="A5314" s="2" t="s">
        <v>12773</v>
      </c>
      <c r="B5314" s="2" t="s">
        <v>12773</v>
      </c>
      <c r="C5314" s="2" t="s">
        <v>25</v>
      </c>
      <c r="D5314" s="2" t="s">
        <v>18</v>
      </c>
      <c r="E5314" s="3" t="s">
        <v>2976</v>
      </c>
      <c r="F5314" s="3" t="s">
        <v>2977</v>
      </c>
      <c r="G5314" s="3" t="s">
        <v>62</v>
      </c>
      <c r="H5314" s="2" t="s">
        <v>55</v>
      </c>
      <c r="I5314" s="2" t="s">
        <v>12774</v>
      </c>
      <c r="J5314" s="3" t="str">
        <f>HYPERLINK("https://www.boe.es/gazeta/dias/1809/05/05/pdfs/GGB-1809-24.pdf#page=7","Abrir facsímil")</f>
        <v>Abrir facsímil</v>
      </c>
      <c r="K5314" s="3" t="s">
        <v>57</v>
      </c>
    </row>
    <row r="5315" spans="1:11" ht="42" customHeight="1">
      <c r="A5315" s="2" t="s">
        <v>12775</v>
      </c>
      <c r="B5315" s="2" t="s">
        <v>12776</v>
      </c>
      <c r="C5315" s="2" t="s">
        <v>17</v>
      </c>
      <c r="D5315" s="2" t="s">
        <v>18</v>
      </c>
      <c r="E5315" s="3" t="s">
        <v>33</v>
      </c>
      <c r="F5315" s="3" t="s">
        <v>34</v>
      </c>
      <c r="G5315" s="3" t="s">
        <v>595</v>
      </c>
      <c r="H5315" s="2" t="s">
        <v>55</v>
      </c>
      <c r="I5315" s="2" t="s">
        <v>12777</v>
      </c>
      <c r="J5315" s="3" t="str">
        <f>HYPERLINK("https://www.boe.es/gazeta/dias/1809/12/19/pdfs/GGB-1809-602.pdf#page=7","Abrir facsímil")</f>
        <v>Abrir facsímil</v>
      </c>
      <c r="K5315" s="3" t="s">
        <v>57</v>
      </c>
    </row>
    <row r="5316" spans="1:11" ht="42" customHeight="1">
      <c r="A5316" s="2" t="s">
        <v>12778</v>
      </c>
      <c r="B5316" s="2" t="s">
        <v>12779</v>
      </c>
      <c r="C5316" s="2" t="s">
        <v>17</v>
      </c>
      <c r="D5316" s="2" t="s">
        <v>18</v>
      </c>
      <c r="E5316" s="3" t="s">
        <v>33</v>
      </c>
      <c r="F5316" s="3" t="s">
        <v>34</v>
      </c>
      <c r="G5316" s="3" t="s">
        <v>595</v>
      </c>
      <c r="H5316" s="2" t="s">
        <v>55</v>
      </c>
      <c r="I5316" s="2" t="s">
        <v>12780</v>
      </c>
      <c r="J5316" s="3" t="str">
        <f>HYPERLINK("https://www.boe.es/gazeta/dias/1809/12/19/pdfs/GGB-1809-602.pdf#page=7","Abrir facsímil")</f>
        <v>Abrir facsímil</v>
      </c>
      <c r="K5316" s="3" t="s">
        <v>57</v>
      </c>
    </row>
    <row r="5317" spans="1:11" ht="42" customHeight="1">
      <c r="A5317" s="2" t="s">
        <v>12781</v>
      </c>
      <c r="B5317" s="2" t="s">
        <v>12782</v>
      </c>
      <c r="C5317" s="2" t="s">
        <v>17</v>
      </c>
      <c r="D5317" s="2" t="s">
        <v>18</v>
      </c>
      <c r="E5317" s="3" t="s">
        <v>2599</v>
      </c>
      <c r="F5317" s="3" t="s">
        <v>2600</v>
      </c>
      <c r="G5317" s="3" t="s">
        <v>21</v>
      </c>
      <c r="H5317" s="2" t="s">
        <v>55</v>
      </c>
      <c r="I5317" s="2" t="s">
        <v>12783</v>
      </c>
      <c r="J5317" s="3" t="str">
        <f>HYPERLINK("https://www.boe.es/gazeta/dias/1809/05/11/pdfs/GMD-1809-131.pdf#page=4","Abrir facsímil")</f>
        <v>Abrir facsímil</v>
      </c>
      <c r="K5317" s="3" t="s">
        <v>57</v>
      </c>
    </row>
    <row r="5318" spans="1:11" ht="42" customHeight="1">
      <c r="A5318" s="2" t="s">
        <v>12784</v>
      </c>
      <c r="B5318" s="2" t="s">
        <v>12785</v>
      </c>
      <c r="C5318" s="2" t="s">
        <v>17</v>
      </c>
      <c r="D5318" s="2" t="s">
        <v>107</v>
      </c>
      <c r="E5318" s="3" t="s">
        <v>108</v>
      </c>
      <c r="F5318" s="3" t="s">
        <v>109</v>
      </c>
      <c r="G5318" s="3" t="s">
        <v>110</v>
      </c>
      <c r="H5318" s="2" t="s">
        <v>55</v>
      </c>
      <c r="I5318" s="2" t="s">
        <v>12786</v>
      </c>
      <c r="J5318" s="3" t="str">
        <f>HYPERLINK("https://www.boe.es/gazeta/dias/1809/09/08/pdfs/GMD-1809-252.pdf#page=2","Abrir facsímil")</f>
        <v>Abrir facsímil</v>
      </c>
      <c r="K5318" s="3" t="s">
        <v>57</v>
      </c>
    </row>
    <row r="5319" spans="1:11" ht="42" customHeight="1">
      <c r="A5319" s="2" t="s">
        <v>12787</v>
      </c>
      <c r="B5319" s="2" t="s">
        <v>12788</v>
      </c>
      <c r="C5319" s="2" t="s">
        <v>17</v>
      </c>
      <c r="D5319" s="2" t="s">
        <v>40</v>
      </c>
      <c r="E5319" s="3" t="s">
        <v>1616</v>
      </c>
      <c r="F5319" s="3" t="s">
        <v>1617</v>
      </c>
      <c r="G5319" s="3" t="s">
        <v>225</v>
      </c>
      <c r="H5319" s="2" t="s">
        <v>55</v>
      </c>
      <c r="I5319" s="2" t="s">
        <v>12789</v>
      </c>
      <c r="J5319" s="3" t="str">
        <f>HYPERLINK("https://www.boe.es/gazeta/dias/1809/01/14/pdfs/GGB-1809-3.pdf#page=4","Abrir facsímil")</f>
        <v>Abrir facsímil</v>
      </c>
      <c r="K5319" s="3" t="s">
        <v>57</v>
      </c>
    </row>
    <row r="5320" spans="1:11" ht="42" customHeight="1">
      <c r="A5320" s="2" t="s">
        <v>12790</v>
      </c>
      <c r="B5320" s="2" t="s">
        <v>12791</v>
      </c>
      <c r="C5320" s="2" t="s">
        <v>17</v>
      </c>
      <c r="D5320" s="2" t="s">
        <v>18</v>
      </c>
      <c r="E5320" s="3" t="s">
        <v>33</v>
      </c>
      <c r="F5320" s="3" t="s">
        <v>34</v>
      </c>
      <c r="G5320" s="3" t="s">
        <v>595</v>
      </c>
      <c r="H5320" s="2" t="s">
        <v>55</v>
      </c>
      <c r="I5320" s="2" t="s">
        <v>12792</v>
      </c>
      <c r="J5320" s="3" t="str">
        <f>HYPERLINK("https://www.boe.es/gazeta/dias/1809/12/19/pdfs/GGB-1809-602.pdf#page=7","Abrir facsímil")</f>
        <v>Abrir facsímil</v>
      </c>
      <c r="K5320" s="3" t="s">
        <v>57</v>
      </c>
    </row>
    <row r="5321" spans="1:11" ht="42" customHeight="1">
      <c r="A5321" s="2" t="s">
        <v>12793</v>
      </c>
      <c r="B5321" s="2" t="s">
        <v>12794</v>
      </c>
      <c r="C5321" s="2" t="s">
        <v>47</v>
      </c>
      <c r="D5321" s="2" t="s">
        <v>18</v>
      </c>
      <c r="E5321" s="3" t="s">
        <v>627</v>
      </c>
      <c r="F5321" s="3" t="s">
        <v>628</v>
      </c>
      <c r="G5321" s="3" t="s">
        <v>270</v>
      </c>
      <c r="H5321" s="2" t="s">
        <v>55</v>
      </c>
      <c r="I5321" s="2" t="s">
        <v>12795</v>
      </c>
      <c r="J5321" s="3" t="str">
        <f>HYPERLINK("https://www.boe.es/gazeta/dias/1809/08/28/pdfs/GMD-1809-241.pdf#page=3","Abrir facsímil")</f>
        <v>Abrir facsímil</v>
      </c>
      <c r="K5321" s="3" t="s">
        <v>57</v>
      </c>
    </row>
    <row r="5322" spans="1:11" ht="42" customHeight="1">
      <c r="A5322" s="2" t="s">
        <v>12796</v>
      </c>
      <c r="B5322" s="2" t="s">
        <v>12797</v>
      </c>
      <c r="C5322" s="2" t="s">
        <v>47</v>
      </c>
      <c r="D5322" s="2" t="s">
        <v>40</v>
      </c>
      <c r="E5322" s="3" t="s">
        <v>925</v>
      </c>
      <c r="F5322" s="3" t="s">
        <v>926</v>
      </c>
      <c r="G5322" s="3" t="s">
        <v>270</v>
      </c>
      <c r="H5322" s="2" t="s">
        <v>55</v>
      </c>
      <c r="I5322" s="2" t="s">
        <v>12798</v>
      </c>
      <c r="J5322" s="3" t="str">
        <f>HYPERLINK("https://www.boe.es/gazeta/dias/1809/01/11/pdfs/GGB-1809-2.pdf#page=5","Abrir facsímil")</f>
        <v>Abrir facsímil</v>
      </c>
      <c r="K5322" s="3" t="s">
        <v>57</v>
      </c>
    </row>
    <row r="5323" spans="1:11" ht="42" customHeight="1">
      <c r="A5323" s="2" t="s">
        <v>12799</v>
      </c>
      <c r="B5323" s="2" t="s">
        <v>12800</v>
      </c>
      <c r="C5323" s="2" t="s">
        <v>17</v>
      </c>
      <c r="D5323" s="2" t="s">
        <v>18</v>
      </c>
      <c r="E5323" s="3" t="s">
        <v>833</v>
      </c>
      <c r="F5323" s="3" t="s">
        <v>834</v>
      </c>
      <c r="G5323" s="3" t="s">
        <v>239</v>
      </c>
      <c r="H5323" s="2" t="s">
        <v>55</v>
      </c>
      <c r="I5323" s="2" t="s">
        <v>12801</v>
      </c>
      <c r="J5323" s="3" t="str">
        <f>HYPERLINK("https://www.boe.es/gazeta/dias/1809/01/05/pdfs/GMD-1809-5.pdf#page=3","Abrir facsímil")</f>
        <v>Abrir facsímil</v>
      </c>
      <c r="K5323" s="3" t="s">
        <v>57</v>
      </c>
    </row>
    <row r="5324" spans="1:11" ht="42" customHeight="1">
      <c r="A5324" s="2" t="s">
        <v>12802</v>
      </c>
      <c r="B5324" s="2" t="s">
        <v>12802</v>
      </c>
      <c r="C5324" s="2" t="s">
        <v>25</v>
      </c>
      <c r="D5324" s="2" t="s">
        <v>26</v>
      </c>
      <c r="E5324" s="3" t="s">
        <v>66</v>
      </c>
      <c r="F5324" s="3" t="s">
        <v>67</v>
      </c>
      <c r="G5324" s="3" t="s">
        <v>7338</v>
      </c>
      <c r="H5324" s="2" t="s">
        <v>55</v>
      </c>
      <c r="I5324" s="2" t="s">
        <v>12803</v>
      </c>
      <c r="J5324" s="3" t="str">
        <f>HYPERLINK("https://www.boe.es/gazeta/dias/1809/12/30/pdfs/GGB-1809-652.pdf#page=3","Abrir facsímil")</f>
        <v>Abrir facsímil</v>
      </c>
      <c r="K5324" s="3" t="s">
        <v>57</v>
      </c>
    </row>
    <row r="5325" spans="1:11" ht="42" customHeight="1">
      <c r="A5325" s="2" t="s">
        <v>12804</v>
      </c>
      <c r="B5325" s="2" t="s">
        <v>12804</v>
      </c>
      <c r="C5325" s="2" t="s">
        <v>25</v>
      </c>
      <c r="D5325" s="2" t="s">
        <v>18</v>
      </c>
      <c r="E5325" s="3" t="s">
        <v>2673</v>
      </c>
      <c r="F5325" s="3" t="s">
        <v>2674</v>
      </c>
      <c r="G5325" s="3" t="s">
        <v>234</v>
      </c>
      <c r="H5325" s="2" t="s">
        <v>55</v>
      </c>
      <c r="I5325" s="2" t="s">
        <v>12805</v>
      </c>
      <c r="J5325" s="3" t="str">
        <f>HYPERLINK("https://www.boe.es/gazeta/dias/1809/02/05/pdfs/GMD-1809-36.pdf#page=2","Abrir facsímil")</f>
        <v>Abrir facsímil</v>
      </c>
      <c r="K5325" s="3" t="s">
        <v>57</v>
      </c>
    </row>
    <row r="5326" spans="1:11" ht="42" customHeight="1">
      <c r="A5326" s="2" t="s">
        <v>12804</v>
      </c>
      <c r="B5326" s="2" t="s">
        <v>12804</v>
      </c>
      <c r="C5326" s="2" t="s">
        <v>25</v>
      </c>
      <c r="D5326" s="2" t="s">
        <v>26</v>
      </c>
      <c r="E5326" s="3" t="s">
        <v>60</v>
      </c>
      <c r="F5326" s="3" t="s">
        <v>61</v>
      </c>
      <c r="G5326" s="3" t="s">
        <v>396</v>
      </c>
      <c r="H5326" s="2" t="s">
        <v>55</v>
      </c>
      <c r="I5326" s="2" t="s">
        <v>12806</v>
      </c>
      <c r="J5326" s="3" t="str">
        <f>HYPERLINK("https://www.boe.es/gazeta/dias/1809/02/07/pdfs/GMD-1809-38.pdf#page=1","Abrir facsímil")</f>
        <v>Abrir facsímil</v>
      </c>
      <c r="K5326" s="3" t="s">
        <v>57</v>
      </c>
    </row>
    <row r="5327" spans="1:11" ht="42" customHeight="1">
      <c r="A5327" s="2" t="s">
        <v>12804</v>
      </c>
      <c r="B5327" s="2" t="s">
        <v>12804</v>
      </c>
      <c r="C5327" s="2" t="s">
        <v>25</v>
      </c>
      <c r="D5327" s="2" t="s">
        <v>26</v>
      </c>
      <c r="E5327" s="3" t="s">
        <v>60</v>
      </c>
      <c r="F5327" s="3" t="s">
        <v>61</v>
      </c>
      <c r="G5327" s="3" t="s">
        <v>8030</v>
      </c>
      <c r="H5327" s="2" t="s">
        <v>55</v>
      </c>
      <c r="I5327" s="2" t="s">
        <v>12807</v>
      </c>
      <c r="J5327" s="3" t="str">
        <f>HYPERLINK("https://www.boe.es/gazeta/dias/1809/02/07/pdfs/GMD-1809-38.pdf#page=2","Abrir facsímil")</f>
        <v>Abrir facsímil</v>
      </c>
      <c r="K5327" s="3" t="s">
        <v>57</v>
      </c>
    </row>
    <row r="5328" spans="1:11" ht="42" customHeight="1">
      <c r="A5328" s="2" t="s">
        <v>12808</v>
      </c>
      <c r="B5328" s="2" t="s">
        <v>12809</v>
      </c>
      <c r="C5328" s="2" t="s">
        <v>25</v>
      </c>
      <c r="D5328" s="2" t="s">
        <v>18</v>
      </c>
      <c r="E5328" s="3" t="s">
        <v>1598</v>
      </c>
      <c r="F5328" s="3" t="s">
        <v>1599</v>
      </c>
      <c r="G5328" s="3" t="s">
        <v>62</v>
      </c>
      <c r="H5328" s="2" t="s">
        <v>55</v>
      </c>
      <c r="I5328" s="2" t="s">
        <v>12810</v>
      </c>
      <c r="J5328" s="3" t="str">
        <f>HYPERLINK("https://www.boe.es/gazeta/dias/1809/01/10/pdfs/GMS-1809-65.pdf#page=4","Abrir facsímil")</f>
        <v>Abrir facsímil</v>
      </c>
      <c r="K5328" s="3" t="s">
        <v>57</v>
      </c>
    </row>
    <row r="5329" spans="1:11" ht="42" customHeight="1">
      <c r="A5329" s="2" t="s">
        <v>12811</v>
      </c>
      <c r="B5329" s="2" t="s">
        <v>12812</v>
      </c>
      <c r="C5329" s="2" t="s">
        <v>17</v>
      </c>
      <c r="D5329" s="2" t="s">
        <v>18</v>
      </c>
      <c r="E5329" s="3" t="s">
        <v>73</v>
      </c>
      <c r="F5329" s="3" t="s">
        <v>1045</v>
      </c>
      <c r="G5329" s="3" t="s">
        <v>89</v>
      </c>
      <c r="H5329" s="2" t="s">
        <v>55</v>
      </c>
      <c r="I5329" s="2" t="s">
        <v>12813</v>
      </c>
      <c r="J5329" s="3" t="str">
        <f>HYPERLINK("https://www.boe.es/gazeta/dias/1809/09/21/pdfs/GMD-1809-265.pdf#page=3","Abrir facsímil")</f>
        <v>Abrir facsímil</v>
      </c>
      <c r="K5329" s="3" t="s">
        <v>57</v>
      </c>
    </row>
    <row r="5330" spans="1:11" ht="42" customHeight="1">
      <c r="A5330" s="2" t="s">
        <v>12814</v>
      </c>
      <c r="B5330" s="2" t="s">
        <v>12815</v>
      </c>
      <c r="C5330" s="2" t="s">
        <v>47</v>
      </c>
      <c r="D5330" s="2" t="s">
        <v>18</v>
      </c>
      <c r="E5330" s="3" t="s">
        <v>268</v>
      </c>
      <c r="F5330" s="3" t="s">
        <v>2768</v>
      </c>
      <c r="G5330" s="3" t="s">
        <v>94</v>
      </c>
      <c r="H5330" s="2" t="s">
        <v>55</v>
      </c>
      <c r="I5330" s="2" t="s">
        <v>12816</v>
      </c>
      <c r="J5330" s="3" t="str">
        <f>HYPERLINK("https://www.boe.es/gazeta/dias/1809/06/05/pdfs/GGB-1809-34.pdf#page=5","Abrir facsímil")</f>
        <v>Abrir facsímil</v>
      </c>
      <c r="K5330" s="3" t="s">
        <v>57</v>
      </c>
    </row>
    <row r="5331" spans="1:11" ht="42" customHeight="1">
      <c r="A5331" s="2" t="s">
        <v>12817</v>
      </c>
      <c r="B5331" s="2" t="s">
        <v>12817</v>
      </c>
      <c r="C5331" s="2" t="s">
        <v>47</v>
      </c>
      <c r="D5331" s="2" t="s">
        <v>18</v>
      </c>
      <c r="E5331" s="3" t="s">
        <v>158</v>
      </c>
      <c r="F5331" s="3" t="s">
        <v>159</v>
      </c>
      <c r="G5331" s="3" t="s">
        <v>906</v>
      </c>
      <c r="H5331" s="2" t="s">
        <v>55</v>
      </c>
      <c r="I5331" s="2" t="s">
        <v>12818</v>
      </c>
      <c r="J5331" s="3" t="str">
        <f>HYPERLINK("https://www.boe.es/gazeta/dias/1809/02/10/pdfs/GGB-1809-7.pdf#page=8","Abrir facsímil")</f>
        <v>Abrir facsímil</v>
      </c>
      <c r="K5331" s="3" t="s">
        <v>57</v>
      </c>
    </row>
    <row r="5332" spans="1:11" ht="42" customHeight="1">
      <c r="A5332" s="2" t="s">
        <v>12819</v>
      </c>
      <c r="B5332" s="2" t="s">
        <v>12819</v>
      </c>
      <c r="C5332" s="2" t="s">
        <v>39</v>
      </c>
      <c r="D5332" s="2" t="s">
        <v>107</v>
      </c>
      <c r="E5332" s="3" t="s">
        <v>2244</v>
      </c>
      <c r="F5332" s="3" t="s">
        <v>2245</v>
      </c>
      <c r="G5332" s="3" t="s">
        <v>21</v>
      </c>
      <c r="H5332" s="2" t="s">
        <v>55</v>
      </c>
      <c r="I5332" s="2" t="s">
        <v>12820</v>
      </c>
      <c r="J5332" s="3" t="str">
        <f>HYPERLINK("https://www.boe.es/gazeta/dias/1809/03/27/pdfs/GGB-1809-13B.pdf#page=3","Abrir facsímil")</f>
        <v>Abrir facsímil</v>
      </c>
      <c r="K5332" s="3" t="s">
        <v>57</v>
      </c>
    </row>
    <row r="5333" spans="1:11" ht="42" customHeight="1">
      <c r="A5333" s="2" t="s">
        <v>12821</v>
      </c>
      <c r="B5333" s="2" t="s">
        <v>12821</v>
      </c>
      <c r="C5333" s="2" t="s">
        <v>25</v>
      </c>
      <c r="D5333" s="2" t="s">
        <v>107</v>
      </c>
      <c r="E5333" s="3" t="s">
        <v>2595</v>
      </c>
      <c r="F5333" s="3" t="s">
        <v>6932</v>
      </c>
      <c r="G5333" s="3" t="s">
        <v>1950</v>
      </c>
      <c r="H5333" s="2" t="s">
        <v>55</v>
      </c>
      <c r="I5333" s="2" t="s">
        <v>12822</v>
      </c>
      <c r="J5333" s="3" t="str">
        <f>HYPERLINK("https://www.boe.es/gazeta/dias/1809/06/16/pdfs/GGB-1809-37.pdf#page=4","Abrir facsímil")</f>
        <v>Abrir facsímil</v>
      </c>
      <c r="K5333" s="3" t="s">
        <v>57</v>
      </c>
    </row>
    <row r="5334" spans="1:11" ht="42" customHeight="1">
      <c r="A5334" s="2" t="s">
        <v>12823</v>
      </c>
      <c r="B5334" s="2" t="s">
        <v>12824</v>
      </c>
      <c r="C5334" s="2" t="s">
        <v>25</v>
      </c>
      <c r="D5334" s="2" t="s">
        <v>26</v>
      </c>
      <c r="E5334" s="3" t="s">
        <v>515</v>
      </c>
      <c r="F5334" s="3" t="s">
        <v>516</v>
      </c>
      <c r="G5334" s="3" t="s">
        <v>10266</v>
      </c>
      <c r="H5334" s="2" t="s">
        <v>55</v>
      </c>
      <c r="I5334" s="2" t="s">
        <v>12825</v>
      </c>
      <c r="J5334" s="3" t="str">
        <f>HYPERLINK("https://www.boe.es/gazeta/dias/1809/09/02/pdfs/GMD-1809-246.pdf#page=1","Abrir facsímil")</f>
        <v>Abrir facsímil</v>
      </c>
      <c r="K5334" s="3" t="s">
        <v>57</v>
      </c>
    </row>
    <row r="5335" spans="1:11" ht="42" customHeight="1">
      <c r="A5335" s="2" t="s">
        <v>12826</v>
      </c>
      <c r="B5335" s="2" t="s">
        <v>12826</v>
      </c>
      <c r="C5335" s="2" t="s">
        <v>25</v>
      </c>
      <c r="D5335" s="2" t="s">
        <v>18</v>
      </c>
      <c r="E5335" s="3" t="s">
        <v>258</v>
      </c>
      <c r="F5335" s="3" t="s">
        <v>910</v>
      </c>
      <c r="G5335" s="3" t="s">
        <v>3808</v>
      </c>
      <c r="H5335" s="2" t="s">
        <v>55</v>
      </c>
      <c r="I5335" s="2" t="s">
        <v>12827</v>
      </c>
      <c r="J5335" s="3" t="str">
        <f>HYPERLINK("https://www.boe.es/gazeta/dias/1809/03/17/pdfs/GGB-1809-12.pdf#page=7","Abrir facsímil")</f>
        <v>Abrir facsímil</v>
      </c>
      <c r="K5335" s="3" t="s">
        <v>57</v>
      </c>
    </row>
    <row r="5336" spans="1:11" ht="42" customHeight="1">
      <c r="A5336" s="2" t="s">
        <v>12828</v>
      </c>
      <c r="B5336" s="2" t="s">
        <v>12829</v>
      </c>
      <c r="C5336" s="2" t="s">
        <v>25</v>
      </c>
      <c r="D5336" s="2" t="s">
        <v>18</v>
      </c>
      <c r="E5336" s="3" t="s">
        <v>1898</v>
      </c>
      <c r="F5336" s="3" t="s">
        <v>1899</v>
      </c>
      <c r="G5336" s="3" t="s">
        <v>21</v>
      </c>
      <c r="H5336" s="2" t="s">
        <v>22</v>
      </c>
      <c r="I5336" s="2" t="s">
        <v>12830</v>
      </c>
      <c r="J5336" s="3" t="str">
        <f>HYPERLINK("https://www.boe.es/gazeta/dias/1809/12/02/pdfs/GGB-1809-532.pdf#page=1","Abrir facsímil")</f>
        <v>Abrir facsímil</v>
      </c>
      <c r="K5336" s="3" t="s">
        <v>24</v>
      </c>
    </row>
    <row r="5337" spans="1:11" ht="42" customHeight="1">
      <c r="A5337" s="2" t="s">
        <v>12831</v>
      </c>
      <c r="B5337" s="2" t="s">
        <v>12832</v>
      </c>
      <c r="C5337" s="2" t="s">
        <v>47</v>
      </c>
      <c r="D5337" s="2" t="s">
        <v>18</v>
      </c>
      <c r="E5337" s="3" t="s">
        <v>720</v>
      </c>
      <c r="F5337" s="3" t="s">
        <v>2177</v>
      </c>
      <c r="G5337" s="3" t="s">
        <v>270</v>
      </c>
      <c r="H5337" s="2" t="s">
        <v>55</v>
      </c>
      <c r="I5337" s="2" t="s">
        <v>12833</v>
      </c>
      <c r="J5337" s="3" t="str">
        <f>HYPERLINK("https://www.boe.es/gazeta/dias/1809/01/27/pdfs/GGB-1809-5.pdf#page=7","Abrir facsímil")</f>
        <v>Abrir facsímil</v>
      </c>
      <c r="K5337" s="3" t="s">
        <v>57</v>
      </c>
    </row>
    <row r="5338" spans="1:11" ht="42" customHeight="1">
      <c r="A5338" s="2" t="s">
        <v>12834</v>
      </c>
      <c r="B5338" s="2" t="s">
        <v>12834</v>
      </c>
      <c r="C5338" s="2" t="s">
        <v>79</v>
      </c>
      <c r="D5338" s="2" t="s">
        <v>26</v>
      </c>
      <c r="E5338" s="3" t="s">
        <v>387</v>
      </c>
      <c r="F5338" s="3" t="s">
        <v>1847</v>
      </c>
      <c r="G5338" s="3" t="s">
        <v>379</v>
      </c>
      <c r="H5338" s="2" t="s">
        <v>55</v>
      </c>
      <c r="I5338" s="2" t="s">
        <v>12835</v>
      </c>
      <c r="J5338" s="3" t="str">
        <f>HYPERLINK("https://www.boe.es/gazeta/dias/1809/09/26/pdfs/GGB-1809-242.pdf#page=1","Abrir facsímil")</f>
        <v>Abrir facsímil</v>
      </c>
      <c r="K5338" s="3" t="s">
        <v>57</v>
      </c>
    </row>
    <row r="5339" spans="1:11" ht="42" customHeight="1">
      <c r="A5339" s="2" t="s">
        <v>12836</v>
      </c>
      <c r="B5339" s="2" t="s">
        <v>12836</v>
      </c>
      <c r="C5339" s="2" t="s">
        <v>25</v>
      </c>
      <c r="D5339" s="2" t="s">
        <v>26</v>
      </c>
      <c r="E5339" s="3" t="s">
        <v>294</v>
      </c>
      <c r="F5339" s="3" t="s">
        <v>295</v>
      </c>
      <c r="G5339" s="3" t="s">
        <v>12837</v>
      </c>
      <c r="H5339" s="2" t="s">
        <v>55</v>
      </c>
      <c r="I5339" s="2" t="s">
        <v>12838</v>
      </c>
      <c r="J5339" s="3" t="str">
        <f>HYPERLINK("https://www.boe.es/gazeta/dias/1809/09/30/pdfs/GGB-H-1809-262.pdf#page=2","Abrir facsímil")</f>
        <v>Abrir facsímil</v>
      </c>
      <c r="K5339" s="3" t="s">
        <v>57</v>
      </c>
    </row>
    <row r="5340" spans="1:11" ht="42" customHeight="1">
      <c r="A5340" s="2" t="s">
        <v>12839</v>
      </c>
      <c r="B5340" s="2" t="s">
        <v>12840</v>
      </c>
      <c r="C5340" s="2" t="s">
        <v>25</v>
      </c>
      <c r="D5340" s="2" t="s">
        <v>26</v>
      </c>
      <c r="E5340" s="3" t="s">
        <v>838</v>
      </c>
      <c r="F5340" s="3" t="s">
        <v>839</v>
      </c>
      <c r="G5340" s="3" t="s">
        <v>75</v>
      </c>
      <c r="H5340" s="2" t="s">
        <v>55</v>
      </c>
      <c r="I5340" s="2" t="s">
        <v>12841</v>
      </c>
      <c r="J5340" s="3" t="str">
        <f>HYPERLINK("https://www.boe.es/gazeta/dias/1809/08/03/pdfs/GGB-1809-12.pdf#page=6","Abrir facsímil")</f>
        <v>Abrir facsímil</v>
      </c>
      <c r="K5340" s="3" t="s">
        <v>57</v>
      </c>
    </row>
    <row r="5341" spans="1:11" ht="42" customHeight="1">
      <c r="A5341" s="2" t="s">
        <v>12842</v>
      </c>
      <c r="B5341" s="2" t="s">
        <v>12843</v>
      </c>
      <c r="C5341" s="2" t="s">
        <v>25</v>
      </c>
      <c r="D5341" s="2" t="s">
        <v>72</v>
      </c>
      <c r="E5341" s="3" t="s">
        <v>904</v>
      </c>
      <c r="F5341" s="3" t="s">
        <v>2324</v>
      </c>
      <c r="G5341" s="3" t="s">
        <v>270</v>
      </c>
      <c r="H5341" s="2" t="s">
        <v>55</v>
      </c>
      <c r="I5341" s="2" t="s">
        <v>12844</v>
      </c>
      <c r="J5341" s="3" t="str">
        <f>HYPERLINK("https://www.boe.es/gazeta/dias/1809/07/07/pdfs/GGB-G-1809-43.pdf#page=1","Abrir facsímil")</f>
        <v>Abrir facsímil</v>
      </c>
      <c r="K5341" s="3" t="s">
        <v>57</v>
      </c>
    </row>
    <row r="5342" spans="1:11" ht="42" customHeight="1">
      <c r="A5342" s="2" t="s">
        <v>12845</v>
      </c>
      <c r="B5342" s="2" t="s">
        <v>12845</v>
      </c>
      <c r="C5342" s="2" t="s">
        <v>25</v>
      </c>
      <c r="D5342" s="2" t="s">
        <v>18</v>
      </c>
      <c r="E5342" s="3" t="s">
        <v>147</v>
      </c>
      <c r="F5342" s="3" t="s">
        <v>148</v>
      </c>
      <c r="G5342" s="3" t="s">
        <v>110</v>
      </c>
      <c r="H5342" s="2" t="s">
        <v>55</v>
      </c>
      <c r="I5342" s="2" t="s">
        <v>12846</v>
      </c>
      <c r="J5342" s="3" t="str">
        <f>HYPERLINK("https://www.boe.es/gazeta/dias/1809/10/07/pdfs/GGB-1809-292.pdf#page=3","Abrir facsímil")</f>
        <v>Abrir facsímil</v>
      </c>
      <c r="K5342" s="3" t="s">
        <v>57</v>
      </c>
    </row>
    <row r="5343" spans="1:11" ht="42" customHeight="1">
      <c r="A5343" s="2" t="s">
        <v>12845</v>
      </c>
      <c r="B5343" s="2" t="s">
        <v>12845</v>
      </c>
      <c r="C5343" s="2" t="s">
        <v>25</v>
      </c>
      <c r="D5343" s="2" t="s">
        <v>107</v>
      </c>
      <c r="E5343" s="3" t="s">
        <v>1132</v>
      </c>
      <c r="F5343" s="3" t="s">
        <v>1133</v>
      </c>
      <c r="G5343" s="3" t="s">
        <v>8398</v>
      </c>
      <c r="H5343" s="2" t="s">
        <v>55</v>
      </c>
      <c r="I5343" s="2" t="s">
        <v>12847</v>
      </c>
      <c r="J5343" s="3" t="str">
        <f>HYPERLINK("https://www.boe.es/gazeta/dias/1809/11/11/pdfs/GGB-1809-442.pdf#page=4","Abrir facsímil")</f>
        <v>Abrir facsímil</v>
      </c>
      <c r="K5343" s="3" t="s">
        <v>57</v>
      </c>
    </row>
    <row r="5344" spans="1:11" ht="42" customHeight="1">
      <c r="A5344" s="2" t="s">
        <v>12845</v>
      </c>
      <c r="B5344" s="2" t="s">
        <v>12845</v>
      </c>
      <c r="C5344" s="2" t="s">
        <v>25</v>
      </c>
      <c r="D5344" s="2" t="s">
        <v>26</v>
      </c>
      <c r="E5344" s="3" t="s">
        <v>216</v>
      </c>
      <c r="F5344" s="3" t="s">
        <v>2440</v>
      </c>
      <c r="G5344" s="3" t="s">
        <v>62</v>
      </c>
      <c r="H5344" s="2" t="s">
        <v>55</v>
      </c>
      <c r="I5344" s="2" t="s">
        <v>12848</v>
      </c>
      <c r="J5344" s="3" t="str">
        <f>HYPERLINK("https://www.boe.es/gazeta/dias/1809/12/05/pdfs/GGB-1809-542.pdf#page=2","Abrir facsímil")</f>
        <v>Abrir facsímil</v>
      </c>
      <c r="K5344" s="3" t="s">
        <v>57</v>
      </c>
    </row>
    <row r="5345" spans="1:11" ht="42" customHeight="1">
      <c r="A5345" s="2" t="s">
        <v>12849</v>
      </c>
      <c r="B5345" s="2" t="s">
        <v>12849</v>
      </c>
      <c r="C5345" s="2" t="s">
        <v>369</v>
      </c>
      <c r="D5345" s="2" t="s">
        <v>18</v>
      </c>
      <c r="E5345" s="3" t="s">
        <v>758</v>
      </c>
      <c r="F5345" s="3" t="s">
        <v>759</v>
      </c>
      <c r="G5345" s="3" t="s">
        <v>62</v>
      </c>
      <c r="H5345" s="2" t="s">
        <v>55</v>
      </c>
      <c r="I5345" s="2" t="s">
        <v>12850</v>
      </c>
      <c r="J5345" s="3" t="str">
        <f>HYPERLINK("https://www.boe.es/gazeta/dias/1809/06/01/pdfs/GMD-1809-152.pdf#page=2","Abrir facsímil")</f>
        <v>Abrir facsímil</v>
      </c>
      <c r="K5345" s="3" t="s">
        <v>57</v>
      </c>
    </row>
    <row r="5346" spans="1:11" ht="42" customHeight="1">
      <c r="A5346" s="2" t="s">
        <v>12849</v>
      </c>
      <c r="B5346" s="2" t="s">
        <v>12849</v>
      </c>
      <c r="C5346" s="2" t="s">
        <v>25</v>
      </c>
      <c r="D5346" s="2" t="s">
        <v>26</v>
      </c>
      <c r="E5346" s="3" t="s">
        <v>761</v>
      </c>
      <c r="F5346" s="3" t="s">
        <v>762</v>
      </c>
      <c r="G5346" s="3" t="s">
        <v>3771</v>
      </c>
      <c r="H5346" s="2" t="s">
        <v>55</v>
      </c>
      <c r="I5346" s="2" t="s">
        <v>12851</v>
      </c>
      <c r="J5346" s="3" t="str">
        <f>HYPERLINK("https://www.boe.es/gazeta/dias/1809/06/02/pdfs/GMD-1809-153.pdf#page=2","Abrir facsímil")</f>
        <v>Abrir facsímil</v>
      </c>
      <c r="K5346" s="3" t="s">
        <v>57</v>
      </c>
    </row>
    <row r="5347" spans="1:11" ht="42" customHeight="1">
      <c r="A5347" s="2" t="s">
        <v>12852</v>
      </c>
      <c r="B5347" s="2" t="s">
        <v>12852</v>
      </c>
      <c r="C5347" s="2" t="s">
        <v>25</v>
      </c>
      <c r="D5347" s="2" t="s">
        <v>18</v>
      </c>
      <c r="E5347" s="3" t="s">
        <v>2341</v>
      </c>
      <c r="F5347" s="3" t="s">
        <v>2342</v>
      </c>
      <c r="G5347" s="3" t="s">
        <v>2343</v>
      </c>
      <c r="H5347" s="2" t="s">
        <v>55</v>
      </c>
      <c r="I5347" s="2" t="s">
        <v>12853</v>
      </c>
      <c r="J5347" s="3" t="str">
        <f>HYPERLINK("https://www.boe.es/gazeta/dias/1809/03/09/pdfs/GMD-1809-68.pdf#page=1","Abrir facsímil")</f>
        <v>Abrir facsímil</v>
      </c>
      <c r="K5347" s="3" t="s">
        <v>57</v>
      </c>
    </row>
    <row r="5348" spans="1:11" ht="42" customHeight="1">
      <c r="A5348" s="2" t="s">
        <v>12854</v>
      </c>
      <c r="B5348" s="2" t="s">
        <v>12854</v>
      </c>
      <c r="C5348" s="2" t="s">
        <v>25</v>
      </c>
      <c r="D5348" s="2" t="s">
        <v>26</v>
      </c>
      <c r="E5348" s="3" t="s">
        <v>1652</v>
      </c>
      <c r="F5348" s="3" t="s">
        <v>1653</v>
      </c>
      <c r="G5348" s="3" t="s">
        <v>12855</v>
      </c>
      <c r="H5348" s="2" t="s">
        <v>55</v>
      </c>
      <c r="I5348" s="2" t="s">
        <v>12856</v>
      </c>
      <c r="J5348" s="3" t="str">
        <f>HYPERLINK("https://www.boe.es/gazeta/dias/1809/07/25/pdfs/GGB-1809-48.pdf#page=1","Abrir facsímil")</f>
        <v>Abrir facsímil</v>
      </c>
      <c r="K5348" s="3" t="s">
        <v>57</v>
      </c>
    </row>
    <row r="5349" spans="1:11" ht="42" customHeight="1">
      <c r="A5349" s="2" t="s">
        <v>12857</v>
      </c>
      <c r="B5349" s="2" t="s">
        <v>12857</v>
      </c>
      <c r="C5349" s="2" t="s">
        <v>25</v>
      </c>
      <c r="D5349" s="2" t="s">
        <v>26</v>
      </c>
      <c r="E5349" s="3" t="s">
        <v>332</v>
      </c>
      <c r="F5349" s="3" t="s">
        <v>333</v>
      </c>
      <c r="G5349" s="3" t="s">
        <v>29</v>
      </c>
      <c r="H5349" s="2" t="s">
        <v>55</v>
      </c>
      <c r="I5349" s="2" t="s">
        <v>12858</v>
      </c>
      <c r="J5349" s="3" t="str">
        <f>HYPERLINK("https://www.boe.es/gazeta/dias/1809/02/23/pdfs/GMD-1809-54.pdf#page=3","Abrir facsímil")</f>
        <v>Abrir facsímil</v>
      </c>
      <c r="K5349" s="3" t="s">
        <v>57</v>
      </c>
    </row>
    <row r="5350" spans="1:11" ht="42" customHeight="1">
      <c r="A5350" s="2" t="s">
        <v>12859</v>
      </c>
      <c r="B5350" s="2" t="s">
        <v>12859</v>
      </c>
      <c r="C5350" s="2" t="s">
        <v>25</v>
      </c>
      <c r="D5350" s="2" t="s">
        <v>107</v>
      </c>
      <c r="E5350" s="3" t="s">
        <v>3521</v>
      </c>
      <c r="F5350" s="3" t="s">
        <v>3522</v>
      </c>
      <c r="G5350" s="3" t="s">
        <v>120</v>
      </c>
      <c r="H5350" s="2" t="s">
        <v>55</v>
      </c>
      <c r="I5350" s="2" t="s">
        <v>12860</v>
      </c>
      <c r="J5350" s="3" t="str">
        <f>HYPERLINK("https://www.boe.es/gazeta/dias/1809/02/24/pdfs/GGB-1809-9.pdf#page=2","Abrir facsímil")</f>
        <v>Abrir facsímil</v>
      </c>
      <c r="K5350" s="3" t="s">
        <v>57</v>
      </c>
    </row>
    <row r="5351" spans="1:11" ht="42" customHeight="1">
      <c r="A5351" s="2" t="s">
        <v>12861</v>
      </c>
      <c r="B5351" s="2" t="s">
        <v>12861</v>
      </c>
      <c r="C5351" s="2" t="s">
        <v>25</v>
      </c>
      <c r="D5351" s="2" t="s">
        <v>18</v>
      </c>
      <c r="E5351" s="3" t="s">
        <v>1300</v>
      </c>
      <c r="F5351" s="3" t="s">
        <v>1301</v>
      </c>
      <c r="G5351" s="3" t="s">
        <v>1152</v>
      </c>
      <c r="H5351" s="2" t="s">
        <v>55</v>
      </c>
      <c r="I5351" s="2" t="s">
        <v>12862</v>
      </c>
      <c r="J5351" s="3" t="str">
        <f>HYPERLINK("https://www.boe.es/gazeta/dias/1809/12/27/pdfs/GMD-1809-362.pdf#page=3","Abrir facsímil")</f>
        <v>Abrir facsímil</v>
      </c>
      <c r="K5351" s="3" t="s">
        <v>57</v>
      </c>
    </row>
    <row r="5352" spans="1:11" ht="42" customHeight="1">
      <c r="A5352" s="2" t="s">
        <v>12863</v>
      </c>
      <c r="B5352" s="2" t="s">
        <v>12863</v>
      </c>
      <c r="C5352" s="2" t="s">
        <v>25</v>
      </c>
      <c r="D5352" s="2" t="s">
        <v>26</v>
      </c>
      <c r="E5352" s="3" t="s">
        <v>758</v>
      </c>
      <c r="F5352" s="3" t="s">
        <v>759</v>
      </c>
      <c r="G5352" s="3" t="s">
        <v>62</v>
      </c>
      <c r="H5352" s="2" t="s">
        <v>55</v>
      </c>
      <c r="I5352" s="2" t="s">
        <v>12864</v>
      </c>
      <c r="J5352" s="3" t="str">
        <f>HYPERLINK("https://www.boe.es/gazeta/dias/1809/06/01/pdfs/GMD-1809-152.pdf#page=2","Abrir facsímil")</f>
        <v>Abrir facsímil</v>
      </c>
      <c r="K5352" s="3" t="s">
        <v>57</v>
      </c>
    </row>
    <row r="5353" spans="1:11" ht="42" customHeight="1">
      <c r="A5353" s="2" t="s">
        <v>12865</v>
      </c>
      <c r="B5353" s="2" t="s">
        <v>12865</v>
      </c>
      <c r="C5353" s="2" t="s">
        <v>25</v>
      </c>
      <c r="D5353" s="2" t="s">
        <v>26</v>
      </c>
      <c r="E5353" s="3" t="s">
        <v>2395</v>
      </c>
      <c r="F5353" s="3" t="s">
        <v>3941</v>
      </c>
      <c r="G5353" s="3" t="s">
        <v>120</v>
      </c>
      <c r="H5353" s="2" t="s">
        <v>55</v>
      </c>
      <c r="I5353" s="2" t="s">
        <v>12866</v>
      </c>
      <c r="J5353" s="3" t="str">
        <f>HYPERLINK("https://www.boe.es/gazeta/dias/1809/07/14/pdfs/GGB-1809-45.pdf#page=5","Abrir facsímil")</f>
        <v>Abrir facsímil</v>
      </c>
      <c r="K5353" s="3" t="s">
        <v>57</v>
      </c>
    </row>
    <row r="5354" spans="1:11" ht="42" customHeight="1">
      <c r="A5354" s="2" t="s">
        <v>12867</v>
      </c>
      <c r="B5354" s="2" t="s">
        <v>12868</v>
      </c>
      <c r="C5354" s="2" t="s">
        <v>25</v>
      </c>
      <c r="D5354" s="2" t="s">
        <v>26</v>
      </c>
      <c r="E5354" s="3" t="s">
        <v>201</v>
      </c>
      <c r="F5354" s="3" t="s">
        <v>9368</v>
      </c>
      <c r="G5354" s="3" t="s">
        <v>62</v>
      </c>
      <c r="H5354" s="2" t="s">
        <v>55</v>
      </c>
      <c r="I5354" s="2" t="s">
        <v>12869</v>
      </c>
      <c r="J5354" s="3" t="str">
        <f>HYPERLINK("https://www.boe.es/gazeta/dias/1809/08/15/pdfs/GMD-1809-228.pdf#page=2","Abrir facsímil")</f>
        <v>Abrir facsímil</v>
      </c>
      <c r="K5354" s="3" t="s">
        <v>57</v>
      </c>
    </row>
    <row r="5355" spans="1:11" ht="42" customHeight="1">
      <c r="A5355" s="2" t="s">
        <v>12870</v>
      </c>
      <c r="B5355" s="2" t="s">
        <v>12871</v>
      </c>
      <c r="C5355" s="2" t="s">
        <v>25</v>
      </c>
      <c r="D5355" s="2" t="s">
        <v>18</v>
      </c>
      <c r="E5355" s="3" t="s">
        <v>2002</v>
      </c>
      <c r="F5355" s="3" t="s">
        <v>2003</v>
      </c>
      <c r="G5355" s="3" t="s">
        <v>62</v>
      </c>
      <c r="H5355" s="2" t="s">
        <v>55</v>
      </c>
      <c r="I5355" s="2" t="s">
        <v>12872</v>
      </c>
      <c r="J5355" s="3" t="str">
        <f>HYPERLINK("https://www.boe.es/gazeta/dias/1809/08/07/pdfs/GMD-1809-220.pdf#page=1","Abrir facsímil")</f>
        <v>Abrir facsímil</v>
      </c>
      <c r="K5355" s="3" t="s">
        <v>57</v>
      </c>
    </row>
    <row r="5356" spans="1:11" ht="42" customHeight="1">
      <c r="A5356" s="2" t="s">
        <v>12873</v>
      </c>
      <c r="B5356" s="2" t="s">
        <v>12873</v>
      </c>
      <c r="C5356" s="2" t="s">
        <v>25</v>
      </c>
      <c r="D5356" s="2" t="s">
        <v>18</v>
      </c>
      <c r="E5356" s="3" t="s">
        <v>809</v>
      </c>
      <c r="F5356" s="3" t="s">
        <v>810</v>
      </c>
      <c r="G5356" s="3" t="s">
        <v>110</v>
      </c>
      <c r="H5356" s="2" t="s">
        <v>55</v>
      </c>
      <c r="I5356" s="2" t="s">
        <v>12874</v>
      </c>
      <c r="J5356" s="3" t="str">
        <f>HYPERLINK("https://www.boe.es/gazeta/dias/1809/08/19/pdfs/GMD-1809-232.pdf#page=2","Abrir facsímil")</f>
        <v>Abrir facsímil</v>
      </c>
      <c r="K5356" s="3" t="s">
        <v>57</v>
      </c>
    </row>
    <row r="5357" spans="1:11" ht="42" customHeight="1">
      <c r="A5357" s="2" t="s">
        <v>12875</v>
      </c>
      <c r="B5357" s="2" t="s">
        <v>12875</v>
      </c>
      <c r="C5357" s="2" t="s">
        <v>25</v>
      </c>
      <c r="D5357" s="2" t="s">
        <v>18</v>
      </c>
      <c r="E5357" s="3" t="s">
        <v>6618</v>
      </c>
      <c r="F5357" s="3" t="s">
        <v>6619</v>
      </c>
      <c r="G5357" s="3" t="s">
        <v>687</v>
      </c>
      <c r="H5357" s="2" t="s">
        <v>55</v>
      </c>
      <c r="I5357" s="2" t="s">
        <v>12876</v>
      </c>
      <c r="J5357" s="3" t="str">
        <f>HYPERLINK("https://www.boe.es/gazeta/dias/1809/09/18/pdfs/GMD-1809-262.pdf#page=3","Abrir facsímil")</f>
        <v>Abrir facsímil</v>
      </c>
      <c r="K5357" s="3" t="s">
        <v>57</v>
      </c>
    </row>
    <row r="5358" spans="1:11" ht="42" customHeight="1">
      <c r="A5358" s="2" t="s">
        <v>12877</v>
      </c>
      <c r="B5358" s="2" t="s">
        <v>12877</v>
      </c>
      <c r="C5358" s="2" t="s">
        <v>25</v>
      </c>
      <c r="D5358" s="2" t="s">
        <v>26</v>
      </c>
      <c r="E5358" s="3" t="s">
        <v>190</v>
      </c>
      <c r="F5358" s="3" t="s">
        <v>3283</v>
      </c>
      <c r="G5358" s="3" t="s">
        <v>1935</v>
      </c>
      <c r="H5358" s="2" t="s">
        <v>55</v>
      </c>
      <c r="I5358" s="2" t="s">
        <v>12878</v>
      </c>
      <c r="J5358" s="3" t="str">
        <f>HYPERLINK("https://www.boe.es/gazeta/dias/1809/10/14/pdfs/GMD-1809-288.pdf#page=4","Abrir facsímil")</f>
        <v>Abrir facsímil</v>
      </c>
      <c r="K5358" s="3" t="s">
        <v>57</v>
      </c>
    </row>
    <row r="5359" spans="1:11" ht="42" customHeight="1">
      <c r="A5359" s="2" t="s">
        <v>12879</v>
      </c>
      <c r="B5359" s="2" t="s">
        <v>12879</v>
      </c>
      <c r="C5359" s="2" t="s">
        <v>25</v>
      </c>
      <c r="D5359" s="2" t="s">
        <v>18</v>
      </c>
      <c r="E5359" s="3" t="s">
        <v>3265</v>
      </c>
      <c r="F5359" s="3" t="s">
        <v>3266</v>
      </c>
      <c r="G5359" s="3" t="s">
        <v>29</v>
      </c>
      <c r="H5359" s="2" t="s">
        <v>55</v>
      </c>
      <c r="I5359" s="2" t="s">
        <v>12880</v>
      </c>
      <c r="J5359" s="3" t="str">
        <f>HYPERLINK("https://www.boe.es/gazeta/dias/1809/07/31/pdfs/GMD-1809-213.pdf#page=3","Abrir facsímil")</f>
        <v>Abrir facsímil</v>
      </c>
      <c r="K5359" s="3" t="s">
        <v>57</v>
      </c>
    </row>
    <row r="5360" spans="1:11" ht="42" customHeight="1">
      <c r="A5360" s="2" t="s">
        <v>12881</v>
      </c>
      <c r="B5360" s="2" t="s">
        <v>12881</v>
      </c>
      <c r="C5360" s="2" t="s">
        <v>25</v>
      </c>
      <c r="D5360" s="2" t="s">
        <v>26</v>
      </c>
      <c r="E5360" s="3" t="s">
        <v>3279</v>
      </c>
      <c r="F5360" s="3" t="s">
        <v>3280</v>
      </c>
      <c r="G5360" s="3" t="s">
        <v>225</v>
      </c>
      <c r="H5360" s="2" t="s">
        <v>55</v>
      </c>
      <c r="I5360" s="2" t="s">
        <v>12882</v>
      </c>
      <c r="J5360" s="3" t="str">
        <f>HYPERLINK("https://www.boe.es/gazeta/dias/1809/09/27/pdfs/GMD-1809-271.pdf#page=4","Abrir facsímil")</f>
        <v>Abrir facsímil</v>
      </c>
      <c r="K5360" s="3" t="s">
        <v>57</v>
      </c>
    </row>
    <row r="5361" spans="1:11" ht="42" customHeight="1">
      <c r="A5361" s="2" t="s">
        <v>12883</v>
      </c>
      <c r="B5361" s="2" t="s">
        <v>12883</v>
      </c>
      <c r="C5361" s="2" t="s">
        <v>25</v>
      </c>
      <c r="D5361" s="2" t="s">
        <v>18</v>
      </c>
      <c r="E5361" s="3" t="s">
        <v>92</v>
      </c>
      <c r="F5361" s="3" t="s">
        <v>1383</v>
      </c>
      <c r="G5361" s="3" t="s">
        <v>120</v>
      </c>
      <c r="H5361" s="2" t="s">
        <v>55</v>
      </c>
      <c r="I5361" s="2" t="s">
        <v>12884</v>
      </c>
      <c r="J5361" s="3" t="str">
        <f>HYPERLINK("https://www.boe.es/gazeta/dias/1809/05/22/pdfs/GGB-1809-30.pdf#page=6","Abrir facsímil")</f>
        <v>Abrir facsímil</v>
      </c>
      <c r="K5361" s="3" t="s">
        <v>57</v>
      </c>
    </row>
    <row r="5362" spans="1:11" ht="42" customHeight="1">
      <c r="A5362" s="2" t="s">
        <v>12883</v>
      </c>
      <c r="B5362" s="2" t="s">
        <v>12883</v>
      </c>
      <c r="C5362" s="2" t="s">
        <v>25</v>
      </c>
      <c r="D5362" s="2" t="s">
        <v>18</v>
      </c>
      <c r="E5362" s="3" t="s">
        <v>92</v>
      </c>
      <c r="F5362" s="3" t="s">
        <v>1383</v>
      </c>
      <c r="G5362" s="3" t="s">
        <v>154</v>
      </c>
      <c r="H5362" s="2" t="s">
        <v>55</v>
      </c>
      <c r="I5362" s="2" t="s">
        <v>12885</v>
      </c>
      <c r="J5362" s="3" t="str">
        <f>HYPERLINK("https://www.boe.es/gazeta/dias/1809/05/22/pdfs/GGB-1809-30.pdf#page=7","Abrir facsímil")</f>
        <v>Abrir facsímil</v>
      </c>
      <c r="K5362" s="3" t="s">
        <v>57</v>
      </c>
    </row>
    <row r="5363" spans="1:11" ht="42" customHeight="1">
      <c r="A5363" s="2" t="s">
        <v>12883</v>
      </c>
      <c r="B5363" s="2" t="s">
        <v>12883</v>
      </c>
      <c r="C5363" s="2" t="s">
        <v>25</v>
      </c>
      <c r="D5363" s="2" t="s">
        <v>18</v>
      </c>
      <c r="E5363" s="3" t="s">
        <v>1678</v>
      </c>
      <c r="F5363" s="3" t="s">
        <v>1679</v>
      </c>
      <c r="G5363" s="3" t="s">
        <v>1680</v>
      </c>
      <c r="H5363" s="2" t="s">
        <v>55</v>
      </c>
      <c r="I5363" s="2" t="s">
        <v>12886</v>
      </c>
      <c r="J5363" s="3" t="str">
        <f>HYPERLINK("https://www.boe.es/gazeta/dias/1809/05/29/pdfs/GGB-1809-32.pdf#page=6","Abrir facsímil")</f>
        <v>Abrir facsímil</v>
      </c>
      <c r="K5363" s="3" t="s">
        <v>57</v>
      </c>
    </row>
    <row r="5364" spans="1:11" ht="42" customHeight="1">
      <c r="A5364" s="2" t="s">
        <v>12883</v>
      </c>
      <c r="B5364" s="2" t="s">
        <v>12883</v>
      </c>
      <c r="C5364" s="2" t="s">
        <v>25</v>
      </c>
      <c r="D5364" s="2" t="s">
        <v>72</v>
      </c>
      <c r="E5364" s="3" t="s">
        <v>118</v>
      </c>
      <c r="F5364" s="3" t="s">
        <v>819</v>
      </c>
      <c r="G5364" s="3" t="s">
        <v>726</v>
      </c>
      <c r="H5364" s="2" t="s">
        <v>55</v>
      </c>
      <c r="I5364" s="2" t="s">
        <v>12887</v>
      </c>
      <c r="J5364" s="3" t="str">
        <f>HYPERLINK("https://www.boe.es/gazeta/dias/1809/09/07/pdfs/GGB-H-1809-162.pdf#page=3","Abrir facsímil")</f>
        <v>Abrir facsímil</v>
      </c>
      <c r="K5364" s="3" t="s">
        <v>57</v>
      </c>
    </row>
    <row r="5365" spans="1:11" ht="42" customHeight="1">
      <c r="A5365" s="2" t="s">
        <v>12883</v>
      </c>
      <c r="B5365" s="2" t="s">
        <v>12883</v>
      </c>
      <c r="C5365" s="2" t="s">
        <v>25</v>
      </c>
      <c r="D5365" s="2" t="s">
        <v>72</v>
      </c>
      <c r="E5365" s="3" t="s">
        <v>118</v>
      </c>
      <c r="F5365" s="3" t="s">
        <v>819</v>
      </c>
      <c r="G5365" s="3" t="s">
        <v>820</v>
      </c>
      <c r="H5365" s="2" t="s">
        <v>55</v>
      </c>
      <c r="I5365" s="2" t="s">
        <v>12888</v>
      </c>
      <c r="J5365" s="3" t="str">
        <f>HYPERLINK("https://www.boe.es/gazeta/dias/1809/09/07/pdfs/GGB-H-1809-162.pdf#page=5","Abrir facsímil")</f>
        <v>Abrir facsímil</v>
      </c>
      <c r="K5365" s="3" t="s">
        <v>57</v>
      </c>
    </row>
    <row r="5366" spans="1:11" ht="42" customHeight="1">
      <c r="A5366" s="2" t="s">
        <v>12883</v>
      </c>
      <c r="B5366" s="2" t="s">
        <v>12883</v>
      </c>
      <c r="C5366" s="2" t="s">
        <v>25</v>
      </c>
      <c r="D5366" s="2" t="s">
        <v>72</v>
      </c>
      <c r="E5366" s="3" t="s">
        <v>118</v>
      </c>
      <c r="F5366" s="3" t="s">
        <v>819</v>
      </c>
      <c r="G5366" s="3" t="s">
        <v>541</v>
      </c>
      <c r="H5366" s="2" t="s">
        <v>55</v>
      </c>
      <c r="I5366" s="2" t="s">
        <v>12889</v>
      </c>
      <c r="J5366" s="3" t="str">
        <f>HYPERLINK("https://www.boe.es/gazeta/dias/1809/09/07/pdfs/GGB-H-1809-162.pdf#page=6","Abrir facsímil")</f>
        <v>Abrir facsímil</v>
      </c>
      <c r="K5366" s="3" t="s">
        <v>57</v>
      </c>
    </row>
    <row r="5367" spans="1:11" ht="42" customHeight="1">
      <c r="A5367" s="2" t="s">
        <v>12883</v>
      </c>
      <c r="B5367" s="2" t="s">
        <v>12883</v>
      </c>
      <c r="C5367" s="2" t="s">
        <v>131</v>
      </c>
      <c r="D5367" s="2" t="s">
        <v>26</v>
      </c>
      <c r="E5367" s="3" t="s">
        <v>118</v>
      </c>
      <c r="F5367" s="3" t="s">
        <v>819</v>
      </c>
      <c r="G5367" s="3" t="s">
        <v>2287</v>
      </c>
      <c r="H5367" s="2" t="s">
        <v>55</v>
      </c>
      <c r="I5367" s="2" t="s">
        <v>12890</v>
      </c>
      <c r="J5367" s="3" t="str">
        <f>HYPERLINK("https://www.boe.es/gazeta/dias/1809/09/07/pdfs/GGB-H-1809-162.pdf#page=7","Abrir facsímil")</f>
        <v>Abrir facsímil</v>
      </c>
      <c r="K5367" s="3" t="s">
        <v>57</v>
      </c>
    </row>
    <row r="5368" spans="1:11" ht="42" customHeight="1">
      <c r="A5368" s="2" t="s">
        <v>12891</v>
      </c>
      <c r="B5368" s="2" t="s">
        <v>12892</v>
      </c>
      <c r="C5368" s="2" t="s">
        <v>25</v>
      </c>
      <c r="D5368" s="2" t="s">
        <v>107</v>
      </c>
      <c r="E5368" s="3" t="s">
        <v>1581</v>
      </c>
      <c r="F5368" s="3" t="s">
        <v>3668</v>
      </c>
      <c r="G5368" s="3" t="s">
        <v>129</v>
      </c>
      <c r="H5368" s="2" t="s">
        <v>55</v>
      </c>
      <c r="I5368" s="2" t="s">
        <v>12893</v>
      </c>
      <c r="J5368" s="3" t="str">
        <f>HYPERLINK("https://www.boe.es/gazeta/dias/1809/05/30/pdfs/GGB-1809-32E.pdf#page=2","Abrir facsímil")</f>
        <v>Abrir facsímil</v>
      </c>
      <c r="K5368" s="3" t="s">
        <v>57</v>
      </c>
    </row>
    <row r="5369" spans="1:11" ht="42" customHeight="1">
      <c r="A5369" s="2" t="s">
        <v>12891</v>
      </c>
      <c r="B5369" s="2" t="s">
        <v>12892</v>
      </c>
      <c r="C5369" s="2" t="s">
        <v>25</v>
      </c>
      <c r="D5369" s="2" t="s">
        <v>18</v>
      </c>
      <c r="E5369" s="3" t="s">
        <v>73</v>
      </c>
      <c r="F5369" s="3" t="s">
        <v>822</v>
      </c>
      <c r="G5369" s="3" t="s">
        <v>3275</v>
      </c>
      <c r="H5369" s="2" t="s">
        <v>55</v>
      </c>
      <c r="I5369" s="2" t="s">
        <v>12894</v>
      </c>
      <c r="J5369" s="3" t="str">
        <f>HYPERLINK("https://www.boe.es/gazeta/dias/1809/09/21/pdfs/GGB-1809-222.pdf#page=3","Abrir facsímil")</f>
        <v>Abrir facsímil</v>
      </c>
      <c r="K5369" s="3" t="s">
        <v>57</v>
      </c>
    </row>
    <row r="5370" spans="1:11" ht="42" customHeight="1">
      <c r="A5370" s="2" t="s">
        <v>12895</v>
      </c>
      <c r="B5370" s="2" t="s">
        <v>12895</v>
      </c>
      <c r="C5370" s="2" t="s">
        <v>25</v>
      </c>
      <c r="D5370" s="2" t="s">
        <v>26</v>
      </c>
      <c r="E5370" s="3" t="s">
        <v>429</v>
      </c>
      <c r="F5370" s="3" t="s">
        <v>1544</v>
      </c>
      <c r="G5370" s="3" t="s">
        <v>1516</v>
      </c>
      <c r="H5370" s="2" t="s">
        <v>55</v>
      </c>
      <c r="I5370" s="2" t="s">
        <v>12896</v>
      </c>
      <c r="J5370" s="3" t="str">
        <f>HYPERLINK("https://www.boe.es/gazeta/dias/1809/06/09/pdfs/GMD-1809-160.pdf#page=3","Abrir facsímil")</f>
        <v>Abrir facsímil</v>
      </c>
      <c r="K5370" s="3" t="s">
        <v>57</v>
      </c>
    </row>
    <row r="5371" spans="1:11" ht="42" customHeight="1">
      <c r="A5371" s="2" t="s">
        <v>12897</v>
      </c>
      <c r="B5371" s="2" t="s">
        <v>12898</v>
      </c>
      <c r="C5371" s="2" t="s">
        <v>25</v>
      </c>
      <c r="D5371" s="2" t="s">
        <v>18</v>
      </c>
      <c r="E5371" s="3" t="s">
        <v>163</v>
      </c>
      <c r="F5371" s="3" t="s">
        <v>478</v>
      </c>
      <c r="G5371" s="3" t="s">
        <v>3932</v>
      </c>
      <c r="H5371" s="2" t="s">
        <v>55</v>
      </c>
      <c r="I5371" s="2" t="s">
        <v>12899</v>
      </c>
      <c r="J5371" s="3" t="str">
        <f>HYPERLINK("https://www.boe.es/gazeta/dias/1809/03/10/pdfs/GGB-1809-11.pdf#page=15","Abrir facsímil")</f>
        <v>Abrir facsímil</v>
      </c>
      <c r="K5371" s="3" t="s">
        <v>57</v>
      </c>
    </row>
    <row r="5372" spans="1:11" ht="42" customHeight="1">
      <c r="A5372" s="2" t="s">
        <v>12900</v>
      </c>
      <c r="B5372" s="2" t="s">
        <v>12900</v>
      </c>
      <c r="C5372" s="2" t="s">
        <v>25</v>
      </c>
      <c r="D5372" s="2" t="s">
        <v>26</v>
      </c>
      <c r="E5372" s="3" t="s">
        <v>1603</v>
      </c>
      <c r="F5372" s="3" t="s">
        <v>1604</v>
      </c>
      <c r="G5372" s="3" t="s">
        <v>587</v>
      </c>
      <c r="H5372" s="2" t="s">
        <v>55</v>
      </c>
      <c r="I5372" s="2" t="s">
        <v>12901</v>
      </c>
      <c r="J5372" s="3" t="str">
        <f>HYPERLINK("https://www.boe.es/gazeta/dias/1809/03/31/pdfs/GGB-1809-14.pdf#page=2","Abrir facsímil")</f>
        <v>Abrir facsímil</v>
      </c>
      <c r="K5372" s="3" t="s">
        <v>57</v>
      </c>
    </row>
    <row r="5373" spans="1:11" ht="42" customHeight="1">
      <c r="A5373" s="2" t="s">
        <v>12900</v>
      </c>
      <c r="B5373" s="2" t="s">
        <v>12900</v>
      </c>
      <c r="C5373" s="2" t="s">
        <v>25</v>
      </c>
      <c r="D5373" s="2" t="s">
        <v>18</v>
      </c>
      <c r="E5373" s="3" t="s">
        <v>1603</v>
      </c>
      <c r="F5373" s="3" t="s">
        <v>1604</v>
      </c>
      <c r="G5373" s="3" t="s">
        <v>2232</v>
      </c>
      <c r="H5373" s="2" t="s">
        <v>55</v>
      </c>
      <c r="I5373" s="2" t="s">
        <v>12902</v>
      </c>
      <c r="J5373" s="3" t="str">
        <f>HYPERLINK("https://www.boe.es/gazeta/dias/1809/03/31/pdfs/GGB-1809-14.pdf#page=4","Abrir facsímil")</f>
        <v>Abrir facsímil</v>
      </c>
      <c r="K5373" s="3" t="s">
        <v>57</v>
      </c>
    </row>
    <row r="5374" spans="1:11" ht="42" customHeight="1">
      <c r="A5374" s="2" t="s">
        <v>12903</v>
      </c>
      <c r="B5374" s="2" t="s">
        <v>12903</v>
      </c>
      <c r="C5374" s="2" t="s">
        <v>131</v>
      </c>
      <c r="D5374" s="2" t="s">
        <v>18</v>
      </c>
      <c r="E5374" s="3" t="s">
        <v>1493</v>
      </c>
      <c r="F5374" s="3" t="s">
        <v>1494</v>
      </c>
      <c r="G5374" s="3" t="s">
        <v>154</v>
      </c>
      <c r="H5374" s="2" t="s">
        <v>55</v>
      </c>
      <c r="I5374" s="2" t="s">
        <v>12904</v>
      </c>
      <c r="J5374" s="3" t="str">
        <f>HYPERLINK("https://www.boe.es/gazeta/dias/1809/08/25/pdfs/GMD-1809-238.pdf#page=3","Abrir facsímil")</f>
        <v>Abrir facsímil</v>
      </c>
      <c r="K5374" s="3" t="s">
        <v>57</v>
      </c>
    </row>
    <row r="5375" spans="1:11" ht="42" customHeight="1">
      <c r="A5375" s="2" t="s">
        <v>12905</v>
      </c>
      <c r="B5375" s="2" t="s">
        <v>12905</v>
      </c>
      <c r="C5375" s="2" t="s">
        <v>131</v>
      </c>
      <c r="D5375" s="2" t="s">
        <v>18</v>
      </c>
      <c r="E5375" s="3" t="s">
        <v>1206</v>
      </c>
      <c r="F5375" s="3" t="s">
        <v>1612</v>
      </c>
      <c r="G5375" s="3" t="s">
        <v>1613</v>
      </c>
      <c r="H5375" s="2" t="s">
        <v>55</v>
      </c>
      <c r="I5375" s="2" t="s">
        <v>12906</v>
      </c>
      <c r="J5375" s="3" t="str">
        <f>HYPERLINK("https://www.boe.es/gazeta/dias/1809/09/23/pdfs/GMD-1809-267.pdf#page=2","Abrir facsímil")</f>
        <v>Abrir facsímil</v>
      </c>
      <c r="K5375" s="3" t="s">
        <v>57</v>
      </c>
    </row>
    <row r="5376" spans="1:11" ht="42" customHeight="1">
      <c r="A5376" s="2" t="s">
        <v>12907</v>
      </c>
      <c r="B5376" s="2" t="s">
        <v>12907</v>
      </c>
      <c r="C5376" s="2" t="s">
        <v>25</v>
      </c>
      <c r="D5376" s="2" t="s">
        <v>26</v>
      </c>
      <c r="E5376" s="3" t="s">
        <v>332</v>
      </c>
      <c r="F5376" s="3" t="s">
        <v>333</v>
      </c>
      <c r="G5376" s="3" t="s">
        <v>29</v>
      </c>
      <c r="H5376" s="2" t="s">
        <v>55</v>
      </c>
      <c r="I5376" s="2" t="s">
        <v>12908</v>
      </c>
      <c r="J5376" s="3" t="str">
        <f>HYPERLINK("https://www.boe.es/gazeta/dias/1809/02/23/pdfs/GMD-1809-54.pdf#page=3","Abrir facsímil")</f>
        <v>Abrir facsímil</v>
      </c>
      <c r="K5376" s="3" t="s">
        <v>57</v>
      </c>
    </row>
    <row r="5377" spans="1:11" ht="42" customHeight="1">
      <c r="A5377" s="2" t="s">
        <v>12909</v>
      </c>
      <c r="B5377" s="2" t="s">
        <v>12909</v>
      </c>
      <c r="C5377" s="2" t="s">
        <v>131</v>
      </c>
      <c r="D5377" s="2" t="s">
        <v>26</v>
      </c>
      <c r="E5377" s="3" t="s">
        <v>2002</v>
      </c>
      <c r="F5377" s="3" t="s">
        <v>2003</v>
      </c>
      <c r="G5377" s="3" t="s">
        <v>789</v>
      </c>
      <c r="H5377" s="2" t="s">
        <v>55</v>
      </c>
      <c r="I5377" s="2" t="s">
        <v>12910</v>
      </c>
      <c r="J5377" s="3" t="str">
        <f>HYPERLINK("https://www.boe.es/gazeta/dias/1809/08/07/pdfs/GMD-1809-220.pdf#page=2","Abrir facsímil")</f>
        <v>Abrir facsímil</v>
      </c>
      <c r="K5377" s="3" t="s">
        <v>57</v>
      </c>
    </row>
    <row r="5378" spans="1:11" ht="42" customHeight="1">
      <c r="A5378" s="2" t="s">
        <v>12911</v>
      </c>
      <c r="B5378" s="2" t="s">
        <v>12911</v>
      </c>
      <c r="C5378" s="2" t="s">
        <v>25</v>
      </c>
      <c r="D5378" s="2" t="s">
        <v>18</v>
      </c>
      <c r="E5378" s="3" t="s">
        <v>1786</v>
      </c>
      <c r="F5378" s="3" t="s">
        <v>1787</v>
      </c>
      <c r="G5378" s="3" t="s">
        <v>1788</v>
      </c>
      <c r="H5378" s="2" t="s">
        <v>55</v>
      </c>
      <c r="I5378" s="2" t="s">
        <v>12912</v>
      </c>
      <c r="J5378" s="3" t="str">
        <f>HYPERLINK("https://www.boe.es/gazeta/dias/1809/08/24/pdfs/GMD-1809-237.pdf#page=1","Abrir facsímil")</f>
        <v>Abrir facsímil</v>
      </c>
      <c r="K5378" s="3" t="s">
        <v>57</v>
      </c>
    </row>
    <row r="5379" spans="1:11" ht="42" customHeight="1">
      <c r="A5379" s="2" t="s">
        <v>12913</v>
      </c>
      <c r="B5379" s="2" t="s">
        <v>12913</v>
      </c>
      <c r="C5379" s="2" t="s">
        <v>25</v>
      </c>
      <c r="D5379" s="2" t="s">
        <v>26</v>
      </c>
      <c r="E5379" s="3" t="s">
        <v>258</v>
      </c>
      <c r="F5379" s="3" t="s">
        <v>2612</v>
      </c>
      <c r="G5379" s="3" t="s">
        <v>129</v>
      </c>
      <c r="H5379" s="2" t="s">
        <v>55</v>
      </c>
      <c r="I5379" s="2" t="s">
        <v>12914</v>
      </c>
      <c r="J5379" s="3" t="str">
        <f>HYPERLINK("https://www.boe.es/gazeta/dias/1809/03/17/pdfs/GGB-H-1809-12.pdf#page=2","Abrir facsímil")</f>
        <v>Abrir facsímil</v>
      </c>
      <c r="K5379" s="3" t="s">
        <v>57</v>
      </c>
    </row>
    <row r="5380" spans="1:11" ht="42" customHeight="1">
      <c r="A5380" s="2" t="s">
        <v>12915</v>
      </c>
      <c r="B5380" s="2" t="s">
        <v>12915</v>
      </c>
      <c r="C5380" s="2" t="s">
        <v>25</v>
      </c>
      <c r="D5380" s="2" t="s">
        <v>18</v>
      </c>
      <c r="E5380" s="3" t="s">
        <v>445</v>
      </c>
      <c r="F5380" s="3" t="s">
        <v>446</v>
      </c>
      <c r="G5380" s="3" t="s">
        <v>62</v>
      </c>
      <c r="H5380" s="2" t="s">
        <v>55</v>
      </c>
      <c r="I5380" s="2" t="s">
        <v>12916</v>
      </c>
      <c r="J5380" s="3" t="str">
        <f>HYPERLINK("https://www.boe.es/gazeta/dias/1809/10/01/pdfs/GMD-1809-275.pdf#page=2","Abrir facsímil")</f>
        <v>Abrir facsímil</v>
      </c>
      <c r="K5380" s="3" t="s">
        <v>57</v>
      </c>
    </row>
    <row r="5381" spans="1:11" ht="42" customHeight="1">
      <c r="A5381" s="2" t="s">
        <v>12917</v>
      </c>
      <c r="B5381" s="2" t="s">
        <v>12917</v>
      </c>
      <c r="C5381" s="2" t="s">
        <v>25</v>
      </c>
      <c r="D5381" s="2" t="s">
        <v>18</v>
      </c>
      <c r="E5381" s="3" t="s">
        <v>113</v>
      </c>
      <c r="F5381" s="3" t="s">
        <v>114</v>
      </c>
      <c r="G5381" s="3" t="s">
        <v>3208</v>
      </c>
      <c r="H5381" s="2" t="s">
        <v>55</v>
      </c>
      <c r="I5381" s="2" t="s">
        <v>12918</v>
      </c>
      <c r="J5381" s="3" t="str">
        <f>HYPERLINK("https://www.boe.es/gazeta/dias/1809/04/24/pdfs/GMD-1809-114.pdf#page=3","Abrir facsímil")</f>
        <v>Abrir facsímil</v>
      </c>
      <c r="K5381" s="3" t="s">
        <v>57</v>
      </c>
    </row>
    <row r="5382" spans="1:11" ht="42" customHeight="1">
      <c r="A5382" s="2" t="s">
        <v>12919</v>
      </c>
      <c r="B5382" s="2" t="s">
        <v>12920</v>
      </c>
      <c r="C5382" s="2" t="s">
        <v>25</v>
      </c>
      <c r="D5382" s="2" t="s">
        <v>26</v>
      </c>
      <c r="E5382" s="3" t="s">
        <v>1865</v>
      </c>
      <c r="F5382" s="3" t="s">
        <v>1866</v>
      </c>
      <c r="G5382" s="3" t="s">
        <v>906</v>
      </c>
      <c r="H5382" s="2" t="s">
        <v>55</v>
      </c>
      <c r="I5382" s="2" t="s">
        <v>12921</v>
      </c>
      <c r="J5382" s="3" t="str">
        <f>HYPERLINK("https://www.boe.es/gazeta/dias/1809/08/08/pdfs/GGB-1809-32.pdf#page=8","Abrir facsímil")</f>
        <v>Abrir facsímil</v>
      </c>
      <c r="K5382" s="3" t="s">
        <v>57</v>
      </c>
    </row>
    <row r="5383" spans="1:11" ht="42" customHeight="1">
      <c r="A5383" s="2" t="s">
        <v>12922</v>
      </c>
      <c r="B5383" s="2" t="s">
        <v>12922</v>
      </c>
      <c r="C5383" s="2" t="s">
        <v>17</v>
      </c>
      <c r="D5383" s="2" t="s">
        <v>18</v>
      </c>
      <c r="E5383" s="3" t="s">
        <v>503</v>
      </c>
      <c r="F5383" s="3" t="s">
        <v>504</v>
      </c>
      <c r="G5383" s="3" t="s">
        <v>62</v>
      </c>
      <c r="H5383" s="2" t="s">
        <v>55</v>
      </c>
      <c r="I5383" s="2" t="s">
        <v>12923</v>
      </c>
      <c r="J5383" s="3" t="str">
        <f>HYPERLINK("https://www.boe.es/gazeta/dias/1809/09/01/pdfs/GMD-1809-245.pdf#page=1","Abrir facsímil")</f>
        <v>Abrir facsímil</v>
      </c>
      <c r="K5383" s="3" t="s">
        <v>57</v>
      </c>
    </row>
    <row r="5384" spans="1:11" ht="42" customHeight="1">
      <c r="A5384" s="2" t="s">
        <v>12924</v>
      </c>
      <c r="B5384" s="2" t="s">
        <v>12924</v>
      </c>
      <c r="C5384" s="2" t="s">
        <v>25</v>
      </c>
      <c r="D5384" s="2" t="s">
        <v>26</v>
      </c>
      <c r="E5384" s="3" t="s">
        <v>649</v>
      </c>
      <c r="F5384" s="3" t="s">
        <v>650</v>
      </c>
      <c r="G5384" s="3" t="s">
        <v>651</v>
      </c>
      <c r="H5384" s="2" t="s">
        <v>55</v>
      </c>
      <c r="I5384" s="2" t="s">
        <v>12925</v>
      </c>
      <c r="J5384" s="3" t="str">
        <f>HYPERLINK("https://www.boe.es/gazeta/dias/1809/10/08/pdfs/GMD-1809-282.pdf#page=2","Abrir facsímil")</f>
        <v>Abrir facsímil</v>
      </c>
      <c r="K5384" s="3" t="s">
        <v>57</v>
      </c>
    </row>
    <row r="5385" spans="1:11" ht="42" customHeight="1">
      <c r="A5385" s="2" t="s">
        <v>12926</v>
      </c>
      <c r="B5385" s="2" t="s">
        <v>12926</v>
      </c>
      <c r="C5385" s="2" t="s">
        <v>25</v>
      </c>
      <c r="D5385" s="2" t="s">
        <v>18</v>
      </c>
      <c r="E5385" s="3" t="s">
        <v>1048</v>
      </c>
      <c r="F5385" s="3" t="s">
        <v>5332</v>
      </c>
      <c r="G5385" s="3" t="s">
        <v>3934</v>
      </c>
      <c r="H5385" s="2" t="s">
        <v>55</v>
      </c>
      <c r="I5385" s="2" t="s">
        <v>12927</v>
      </c>
      <c r="J5385" s="3" t="str">
        <f>HYPERLINK("https://www.boe.es/gazeta/dias/1809/08/10/pdfs/GMD-1809-223.pdf#page=2","Abrir facsímil")</f>
        <v>Abrir facsímil</v>
      </c>
      <c r="K5385" s="3" t="s">
        <v>57</v>
      </c>
    </row>
    <row r="5386" spans="1:11" ht="42" customHeight="1">
      <c r="A5386" s="2" t="s">
        <v>12928</v>
      </c>
      <c r="B5386" s="2" t="s">
        <v>12928</v>
      </c>
      <c r="C5386" s="2" t="s">
        <v>25</v>
      </c>
      <c r="D5386" s="2" t="s">
        <v>26</v>
      </c>
      <c r="E5386" s="3" t="s">
        <v>974</v>
      </c>
      <c r="F5386" s="3" t="s">
        <v>7968</v>
      </c>
      <c r="G5386" s="3" t="s">
        <v>1874</v>
      </c>
      <c r="H5386" s="2" t="s">
        <v>55</v>
      </c>
      <c r="I5386" s="2" t="s">
        <v>12929</v>
      </c>
      <c r="J5386" s="3" t="str">
        <f>HYPERLINK("https://www.boe.es/gazeta/dias/1809/11/14/pdfs/GMD-1809-319.pdf#page=1","Abrir facsímil")</f>
        <v>Abrir facsímil</v>
      </c>
      <c r="K5386" s="3" t="s">
        <v>57</v>
      </c>
    </row>
    <row r="5387" spans="1:11" ht="42" customHeight="1">
      <c r="A5387" s="2" t="s">
        <v>12930</v>
      </c>
      <c r="B5387" s="2" t="s">
        <v>12931</v>
      </c>
      <c r="C5387" s="2" t="s">
        <v>25</v>
      </c>
      <c r="D5387" s="2" t="s">
        <v>18</v>
      </c>
      <c r="E5387" s="3" t="s">
        <v>1343</v>
      </c>
      <c r="F5387" s="3" t="s">
        <v>1344</v>
      </c>
      <c r="G5387" s="3" t="s">
        <v>270</v>
      </c>
      <c r="H5387" s="2" t="s">
        <v>55</v>
      </c>
      <c r="I5387" s="2" t="s">
        <v>12932</v>
      </c>
      <c r="J5387" s="3" t="str">
        <f>HYPERLINK("https://www.boe.es/gazeta/dias/1809/07/24/pdfs/GMD-1809-205.pdf#page=7","Abrir facsímil")</f>
        <v>Abrir facsímil</v>
      </c>
      <c r="K5387" s="3" t="s">
        <v>57</v>
      </c>
    </row>
    <row r="5388" spans="1:11" ht="42" customHeight="1">
      <c r="A5388" s="2" t="s">
        <v>12933</v>
      </c>
      <c r="B5388" s="2" t="s">
        <v>12933</v>
      </c>
      <c r="C5388" s="2" t="s">
        <v>17</v>
      </c>
      <c r="D5388" s="2" t="s">
        <v>18</v>
      </c>
      <c r="E5388" s="3" t="s">
        <v>410</v>
      </c>
      <c r="F5388" s="3" t="s">
        <v>411</v>
      </c>
      <c r="G5388" s="3" t="s">
        <v>316</v>
      </c>
      <c r="H5388" s="2" t="s">
        <v>55</v>
      </c>
      <c r="I5388" s="2" t="s">
        <v>12934</v>
      </c>
      <c r="J5388" s="3" t="str">
        <f>HYPERLINK("https://www.boe.es/gazeta/dias/1809/03/04/pdfs/GMD-1809-63.pdf#page=2","Abrir facsímil")</f>
        <v>Abrir facsímil</v>
      </c>
      <c r="K5388" s="3" t="s">
        <v>57</v>
      </c>
    </row>
    <row r="5389" spans="1:11" ht="42" customHeight="1">
      <c r="A5389" s="2" t="s">
        <v>12933</v>
      </c>
      <c r="B5389" s="2" t="s">
        <v>12933</v>
      </c>
      <c r="C5389" s="2" t="s">
        <v>47</v>
      </c>
      <c r="D5389" s="2" t="s">
        <v>40</v>
      </c>
      <c r="E5389" s="3" t="s">
        <v>3366</v>
      </c>
      <c r="F5389" s="3" t="s">
        <v>8835</v>
      </c>
      <c r="G5389" s="3" t="s">
        <v>587</v>
      </c>
      <c r="H5389" s="2" t="s">
        <v>55</v>
      </c>
      <c r="I5389" s="2" t="s">
        <v>12935</v>
      </c>
      <c r="J5389" s="3" t="str">
        <f>HYPERLINK("https://www.boe.es/gazeta/dias/1809/04/10/pdfs/GMD-1809-100.pdf#page=3","Abrir facsímil")</f>
        <v>Abrir facsímil</v>
      </c>
      <c r="K5389" s="3" t="s">
        <v>57</v>
      </c>
    </row>
    <row r="5390" spans="1:11" ht="42" customHeight="1">
      <c r="A5390" s="2" t="s">
        <v>12936</v>
      </c>
      <c r="B5390" s="2" t="s">
        <v>12936</v>
      </c>
      <c r="C5390" s="2" t="s">
        <v>25</v>
      </c>
      <c r="D5390" s="2" t="s">
        <v>18</v>
      </c>
      <c r="E5390" s="3" t="s">
        <v>5172</v>
      </c>
      <c r="F5390" s="3" t="s">
        <v>5173</v>
      </c>
      <c r="G5390" s="3" t="s">
        <v>467</v>
      </c>
      <c r="H5390" s="2" t="s">
        <v>55</v>
      </c>
      <c r="I5390" s="2" t="s">
        <v>12937</v>
      </c>
      <c r="J5390" s="3" t="str">
        <f>HYPERLINK("https://www.boe.es/gazeta/dias/1809/03/06/pdfs/GMD-1809-65.pdf#page=2","Abrir facsímil")</f>
        <v>Abrir facsímil</v>
      </c>
      <c r="K5390" s="3" t="s">
        <v>57</v>
      </c>
    </row>
    <row r="5391" spans="1:11" ht="42" customHeight="1">
      <c r="A5391" s="2" t="s">
        <v>12938</v>
      </c>
      <c r="B5391" s="2" t="s">
        <v>12938</v>
      </c>
      <c r="C5391" s="2" t="s">
        <v>25</v>
      </c>
      <c r="D5391" s="2" t="s">
        <v>107</v>
      </c>
      <c r="E5391" s="3" t="s">
        <v>92</v>
      </c>
      <c r="F5391" s="3" t="s">
        <v>11754</v>
      </c>
      <c r="G5391" s="3" t="s">
        <v>129</v>
      </c>
      <c r="H5391" s="2" t="s">
        <v>55</v>
      </c>
      <c r="I5391" s="2" t="s">
        <v>12939</v>
      </c>
      <c r="J5391" s="3" t="str">
        <f>HYPERLINK("https://www.boe.es/gazeta/dias/1809/05/22/pdfs/GMD-1809-142.pdf#page=2","Abrir facsímil")</f>
        <v>Abrir facsímil</v>
      </c>
      <c r="K5391" s="3" t="s">
        <v>57</v>
      </c>
    </row>
    <row r="5392" spans="1:11" ht="42" customHeight="1">
      <c r="A5392" s="2" t="s">
        <v>12940</v>
      </c>
      <c r="B5392" s="2" t="s">
        <v>12940</v>
      </c>
      <c r="C5392" s="2" t="s">
        <v>25</v>
      </c>
      <c r="D5392" s="2" t="s">
        <v>18</v>
      </c>
      <c r="E5392" s="3" t="s">
        <v>113</v>
      </c>
      <c r="F5392" s="3" t="s">
        <v>1982</v>
      </c>
      <c r="G5392" s="3" t="s">
        <v>1452</v>
      </c>
      <c r="H5392" s="2" t="s">
        <v>55</v>
      </c>
      <c r="I5392" s="2" t="s">
        <v>12941</v>
      </c>
      <c r="J5392" s="3" t="str">
        <f>HYPERLINK("https://www.boe.es/gazeta/dias/1809/04/24/pdfs/GGB-1809-21.pdf#page=1","Abrir facsímil")</f>
        <v>Abrir facsímil</v>
      </c>
      <c r="K5392" s="3" t="s">
        <v>57</v>
      </c>
    </row>
    <row r="5393" spans="1:11" ht="42" customHeight="1">
      <c r="A5393" s="2" t="s">
        <v>12942</v>
      </c>
      <c r="B5393" s="2" t="s">
        <v>12942</v>
      </c>
      <c r="C5393" s="2" t="s">
        <v>25</v>
      </c>
      <c r="D5393" s="2" t="s">
        <v>26</v>
      </c>
      <c r="E5393" s="3" t="s">
        <v>1053</v>
      </c>
      <c r="F5393" s="3" t="s">
        <v>1054</v>
      </c>
      <c r="G5393" s="3" t="s">
        <v>239</v>
      </c>
      <c r="H5393" s="2" t="s">
        <v>55</v>
      </c>
      <c r="I5393" s="2" t="s">
        <v>12943</v>
      </c>
      <c r="J5393" s="3" t="str">
        <f>HYPERLINK("https://www.boe.es/gazeta/dias/1809/05/13/pdfs/GMD-1809-133.pdf#page=3","Abrir facsímil")</f>
        <v>Abrir facsímil</v>
      </c>
      <c r="K5393" s="3" t="s">
        <v>57</v>
      </c>
    </row>
    <row r="5394" spans="1:11" ht="42" customHeight="1">
      <c r="A5394" s="2" t="s">
        <v>12942</v>
      </c>
      <c r="B5394" s="2" t="s">
        <v>12942</v>
      </c>
      <c r="C5394" s="2" t="s">
        <v>25</v>
      </c>
      <c r="D5394" s="2" t="s">
        <v>26</v>
      </c>
      <c r="E5394" s="3" t="s">
        <v>2381</v>
      </c>
      <c r="F5394" s="3" t="s">
        <v>2382</v>
      </c>
      <c r="G5394" s="3" t="s">
        <v>2383</v>
      </c>
      <c r="H5394" s="2" t="s">
        <v>55</v>
      </c>
      <c r="I5394" s="2" t="s">
        <v>12944</v>
      </c>
      <c r="J5394" s="3" t="str">
        <f>HYPERLINK("https://www.boe.es/gazeta/dias/1809/05/14/pdfs/GMD-1809-134.pdf#page=2","Abrir facsímil")</f>
        <v>Abrir facsímil</v>
      </c>
      <c r="K5394" s="3" t="s">
        <v>57</v>
      </c>
    </row>
    <row r="5395" spans="1:11" ht="42" customHeight="1">
      <c r="A5395" s="2" t="s">
        <v>12942</v>
      </c>
      <c r="B5395" s="2" t="s">
        <v>12942</v>
      </c>
      <c r="C5395" s="2" t="s">
        <v>25</v>
      </c>
      <c r="D5395" s="2" t="s">
        <v>26</v>
      </c>
      <c r="E5395" s="3" t="s">
        <v>92</v>
      </c>
      <c r="F5395" s="3" t="s">
        <v>11754</v>
      </c>
      <c r="G5395" s="3" t="s">
        <v>129</v>
      </c>
      <c r="H5395" s="2" t="s">
        <v>55</v>
      </c>
      <c r="I5395" s="2" t="s">
        <v>12945</v>
      </c>
      <c r="J5395" s="3" t="str">
        <f>HYPERLINK("https://www.boe.es/gazeta/dias/1809/05/22/pdfs/GMD-1809-142.pdf#page=2","Abrir facsímil")</f>
        <v>Abrir facsímil</v>
      </c>
      <c r="K5395" s="3" t="s">
        <v>57</v>
      </c>
    </row>
    <row r="5396" spans="1:11" ht="42" customHeight="1">
      <c r="A5396" s="2" t="s">
        <v>12942</v>
      </c>
      <c r="B5396" s="2" t="s">
        <v>12942</v>
      </c>
      <c r="C5396" s="2" t="s">
        <v>79</v>
      </c>
      <c r="D5396" s="2" t="s">
        <v>18</v>
      </c>
      <c r="E5396" s="3" t="s">
        <v>5145</v>
      </c>
      <c r="F5396" s="3" t="s">
        <v>5146</v>
      </c>
      <c r="G5396" s="3" t="s">
        <v>1138</v>
      </c>
      <c r="H5396" s="2" t="s">
        <v>55</v>
      </c>
      <c r="I5396" s="2" t="s">
        <v>12946</v>
      </c>
      <c r="J5396" s="3" t="str">
        <f>HYPERLINK("https://www.boe.es/gazeta/dias/1809/06/22/pdfs/GMD-1809-173.pdf#page=1","Abrir facsímil")</f>
        <v>Abrir facsímil</v>
      </c>
      <c r="K5396" s="3" t="s">
        <v>57</v>
      </c>
    </row>
    <row r="5397" spans="1:11" ht="42" customHeight="1">
      <c r="A5397" s="2" t="s">
        <v>12942</v>
      </c>
      <c r="B5397" s="2" t="s">
        <v>12942</v>
      </c>
      <c r="C5397" s="2" t="s">
        <v>25</v>
      </c>
      <c r="D5397" s="2" t="s">
        <v>107</v>
      </c>
      <c r="E5397" s="3" t="s">
        <v>2742</v>
      </c>
      <c r="F5397" s="3" t="s">
        <v>2743</v>
      </c>
      <c r="G5397" s="3" t="s">
        <v>192</v>
      </c>
      <c r="H5397" s="2" t="s">
        <v>55</v>
      </c>
      <c r="I5397" s="2" t="s">
        <v>12947</v>
      </c>
      <c r="J5397" s="3" t="str">
        <f>HYPERLINK("https://www.boe.es/gazeta/dias/1809/06/24/pdfs/GMD-1809-175.pdf#page=2","Abrir facsímil")</f>
        <v>Abrir facsímil</v>
      </c>
      <c r="K5397" s="3" t="s">
        <v>57</v>
      </c>
    </row>
    <row r="5398" spans="1:11" ht="42" customHeight="1">
      <c r="A5398" s="2" t="s">
        <v>12942</v>
      </c>
      <c r="B5398" s="2" t="s">
        <v>12942</v>
      </c>
      <c r="C5398" s="2" t="s">
        <v>79</v>
      </c>
      <c r="D5398" s="2" t="s">
        <v>107</v>
      </c>
      <c r="E5398" s="3" t="s">
        <v>381</v>
      </c>
      <c r="F5398" s="3" t="s">
        <v>382</v>
      </c>
      <c r="G5398" s="3" t="s">
        <v>75</v>
      </c>
      <c r="H5398" s="2" t="s">
        <v>55</v>
      </c>
      <c r="I5398" s="2" t="s">
        <v>12948</v>
      </c>
      <c r="J5398" s="3" t="str">
        <f>HYPERLINK("https://www.boe.es/gazeta/dias/1809/06/27/pdfs/GMD-1809-178.pdf#page=2","Abrir facsímil")</f>
        <v>Abrir facsímil</v>
      </c>
      <c r="K5398" s="3" t="s">
        <v>57</v>
      </c>
    </row>
    <row r="5399" spans="1:11" ht="42" customHeight="1">
      <c r="A5399" s="2" t="s">
        <v>12942</v>
      </c>
      <c r="B5399" s="2" t="s">
        <v>12942</v>
      </c>
      <c r="C5399" s="2" t="s">
        <v>25</v>
      </c>
      <c r="D5399" s="2" t="s">
        <v>18</v>
      </c>
      <c r="E5399" s="3" t="s">
        <v>464</v>
      </c>
      <c r="F5399" s="3" t="s">
        <v>465</v>
      </c>
      <c r="G5399" s="3" t="s">
        <v>3066</v>
      </c>
      <c r="H5399" s="2" t="s">
        <v>55</v>
      </c>
      <c r="I5399" s="2" t="s">
        <v>12949</v>
      </c>
      <c r="J5399" s="3" t="str">
        <f>HYPERLINK("https://www.boe.es/gazeta/dias/1809/07/05/pdfs/GMD-1809-186.pdf#page=1","Abrir facsímil")</f>
        <v>Abrir facsímil</v>
      </c>
      <c r="K5399" s="3" t="s">
        <v>57</v>
      </c>
    </row>
    <row r="5400" spans="1:11" ht="42" customHeight="1">
      <c r="A5400" s="2" t="s">
        <v>12942</v>
      </c>
      <c r="B5400" s="2" t="s">
        <v>12942</v>
      </c>
      <c r="C5400" s="2" t="s">
        <v>25</v>
      </c>
      <c r="D5400" s="2" t="s">
        <v>18</v>
      </c>
      <c r="E5400" s="3" t="s">
        <v>512</v>
      </c>
      <c r="F5400" s="3" t="s">
        <v>513</v>
      </c>
      <c r="G5400" s="3" t="s">
        <v>21</v>
      </c>
      <c r="H5400" s="2" t="s">
        <v>55</v>
      </c>
      <c r="I5400" s="2" t="s">
        <v>12950</v>
      </c>
      <c r="J5400" s="3" t="str">
        <f>HYPERLINK("https://www.boe.es/gazeta/dias/1809/07/06/pdfs/GMD-1809-187.pdf#page=2","Abrir facsímil")</f>
        <v>Abrir facsímil</v>
      </c>
      <c r="K5400" s="3" t="s">
        <v>57</v>
      </c>
    </row>
    <row r="5401" spans="1:11" ht="42" customHeight="1">
      <c r="A5401" s="2" t="s">
        <v>12942</v>
      </c>
      <c r="B5401" s="2" t="s">
        <v>12942</v>
      </c>
      <c r="C5401" s="2" t="s">
        <v>25</v>
      </c>
      <c r="D5401" s="2" t="s">
        <v>26</v>
      </c>
      <c r="E5401" s="3" t="s">
        <v>2395</v>
      </c>
      <c r="F5401" s="3" t="s">
        <v>2396</v>
      </c>
      <c r="G5401" s="3" t="s">
        <v>2397</v>
      </c>
      <c r="H5401" s="2" t="s">
        <v>55</v>
      </c>
      <c r="I5401" s="2" t="s">
        <v>12951</v>
      </c>
      <c r="J5401" s="3" t="str">
        <f>HYPERLINK("https://www.boe.es/gazeta/dias/1809/07/14/pdfs/GMD-1809-195.pdf#page=2","Abrir facsímil")</f>
        <v>Abrir facsímil</v>
      </c>
      <c r="K5401" s="3" t="s">
        <v>57</v>
      </c>
    </row>
    <row r="5402" spans="1:11" ht="42" customHeight="1">
      <c r="A5402" s="2" t="s">
        <v>12942</v>
      </c>
      <c r="B5402" s="2" t="s">
        <v>12942</v>
      </c>
      <c r="C5402" s="2" t="s">
        <v>25</v>
      </c>
      <c r="D5402" s="2" t="s">
        <v>26</v>
      </c>
      <c r="E5402" s="3" t="s">
        <v>384</v>
      </c>
      <c r="F5402" s="3" t="s">
        <v>385</v>
      </c>
      <c r="G5402" s="3" t="s">
        <v>120</v>
      </c>
      <c r="H5402" s="2" t="s">
        <v>55</v>
      </c>
      <c r="I5402" s="2" t="s">
        <v>12952</v>
      </c>
      <c r="J5402" s="3" t="str">
        <f>HYPERLINK("https://www.boe.es/gazeta/dias/1809/07/27/pdfs/GMD-1809-208.pdf#page=1","Abrir facsímil")</f>
        <v>Abrir facsímil</v>
      </c>
      <c r="K5402" s="3" t="s">
        <v>57</v>
      </c>
    </row>
    <row r="5403" spans="1:11" ht="42" customHeight="1">
      <c r="A5403" s="2" t="s">
        <v>12942</v>
      </c>
      <c r="B5403" s="2" t="s">
        <v>12942</v>
      </c>
      <c r="C5403" s="2" t="s">
        <v>25</v>
      </c>
      <c r="D5403" s="2" t="s">
        <v>26</v>
      </c>
      <c r="E5403" s="3" t="s">
        <v>118</v>
      </c>
      <c r="F5403" s="3" t="s">
        <v>119</v>
      </c>
      <c r="G5403" s="3" t="s">
        <v>120</v>
      </c>
      <c r="H5403" s="2" t="s">
        <v>55</v>
      </c>
      <c r="I5403" s="2" t="s">
        <v>12953</v>
      </c>
      <c r="J5403" s="3" t="str">
        <f>HYPERLINK("https://www.boe.es/gazeta/dias/1809/09/07/pdfs/GMD-1809-251.pdf#page=1","Abrir facsímil")</f>
        <v>Abrir facsímil</v>
      </c>
      <c r="K5403" s="3" t="s">
        <v>57</v>
      </c>
    </row>
    <row r="5404" spans="1:11" ht="42" customHeight="1">
      <c r="A5404" s="2" t="s">
        <v>12942</v>
      </c>
      <c r="B5404" s="2" t="s">
        <v>12942</v>
      </c>
      <c r="C5404" s="2" t="s">
        <v>25</v>
      </c>
      <c r="D5404" s="2" t="s">
        <v>26</v>
      </c>
      <c r="E5404" s="3" t="s">
        <v>7566</v>
      </c>
      <c r="F5404" s="3" t="s">
        <v>7567</v>
      </c>
      <c r="G5404" s="3" t="s">
        <v>21</v>
      </c>
      <c r="H5404" s="2" t="s">
        <v>55</v>
      </c>
      <c r="I5404" s="2" t="s">
        <v>12954</v>
      </c>
      <c r="J5404" s="3" t="str">
        <f>HYPERLINK("https://www.boe.es/gazeta/dias/1809/10/02/pdfs/GMD-1809-276.pdf#page=1","Abrir facsímil")</f>
        <v>Abrir facsímil</v>
      </c>
      <c r="K5404" s="3" t="s">
        <v>57</v>
      </c>
    </row>
    <row r="5405" spans="1:11" ht="42" customHeight="1">
      <c r="A5405" s="2" t="s">
        <v>12942</v>
      </c>
      <c r="B5405" s="2" t="s">
        <v>12942</v>
      </c>
      <c r="C5405" s="2" t="s">
        <v>25</v>
      </c>
      <c r="D5405" s="2" t="s">
        <v>26</v>
      </c>
      <c r="E5405" s="3" t="s">
        <v>449</v>
      </c>
      <c r="F5405" s="3" t="s">
        <v>640</v>
      </c>
      <c r="G5405" s="3" t="s">
        <v>1798</v>
      </c>
      <c r="H5405" s="2" t="s">
        <v>55</v>
      </c>
      <c r="I5405" s="2" t="s">
        <v>12955</v>
      </c>
      <c r="J5405" s="3" t="str">
        <f>HYPERLINK("https://www.boe.es/gazeta/dias/1809/10/10/pdfs/GMD-1809-284.pdf#page=1","Abrir facsímil")</f>
        <v>Abrir facsímil</v>
      </c>
      <c r="K5405" s="3" t="s">
        <v>57</v>
      </c>
    </row>
    <row r="5406" spans="1:11" ht="42" customHeight="1">
      <c r="A5406" s="2" t="s">
        <v>12942</v>
      </c>
      <c r="B5406" s="2" t="s">
        <v>12942</v>
      </c>
      <c r="C5406" s="2" t="s">
        <v>25</v>
      </c>
      <c r="D5406" s="2" t="s">
        <v>18</v>
      </c>
      <c r="E5406" s="3" t="s">
        <v>616</v>
      </c>
      <c r="F5406" s="3" t="s">
        <v>617</v>
      </c>
      <c r="G5406" s="3" t="s">
        <v>75</v>
      </c>
      <c r="H5406" s="2" t="s">
        <v>55</v>
      </c>
      <c r="I5406" s="2" t="s">
        <v>12956</v>
      </c>
      <c r="J5406" s="3" t="str">
        <f>HYPERLINK("https://www.boe.es/gazeta/dias/1809/10/15/pdfs/GMD-1809-289.pdf#page=1","Abrir facsímil")</f>
        <v>Abrir facsímil</v>
      </c>
      <c r="K5406" s="3" t="s">
        <v>57</v>
      </c>
    </row>
    <row r="5407" spans="1:11" ht="42" customHeight="1">
      <c r="A5407" s="2" t="s">
        <v>12957</v>
      </c>
      <c r="B5407" s="2" t="s">
        <v>12958</v>
      </c>
      <c r="C5407" s="2" t="s">
        <v>25</v>
      </c>
      <c r="D5407" s="2" t="s">
        <v>26</v>
      </c>
      <c r="E5407" s="3" t="s">
        <v>27</v>
      </c>
      <c r="F5407" s="3" t="s">
        <v>254</v>
      </c>
      <c r="G5407" s="3" t="s">
        <v>3808</v>
      </c>
      <c r="H5407" s="2" t="s">
        <v>55</v>
      </c>
      <c r="I5407" s="2" t="s">
        <v>12959</v>
      </c>
      <c r="J5407" s="3" t="str">
        <f>HYPERLINK("https://www.boe.es/gazeta/dias/1809/05/12/pdfs/GGB-1809-26.pdf#page=2","Abrir facsímil")</f>
        <v>Abrir facsímil</v>
      </c>
      <c r="K5407" s="3" t="s">
        <v>57</v>
      </c>
    </row>
    <row r="5408" spans="1:11" ht="42" customHeight="1">
      <c r="A5408" s="2" t="s">
        <v>12960</v>
      </c>
      <c r="B5408" s="2" t="s">
        <v>12960</v>
      </c>
      <c r="C5408" s="2" t="s">
        <v>131</v>
      </c>
      <c r="D5408" s="2" t="s">
        <v>26</v>
      </c>
      <c r="E5408" s="3" t="s">
        <v>3764</v>
      </c>
      <c r="F5408" s="3" t="s">
        <v>3765</v>
      </c>
      <c r="G5408" s="3" t="s">
        <v>3766</v>
      </c>
      <c r="H5408" s="2" t="s">
        <v>55</v>
      </c>
      <c r="I5408" s="2" t="s">
        <v>12961</v>
      </c>
      <c r="J5408" s="3" t="str">
        <f>HYPERLINK("https://www.boe.es/gazeta/dias/1809/03/28/pdfs/GMD-1809-87.pdf#page=1","Abrir facsímil")</f>
        <v>Abrir facsímil</v>
      </c>
      <c r="K5408" s="3" t="s">
        <v>57</v>
      </c>
    </row>
    <row r="5409" spans="1:11" ht="42" customHeight="1">
      <c r="A5409" s="2" t="s">
        <v>12962</v>
      </c>
      <c r="B5409" s="2" t="s">
        <v>12963</v>
      </c>
      <c r="C5409" s="2" t="s">
        <v>17</v>
      </c>
      <c r="D5409" s="2" t="s">
        <v>72</v>
      </c>
      <c r="E5409" s="3" t="s">
        <v>2244</v>
      </c>
      <c r="F5409" s="3" t="s">
        <v>2871</v>
      </c>
      <c r="G5409" s="3" t="s">
        <v>62</v>
      </c>
      <c r="H5409" s="2" t="s">
        <v>55</v>
      </c>
      <c r="I5409" s="2" t="s">
        <v>12964</v>
      </c>
      <c r="J5409" s="3" t="str">
        <f>HYPERLINK("https://www.boe.es/gazeta/dias/1809/03/27/pdfs/GGB-G-1809-13B.pdf#page=3","Abrir facsímil")</f>
        <v>Abrir facsímil</v>
      </c>
      <c r="K5409" s="3" t="s">
        <v>57</v>
      </c>
    </row>
    <row r="5410" spans="1:11" ht="42" customHeight="1">
      <c r="A5410" s="2" t="s">
        <v>12965</v>
      </c>
      <c r="B5410" s="2" t="s">
        <v>12965</v>
      </c>
      <c r="C5410" s="2" t="s">
        <v>25</v>
      </c>
      <c r="D5410" s="2" t="s">
        <v>26</v>
      </c>
      <c r="E5410" s="3" t="s">
        <v>6618</v>
      </c>
      <c r="F5410" s="3" t="s">
        <v>6619</v>
      </c>
      <c r="G5410" s="3" t="s">
        <v>4139</v>
      </c>
      <c r="H5410" s="2" t="s">
        <v>55</v>
      </c>
      <c r="I5410" s="2" t="s">
        <v>12966</v>
      </c>
      <c r="J5410" s="3" t="str">
        <f>HYPERLINK("https://www.boe.es/gazeta/dias/1809/09/18/pdfs/GMD-1809-262.pdf#page=4","Abrir facsímil")</f>
        <v>Abrir facsímil</v>
      </c>
      <c r="K5410" s="3" t="s">
        <v>57</v>
      </c>
    </row>
    <row r="5411" spans="1:11" ht="42" customHeight="1">
      <c r="A5411" s="2" t="s">
        <v>12967</v>
      </c>
      <c r="B5411" s="2" t="s">
        <v>12967</v>
      </c>
      <c r="C5411" s="2" t="s">
        <v>25</v>
      </c>
      <c r="D5411" s="2" t="s">
        <v>26</v>
      </c>
      <c r="E5411" s="3" t="s">
        <v>248</v>
      </c>
      <c r="F5411" s="3" t="s">
        <v>2399</v>
      </c>
      <c r="G5411" s="3" t="s">
        <v>234</v>
      </c>
      <c r="H5411" s="2" t="s">
        <v>55</v>
      </c>
      <c r="I5411" s="2" t="s">
        <v>12968</v>
      </c>
      <c r="J5411" s="3" t="str">
        <f>HYPERLINK("https://www.boe.es/gazeta/dias/1809/07/26/pdfs/GMD-1809-207.pdf#page=3","Abrir facsímil")</f>
        <v>Abrir facsímil</v>
      </c>
      <c r="K5411" s="3" t="s">
        <v>57</v>
      </c>
    </row>
    <row r="5412" spans="1:11" ht="42" customHeight="1">
      <c r="A5412" s="2" t="s">
        <v>12969</v>
      </c>
      <c r="B5412" s="2" t="s">
        <v>12970</v>
      </c>
      <c r="C5412" s="2" t="s">
        <v>17</v>
      </c>
      <c r="D5412" s="2" t="s">
        <v>40</v>
      </c>
      <c r="E5412" s="3" t="s">
        <v>158</v>
      </c>
      <c r="F5412" s="3" t="s">
        <v>7342</v>
      </c>
      <c r="G5412" s="3" t="s">
        <v>7345</v>
      </c>
      <c r="H5412" s="2" t="s">
        <v>55</v>
      </c>
      <c r="I5412" s="2" t="s">
        <v>12971</v>
      </c>
      <c r="J5412" s="3" t="str">
        <f>HYPERLINK("https://www.boe.es/gazeta/dias/1809/02/10/pdfs/GMD-1809-41.pdf#page=2","Abrir facsímil")</f>
        <v>Abrir facsímil</v>
      </c>
      <c r="K5412" s="3" t="s">
        <v>57</v>
      </c>
    </row>
    <row r="5413" spans="1:11" ht="42" customHeight="1">
      <c r="A5413" s="2" t="s">
        <v>12972</v>
      </c>
      <c r="B5413" s="2" t="s">
        <v>12973</v>
      </c>
      <c r="C5413" s="2" t="s">
        <v>47</v>
      </c>
      <c r="D5413" s="2" t="s">
        <v>107</v>
      </c>
      <c r="E5413" s="3" t="s">
        <v>232</v>
      </c>
      <c r="F5413" s="3" t="s">
        <v>233</v>
      </c>
      <c r="G5413" s="3" t="s">
        <v>2232</v>
      </c>
      <c r="H5413" s="2" t="s">
        <v>55</v>
      </c>
      <c r="I5413" s="2" t="s">
        <v>12974</v>
      </c>
      <c r="J5413" s="3" t="str">
        <f>HYPERLINK("https://www.boe.es/gazeta/dias/1809/06/04/pdfs/GMD-1809-155.pdf#page=3","Abrir facsímil")</f>
        <v>Abrir facsímil</v>
      </c>
      <c r="K5413" s="3" t="s">
        <v>57</v>
      </c>
    </row>
    <row r="5414" spans="1:11" ht="42" customHeight="1">
      <c r="A5414" s="2" t="s">
        <v>12972</v>
      </c>
      <c r="B5414" s="2" t="s">
        <v>12973</v>
      </c>
      <c r="C5414" s="2" t="s">
        <v>17</v>
      </c>
      <c r="D5414" s="2" t="s">
        <v>18</v>
      </c>
      <c r="E5414" s="3" t="s">
        <v>442</v>
      </c>
      <c r="F5414" s="3" t="s">
        <v>2171</v>
      </c>
      <c r="G5414" s="3" t="s">
        <v>2172</v>
      </c>
      <c r="H5414" s="2" t="s">
        <v>55</v>
      </c>
      <c r="I5414" s="2" t="s">
        <v>12975</v>
      </c>
      <c r="J5414" s="3" t="str">
        <f>HYPERLINK("https://www.boe.es/gazeta/dias/1809/09/05/pdfs/GMD-1809-249.pdf#page=4","Abrir facsímil")</f>
        <v>Abrir facsímil</v>
      </c>
      <c r="K5414" s="3" t="s">
        <v>57</v>
      </c>
    </row>
    <row r="5415" spans="1:11" ht="42" customHeight="1">
      <c r="A5415" s="2" t="s">
        <v>12972</v>
      </c>
      <c r="B5415" s="2" t="s">
        <v>12973</v>
      </c>
      <c r="C5415" s="2" t="s">
        <v>25</v>
      </c>
      <c r="D5415" s="2" t="s">
        <v>26</v>
      </c>
      <c r="E5415" s="3" t="s">
        <v>211</v>
      </c>
      <c r="F5415" s="3" t="s">
        <v>212</v>
      </c>
      <c r="G5415" s="3" t="s">
        <v>467</v>
      </c>
      <c r="H5415" s="2" t="s">
        <v>55</v>
      </c>
      <c r="I5415" s="2" t="s">
        <v>12976</v>
      </c>
      <c r="J5415" s="3" t="str">
        <f>HYPERLINK("https://www.boe.es/gazeta/dias/1809/10/27/pdfs/GMD-1809-301.pdf#page=2","Abrir facsímil")</f>
        <v>Abrir facsímil</v>
      </c>
      <c r="K5415" s="3" t="s">
        <v>57</v>
      </c>
    </row>
    <row r="5416" spans="1:11" ht="42" customHeight="1">
      <c r="A5416" s="2" t="s">
        <v>12977</v>
      </c>
      <c r="B5416" s="2" t="s">
        <v>12978</v>
      </c>
      <c r="C5416" s="2" t="s">
        <v>17</v>
      </c>
      <c r="D5416" s="2" t="s">
        <v>18</v>
      </c>
      <c r="E5416" s="3" t="s">
        <v>211</v>
      </c>
      <c r="F5416" s="3" t="s">
        <v>212</v>
      </c>
      <c r="G5416" s="3" t="s">
        <v>213</v>
      </c>
      <c r="H5416" s="2" t="s">
        <v>55</v>
      </c>
      <c r="I5416" s="2" t="s">
        <v>12979</v>
      </c>
      <c r="J5416" s="3" t="str">
        <f>HYPERLINK("https://www.boe.es/gazeta/dias/1809/10/27/pdfs/GMD-1809-301.pdf#page=4","Abrir facsímil")</f>
        <v>Abrir facsímil</v>
      </c>
      <c r="K5416" s="3" t="s">
        <v>57</v>
      </c>
    </row>
    <row r="5417" spans="1:11" ht="42" customHeight="1">
      <c r="A5417" s="2" t="s">
        <v>12977</v>
      </c>
      <c r="B5417" s="2" t="s">
        <v>12978</v>
      </c>
      <c r="C5417" s="2" t="s">
        <v>25</v>
      </c>
      <c r="D5417" s="2" t="s">
        <v>26</v>
      </c>
      <c r="E5417" s="3" t="s">
        <v>216</v>
      </c>
      <c r="F5417" s="3" t="s">
        <v>217</v>
      </c>
      <c r="G5417" s="3" t="s">
        <v>439</v>
      </c>
      <c r="H5417" s="2" t="s">
        <v>55</v>
      </c>
      <c r="I5417" s="2" t="s">
        <v>12980</v>
      </c>
      <c r="J5417" s="3" t="str">
        <f>HYPERLINK("https://www.boe.es/gazeta/dias/1809/12/05/pdfs/GGB-H-1809-542.pdf#page=7","Abrir facsímil")</f>
        <v>Abrir facsímil</v>
      </c>
      <c r="K5417" s="3" t="s">
        <v>57</v>
      </c>
    </row>
    <row r="5418" spans="1:11" ht="42" customHeight="1">
      <c r="A5418" s="2" t="s">
        <v>12981</v>
      </c>
      <c r="B5418" s="2" t="s">
        <v>12982</v>
      </c>
      <c r="C5418" s="2" t="s">
        <v>17</v>
      </c>
      <c r="D5418" s="2" t="s">
        <v>72</v>
      </c>
      <c r="E5418" s="3" t="s">
        <v>243</v>
      </c>
      <c r="F5418" s="3" t="s">
        <v>244</v>
      </c>
      <c r="G5418" s="3" t="s">
        <v>582</v>
      </c>
      <c r="H5418" s="2" t="s">
        <v>55</v>
      </c>
      <c r="I5418" s="2" t="s">
        <v>12983</v>
      </c>
      <c r="J5418" s="3" t="str">
        <f>HYPERLINK("https://www.boe.es/gazeta/dias/1809/02/17/pdfs/GGB-G-1809-8.pdf#page=7","Abrir facsímil")</f>
        <v>Abrir facsímil</v>
      </c>
      <c r="K5418" s="3" t="s">
        <v>57</v>
      </c>
    </row>
    <row r="5419" spans="1:11" ht="42" customHeight="1">
      <c r="A5419" s="2" t="s">
        <v>12984</v>
      </c>
      <c r="B5419" s="2" t="s">
        <v>12985</v>
      </c>
      <c r="C5419" s="2" t="s">
        <v>17</v>
      </c>
      <c r="D5419" s="2" t="s">
        <v>72</v>
      </c>
      <c r="E5419" s="3" t="s">
        <v>557</v>
      </c>
      <c r="F5419" s="3" t="s">
        <v>558</v>
      </c>
      <c r="G5419" s="3" t="s">
        <v>265</v>
      </c>
      <c r="H5419" s="2" t="s">
        <v>55</v>
      </c>
      <c r="I5419" s="2" t="s">
        <v>12986</v>
      </c>
      <c r="J5419" s="3" t="str">
        <f>HYPERLINK("https://www.boe.es/gazeta/dias/1809/04/19/pdfs/GMD-E-1809-109.pdf#page=2","Abrir facsímil")</f>
        <v>Abrir facsímil</v>
      </c>
      <c r="K5419" s="3" t="s">
        <v>57</v>
      </c>
    </row>
    <row r="5420" spans="1:11" ht="42" customHeight="1">
      <c r="A5420" s="2" t="s">
        <v>12987</v>
      </c>
      <c r="B5420" s="2" t="s">
        <v>12988</v>
      </c>
      <c r="C5420" s="2" t="s">
        <v>17</v>
      </c>
      <c r="D5420" s="2" t="s">
        <v>18</v>
      </c>
      <c r="E5420" s="3" t="s">
        <v>666</v>
      </c>
      <c r="F5420" s="3" t="s">
        <v>667</v>
      </c>
      <c r="G5420" s="3" t="s">
        <v>1448</v>
      </c>
      <c r="H5420" s="2" t="s">
        <v>55</v>
      </c>
      <c r="I5420" s="2" t="s">
        <v>12989</v>
      </c>
      <c r="J5420" s="3" t="str">
        <f>HYPERLINK("https://www.boe.es/gazeta/dias/1809/08/29/pdfs/GGB-1809-122.pdf#page=7","Abrir facsímil")</f>
        <v>Abrir facsímil</v>
      </c>
      <c r="K5420" s="3" t="s">
        <v>57</v>
      </c>
    </row>
    <row r="5421" spans="1:11" ht="42" customHeight="1">
      <c r="A5421" s="2" t="s">
        <v>12990</v>
      </c>
      <c r="B5421" s="2" t="s">
        <v>12991</v>
      </c>
      <c r="C5421" s="2" t="s">
        <v>47</v>
      </c>
      <c r="D5421" s="2" t="s">
        <v>18</v>
      </c>
      <c r="E5421" s="3" t="s">
        <v>143</v>
      </c>
      <c r="F5421" s="3" t="s">
        <v>144</v>
      </c>
      <c r="G5421" s="3" t="s">
        <v>9544</v>
      </c>
      <c r="H5421" s="2" t="s">
        <v>55</v>
      </c>
      <c r="I5421" s="2" t="s">
        <v>12992</v>
      </c>
      <c r="J5421" s="3" t="str">
        <f>HYPERLINK("https://www.boe.es/gazeta/dias/1809/11/16/pdfs/GGB-1809-462.pdf#page=4","Abrir facsímil")</f>
        <v>Abrir facsímil</v>
      </c>
      <c r="K5421" s="3" t="s">
        <v>57</v>
      </c>
    </row>
    <row r="5422" spans="1:11" ht="42" customHeight="1">
      <c r="A5422" s="2" t="s">
        <v>12993</v>
      </c>
      <c r="B5422" s="2" t="s">
        <v>12994</v>
      </c>
      <c r="C5422" s="2" t="s">
        <v>17</v>
      </c>
      <c r="D5422" s="2" t="s">
        <v>18</v>
      </c>
      <c r="E5422" s="3" t="s">
        <v>196</v>
      </c>
      <c r="F5422" s="3" t="s">
        <v>197</v>
      </c>
      <c r="G5422" s="3" t="s">
        <v>198</v>
      </c>
      <c r="H5422" s="2" t="s">
        <v>55</v>
      </c>
      <c r="I5422" s="2" t="s">
        <v>12995</v>
      </c>
      <c r="J5422" s="3" t="str">
        <f>HYPERLINK("https://www.boe.es/gazeta/dias/1809/09/04/pdfs/GMD-1809-248.pdf#page=3","Abrir facsímil")</f>
        <v>Abrir facsímil</v>
      </c>
      <c r="K5422" s="3" t="s">
        <v>57</v>
      </c>
    </row>
    <row r="5423" spans="1:11" ht="42" customHeight="1">
      <c r="A5423" s="2" t="s">
        <v>12996</v>
      </c>
      <c r="B5423" s="2" t="s">
        <v>12997</v>
      </c>
      <c r="C5423" s="2" t="s">
        <v>369</v>
      </c>
      <c r="D5423" s="2" t="s">
        <v>18</v>
      </c>
      <c r="E5423" s="3" t="s">
        <v>33</v>
      </c>
      <c r="F5423" s="3" t="s">
        <v>34</v>
      </c>
      <c r="G5423" s="3" t="s">
        <v>595</v>
      </c>
      <c r="H5423" s="2" t="s">
        <v>55</v>
      </c>
      <c r="I5423" s="2" t="s">
        <v>12998</v>
      </c>
      <c r="J5423" s="3" t="str">
        <f>HYPERLINK("https://www.boe.es/gazeta/dias/1809/12/19/pdfs/GGB-1809-602.pdf#page=7","Abrir facsímil")</f>
        <v>Abrir facsímil</v>
      </c>
      <c r="K5423" s="3" t="s">
        <v>57</v>
      </c>
    </row>
    <row r="5424" spans="1:11" ht="42" customHeight="1">
      <c r="A5424" s="2" t="s">
        <v>12999</v>
      </c>
      <c r="B5424" s="2" t="s">
        <v>13000</v>
      </c>
      <c r="C5424" s="2" t="s">
        <v>17</v>
      </c>
      <c r="D5424" s="2" t="s">
        <v>40</v>
      </c>
      <c r="E5424" s="3" t="s">
        <v>635</v>
      </c>
      <c r="F5424" s="3" t="s">
        <v>636</v>
      </c>
      <c r="G5424" s="3" t="s">
        <v>637</v>
      </c>
      <c r="H5424" s="2" t="s">
        <v>55</v>
      </c>
      <c r="I5424" s="2" t="s">
        <v>13001</v>
      </c>
      <c r="J5424" s="3" t="str">
        <f>HYPERLINK("https://www.boe.es/gazeta/dias/1809/12/16/pdfs/GGB-1809-592.pdf#page=6","Abrir facsímil")</f>
        <v>Abrir facsímil</v>
      </c>
      <c r="K5424" s="3" t="s">
        <v>57</v>
      </c>
    </row>
    <row r="5425" spans="1:11" ht="42" customHeight="1">
      <c r="A5425" s="2" t="s">
        <v>13002</v>
      </c>
      <c r="B5425" s="2" t="s">
        <v>13003</v>
      </c>
      <c r="C5425" s="2" t="s">
        <v>25</v>
      </c>
      <c r="D5425" s="2" t="s">
        <v>26</v>
      </c>
      <c r="E5425" s="3" t="s">
        <v>635</v>
      </c>
      <c r="F5425" s="3" t="s">
        <v>636</v>
      </c>
      <c r="G5425" s="3" t="s">
        <v>21</v>
      </c>
      <c r="H5425" s="2" t="s">
        <v>55</v>
      </c>
      <c r="I5425" s="2" t="s">
        <v>13004</v>
      </c>
      <c r="J5425" s="3" t="str">
        <f>HYPERLINK("https://www.boe.es/gazeta/dias/1809/12/16/pdfs/GGB-1809-592.pdf#page=7","Abrir facsímil")</f>
        <v>Abrir facsímil</v>
      </c>
      <c r="K5425" s="3" t="s">
        <v>57</v>
      </c>
    </row>
    <row r="5426" spans="1:11" ht="42" customHeight="1">
      <c r="A5426" s="2" t="s">
        <v>13005</v>
      </c>
      <c r="B5426" s="2" t="s">
        <v>13006</v>
      </c>
      <c r="C5426" s="2" t="s">
        <v>17</v>
      </c>
      <c r="D5426" s="2" t="s">
        <v>18</v>
      </c>
      <c r="E5426" s="3" t="s">
        <v>33</v>
      </c>
      <c r="F5426" s="3" t="s">
        <v>34</v>
      </c>
      <c r="G5426" s="3" t="s">
        <v>595</v>
      </c>
      <c r="H5426" s="2" t="s">
        <v>55</v>
      </c>
      <c r="I5426" s="2" t="s">
        <v>13007</v>
      </c>
      <c r="J5426" s="3" t="str">
        <f>HYPERLINK("https://www.boe.es/gazeta/dias/1809/12/19/pdfs/GGB-1809-602.pdf#page=7","Abrir facsímil")</f>
        <v>Abrir facsímil</v>
      </c>
      <c r="K5426" s="3" t="s">
        <v>57</v>
      </c>
    </row>
    <row r="5427" spans="1:11" ht="42" customHeight="1">
      <c r="A5427" s="2" t="s">
        <v>13008</v>
      </c>
      <c r="B5427" s="2" t="s">
        <v>13009</v>
      </c>
      <c r="C5427" s="2" t="s">
        <v>25</v>
      </c>
      <c r="D5427" s="2" t="s">
        <v>18</v>
      </c>
      <c r="E5427" s="3" t="s">
        <v>695</v>
      </c>
      <c r="F5427" s="3" t="s">
        <v>696</v>
      </c>
      <c r="G5427" s="3" t="s">
        <v>697</v>
      </c>
      <c r="H5427" s="2" t="s">
        <v>55</v>
      </c>
      <c r="I5427" s="2" t="s">
        <v>13010</v>
      </c>
      <c r="J5427" s="3" t="str">
        <f>HYPERLINK("https://www.boe.es/gazeta/dias/1809/10/24/pdfs/GGB-1809-362.pdf#page=6","Abrir facsímil")</f>
        <v>Abrir facsímil</v>
      </c>
      <c r="K5427" s="3" t="s">
        <v>57</v>
      </c>
    </row>
    <row r="5428" spans="1:11" ht="42" customHeight="1">
      <c r="A5428" s="2" t="s">
        <v>13011</v>
      </c>
      <c r="B5428" s="2" t="s">
        <v>13012</v>
      </c>
      <c r="C5428" s="2" t="s">
        <v>25</v>
      </c>
      <c r="D5428" s="2" t="s">
        <v>18</v>
      </c>
      <c r="E5428" s="3" t="s">
        <v>263</v>
      </c>
      <c r="F5428" s="3" t="s">
        <v>264</v>
      </c>
      <c r="G5428" s="3" t="s">
        <v>8145</v>
      </c>
      <c r="H5428" s="2" t="s">
        <v>55</v>
      </c>
      <c r="I5428" s="2" t="s">
        <v>13013</v>
      </c>
      <c r="J5428" s="3" t="str">
        <f>HYPERLINK("https://www.boe.es/gazeta/dias/1809/11/21/pdfs/GGB-1809-482.pdf#page=6","Abrir facsímil")</f>
        <v>Abrir facsímil</v>
      </c>
      <c r="K5428" s="3" t="s">
        <v>57</v>
      </c>
    </row>
    <row r="5429" spans="1:11" ht="42" customHeight="1">
      <c r="A5429" s="2" t="s">
        <v>13014</v>
      </c>
      <c r="B5429" s="2" t="s">
        <v>13015</v>
      </c>
      <c r="C5429" s="2" t="s">
        <v>17</v>
      </c>
      <c r="D5429" s="2" t="s">
        <v>72</v>
      </c>
      <c r="E5429" s="3" t="s">
        <v>864</v>
      </c>
      <c r="F5429" s="3" t="s">
        <v>2291</v>
      </c>
      <c r="G5429" s="3" t="s">
        <v>2292</v>
      </c>
      <c r="H5429" s="2" t="s">
        <v>55</v>
      </c>
      <c r="I5429" s="2" t="s">
        <v>13016</v>
      </c>
      <c r="J5429" s="3" t="str">
        <f>HYPERLINK("https://www.boe.es/gazeta/dias/1809/08/31/pdfs/GGB-H-1809-132.pdf#page=3","Abrir facsímil")</f>
        <v>Abrir facsímil</v>
      </c>
      <c r="K5429" s="3" t="s">
        <v>57</v>
      </c>
    </row>
    <row r="5430" spans="1:11" ht="42" customHeight="1">
      <c r="A5430" s="2" t="s">
        <v>13017</v>
      </c>
      <c r="B5430" s="2" t="s">
        <v>13018</v>
      </c>
      <c r="C5430" s="2" t="s">
        <v>17</v>
      </c>
      <c r="D5430" s="2" t="s">
        <v>72</v>
      </c>
      <c r="E5430" s="3" t="s">
        <v>243</v>
      </c>
      <c r="F5430" s="3" t="s">
        <v>244</v>
      </c>
      <c r="G5430" s="3" t="s">
        <v>110</v>
      </c>
      <c r="H5430" s="2" t="s">
        <v>55</v>
      </c>
      <c r="I5430" s="2" t="s">
        <v>13019</v>
      </c>
      <c r="J5430" s="3" t="str">
        <f>HYPERLINK("https://www.boe.es/gazeta/dias/1809/02/17/pdfs/GGB-G-1809-8.pdf#page=6","Abrir facsímil")</f>
        <v>Abrir facsímil</v>
      </c>
      <c r="K5430" s="3" t="s">
        <v>57</v>
      </c>
    </row>
    <row r="5431" spans="1:11" ht="42" customHeight="1">
      <c r="A5431" s="2" t="s">
        <v>13020</v>
      </c>
      <c r="B5431" s="2" t="s">
        <v>13020</v>
      </c>
      <c r="C5431" s="2" t="s">
        <v>25</v>
      </c>
      <c r="D5431" s="2" t="s">
        <v>18</v>
      </c>
      <c r="E5431" s="3" t="s">
        <v>2818</v>
      </c>
      <c r="F5431" s="3" t="s">
        <v>2819</v>
      </c>
      <c r="G5431" s="3" t="s">
        <v>120</v>
      </c>
      <c r="H5431" s="2" t="s">
        <v>55</v>
      </c>
      <c r="I5431" s="2" t="s">
        <v>13021</v>
      </c>
      <c r="J5431" s="3" t="str">
        <f>HYPERLINK("https://www.boe.es/gazeta/dias/1809/02/03/pdfs/GMD-1809-34.pdf#page=1","Abrir facsímil")</f>
        <v>Abrir facsímil</v>
      </c>
      <c r="K5431" s="3" t="s">
        <v>57</v>
      </c>
    </row>
    <row r="5432" spans="1:11" ht="42" customHeight="1">
      <c r="A5432" s="2" t="s">
        <v>13022</v>
      </c>
      <c r="B5432" s="2" t="s">
        <v>13023</v>
      </c>
      <c r="C5432" s="2" t="s">
        <v>131</v>
      </c>
      <c r="D5432" s="2" t="s">
        <v>18</v>
      </c>
      <c r="E5432" s="3" t="s">
        <v>102</v>
      </c>
      <c r="F5432" s="3" t="s">
        <v>103</v>
      </c>
      <c r="G5432" s="3" t="s">
        <v>1706</v>
      </c>
      <c r="H5432" s="2" t="s">
        <v>55</v>
      </c>
      <c r="I5432" s="2" t="s">
        <v>13024</v>
      </c>
      <c r="J5432" s="3" t="str">
        <f>HYPERLINK("https://www.boe.es/gazeta/dias/1809/09/28/pdfs/GGB-1809-252.pdf#page=5","Abrir facsímil")</f>
        <v>Abrir facsímil</v>
      </c>
      <c r="K5432" s="3" t="s">
        <v>57</v>
      </c>
    </row>
    <row r="5433" spans="1:11" ht="42" customHeight="1">
      <c r="A5433" s="2" t="s">
        <v>13025</v>
      </c>
      <c r="B5433" s="2" t="s">
        <v>13026</v>
      </c>
      <c r="C5433" s="2" t="s">
        <v>39</v>
      </c>
      <c r="D5433" s="2" t="s">
        <v>18</v>
      </c>
      <c r="E5433" s="3" t="s">
        <v>370</v>
      </c>
      <c r="F5433" s="3" t="s">
        <v>371</v>
      </c>
      <c r="G5433" s="3" t="s">
        <v>239</v>
      </c>
      <c r="H5433" s="2" t="s">
        <v>22</v>
      </c>
      <c r="I5433" s="2" t="s">
        <v>13027</v>
      </c>
      <c r="J5433" s="3" t="str">
        <f>HYPERLINK("https://www.boe.es/gazeta/dias/1809/08/20/pdfs/GMD-1809-233.pdf#page=3","Abrir facsímil")</f>
        <v>Abrir facsímil</v>
      </c>
      <c r="K5433" s="3" t="s">
        <v>24</v>
      </c>
    </row>
    <row r="5434" spans="1:11" ht="42" customHeight="1">
      <c r="A5434" s="2" t="s">
        <v>13028</v>
      </c>
      <c r="B5434" s="2" t="s">
        <v>13029</v>
      </c>
      <c r="C5434" s="2" t="s">
        <v>25</v>
      </c>
      <c r="D5434" s="2" t="s">
        <v>26</v>
      </c>
      <c r="E5434" s="3" t="s">
        <v>207</v>
      </c>
      <c r="F5434" s="3" t="s">
        <v>208</v>
      </c>
      <c r="G5434" s="3" t="s">
        <v>209</v>
      </c>
      <c r="H5434" s="2" t="s">
        <v>22</v>
      </c>
      <c r="I5434" s="2" t="s">
        <v>13030</v>
      </c>
      <c r="J5434" s="3" t="str">
        <f>HYPERLINK("https://www.boe.es/gazeta/dias/1809/09/16/pdfs/GMD-1809-260.pdf#page=4","Abrir facsímil")</f>
        <v>Abrir facsímil</v>
      </c>
      <c r="K5434" s="3" t="s">
        <v>24</v>
      </c>
    </row>
    <row r="5435" spans="1:11" ht="42" customHeight="1">
      <c r="A5435" s="2" t="s">
        <v>13031</v>
      </c>
      <c r="B5435" s="2" t="s">
        <v>13032</v>
      </c>
      <c r="C5435" s="2" t="s">
        <v>17</v>
      </c>
      <c r="D5435" s="2" t="s">
        <v>18</v>
      </c>
      <c r="E5435" s="3" t="s">
        <v>229</v>
      </c>
      <c r="F5435" s="3" t="s">
        <v>230</v>
      </c>
      <c r="G5435" s="3" t="s">
        <v>110</v>
      </c>
      <c r="H5435" s="2" t="s">
        <v>22</v>
      </c>
      <c r="I5435" s="2" t="s">
        <v>13033</v>
      </c>
      <c r="J5435" s="3" t="str">
        <f>HYPERLINK("https://www.boe.es/gazeta/dias/1809/02/26/pdfs/GMD-1809-57.pdf#page=2","Abrir facsímil")</f>
        <v>Abrir facsímil</v>
      </c>
      <c r="K5435" s="3" t="s">
        <v>24</v>
      </c>
    </row>
    <row r="5436" spans="1:11" ht="42" customHeight="1">
      <c r="A5436" s="2" t="s">
        <v>13034</v>
      </c>
      <c r="B5436" s="2" t="s">
        <v>13035</v>
      </c>
      <c r="C5436" s="2" t="s">
        <v>25</v>
      </c>
      <c r="D5436" s="2" t="s">
        <v>26</v>
      </c>
      <c r="E5436" s="3" t="s">
        <v>1132</v>
      </c>
      <c r="F5436" s="3" t="s">
        <v>1133</v>
      </c>
      <c r="G5436" s="3" t="s">
        <v>1367</v>
      </c>
      <c r="H5436" s="2" t="s">
        <v>22</v>
      </c>
      <c r="I5436" s="2" t="s">
        <v>13036</v>
      </c>
      <c r="J5436" s="3" t="str">
        <f>HYPERLINK("https://www.boe.es/gazeta/dias/1809/11/11/pdfs/GGB-1809-442.pdf#page=8","Abrir facsímil")</f>
        <v>Abrir facsímil</v>
      </c>
      <c r="K5436" s="3" t="s">
        <v>24</v>
      </c>
    </row>
    <row r="5437" spans="1:11" ht="42" customHeight="1">
      <c r="A5437" s="2" t="s">
        <v>13037</v>
      </c>
      <c r="B5437" s="2" t="s">
        <v>13038</v>
      </c>
      <c r="C5437" s="2" t="s">
        <v>17</v>
      </c>
      <c r="D5437" s="2" t="s">
        <v>18</v>
      </c>
      <c r="E5437" s="3" t="s">
        <v>567</v>
      </c>
      <c r="F5437" s="3" t="s">
        <v>568</v>
      </c>
      <c r="G5437" s="3" t="s">
        <v>569</v>
      </c>
      <c r="H5437" s="2" t="s">
        <v>22</v>
      </c>
      <c r="I5437" s="2" t="s">
        <v>13039</v>
      </c>
      <c r="J5437" s="3" t="str">
        <f>HYPERLINK("https://www.boe.es/gazeta/dias/1809/06/03/pdfs/GMD-1809-154.pdf#page=3","Abrir facsímil")</f>
        <v>Abrir facsímil</v>
      </c>
      <c r="K5437" s="3" t="s">
        <v>24</v>
      </c>
    </row>
    <row r="5438" spans="1:11" ht="42" customHeight="1">
      <c r="A5438" s="2" t="s">
        <v>13040</v>
      </c>
      <c r="B5438" s="2" t="s">
        <v>13041</v>
      </c>
      <c r="C5438" s="2" t="s">
        <v>17</v>
      </c>
      <c r="D5438" s="2" t="s">
        <v>18</v>
      </c>
      <c r="E5438" s="3" t="s">
        <v>33</v>
      </c>
      <c r="F5438" s="3" t="s">
        <v>34</v>
      </c>
      <c r="G5438" s="3" t="s">
        <v>493</v>
      </c>
      <c r="H5438" s="2" t="s">
        <v>22</v>
      </c>
      <c r="I5438" s="2" t="s">
        <v>13042</v>
      </c>
      <c r="J5438" s="3" t="str">
        <f>HYPERLINK("https://www.boe.es/gazeta/dias/1809/12/19/pdfs/GGB-1809-602.pdf#page=6","Abrir facsímil")</f>
        <v>Abrir facsímil</v>
      </c>
      <c r="K5438" s="3" t="s">
        <v>24</v>
      </c>
    </row>
    <row r="5439" spans="1:11" ht="42" customHeight="1">
      <c r="A5439" s="2" t="s">
        <v>13043</v>
      </c>
      <c r="B5439" s="2" t="s">
        <v>13044</v>
      </c>
      <c r="C5439" s="2" t="s">
        <v>47</v>
      </c>
      <c r="D5439" s="2" t="s">
        <v>80</v>
      </c>
      <c r="E5439" s="3" t="s">
        <v>776</v>
      </c>
      <c r="F5439" s="3" t="s">
        <v>1485</v>
      </c>
      <c r="G5439" s="3" t="s">
        <v>120</v>
      </c>
      <c r="H5439" s="2" t="s">
        <v>22</v>
      </c>
      <c r="I5439" s="2" t="s">
        <v>13045</v>
      </c>
      <c r="J5439" s="3" t="str">
        <f>HYPERLINK("https://www.boe.es/gazeta/dias/1809/05/28/pdfs/GGB-1809-31E2.pdf#page=1","Abrir facsímil")</f>
        <v>Abrir facsímil</v>
      </c>
      <c r="K5439" s="3" t="s">
        <v>24</v>
      </c>
    </row>
    <row r="5440" spans="1:11" ht="42" customHeight="1">
      <c r="A5440" s="2" t="s">
        <v>13046</v>
      </c>
      <c r="B5440" s="2" t="s">
        <v>13047</v>
      </c>
      <c r="C5440" s="2" t="s">
        <v>25</v>
      </c>
      <c r="D5440" s="2" t="s">
        <v>72</v>
      </c>
      <c r="E5440" s="3" t="s">
        <v>143</v>
      </c>
      <c r="F5440" s="3" t="s">
        <v>705</v>
      </c>
      <c r="G5440" s="3" t="s">
        <v>260</v>
      </c>
      <c r="H5440" s="2" t="s">
        <v>22</v>
      </c>
      <c r="I5440" s="2" t="s">
        <v>13048</v>
      </c>
      <c r="J5440" s="3" t="str">
        <f>HYPERLINK("https://www.boe.es/gazeta/dias/1809/11/16/pdfs/GGB-H-1809-462.pdf#page=7","Abrir facsímil")</f>
        <v>Abrir facsímil</v>
      </c>
      <c r="K5440" s="3" t="s">
        <v>24</v>
      </c>
    </row>
    <row r="5441" spans="1:11" ht="42" customHeight="1">
      <c r="A5441" s="2" t="s">
        <v>13049</v>
      </c>
      <c r="B5441" s="2" t="s">
        <v>13050</v>
      </c>
      <c r="C5441" s="2" t="s">
        <v>131</v>
      </c>
      <c r="D5441" s="2" t="s">
        <v>18</v>
      </c>
      <c r="E5441" s="3" t="s">
        <v>102</v>
      </c>
      <c r="F5441" s="3" t="s">
        <v>103</v>
      </c>
      <c r="G5441" s="3" t="s">
        <v>1706</v>
      </c>
      <c r="H5441" s="2" t="s">
        <v>22</v>
      </c>
      <c r="I5441" s="2" t="s">
        <v>13051</v>
      </c>
      <c r="J5441" s="3" t="str">
        <f>HYPERLINK("https://www.boe.es/gazeta/dias/1809/09/28/pdfs/GGB-1809-252.pdf#page=5","Abrir facsímil")</f>
        <v>Abrir facsímil</v>
      </c>
      <c r="K5441" s="3" t="s">
        <v>24</v>
      </c>
    </row>
    <row r="5442" spans="1:11" ht="42" customHeight="1">
      <c r="A5442" s="2" t="s">
        <v>13052</v>
      </c>
      <c r="B5442" s="2" t="s">
        <v>13053</v>
      </c>
      <c r="C5442" s="2" t="s">
        <v>131</v>
      </c>
      <c r="D5442" s="2" t="s">
        <v>107</v>
      </c>
      <c r="E5442" s="3" t="s">
        <v>712</v>
      </c>
      <c r="F5442" s="3" t="s">
        <v>713</v>
      </c>
      <c r="G5442" s="3" t="s">
        <v>120</v>
      </c>
      <c r="H5442" s="2" t="s">
        <v>22</v>
      </c>
      <c r="I5442" s="2" t="s">
        <v>13054</v>
      </c>
      <c r="J5442" s="3" t="str">
        <f>HYPERLINK("https://www.boe.es/gazeta/dias/1809/09/10/pdfs/GMD-1809-254.pdf#page=2","Abrir facsímil")</f>
        <v>Abrir facsímil</v>
      </c>
      <c r="K5442" s="3" t="s">
        <v>24</v>
      </c>
    </row>
    <row r="5443" spans="1:11" ht="42" customHeight="1">
      <c r="A5443" s="2" t="s">
        <v>13055</v>
      </c>
      <c r="B5443" s="2" t="s">
        <v>13056</v>
      </c>
      <c r="C5443" s="2" t="s">
        <v>25</v>
      </c>
      <c r="D5443" s="2" t="s">
        <v>18</v>
      </c>
      <c r="E5443" s="3" t="s">
        <v>390</v>
      </c>
      <c r="F5443" s="3" t="s">
        <v>391</v>
      </c>
      <c r="G5443" s="3" t="s">
        <v>3729</v>
      </c>
      <c r="H5443" s="2" t="s">
        <v>22</v>
      </c>
      <c r="I5443" s="2" t="s">
        <v>13057</v>
      </c>
      <c r="J5443" s="3" t="str">
        <f>HYPERLINK("https://www.boe.es/gazeta/dias/1809/10/19/pdfs/GGB-1809-342.pdf#page=7","Abrir facsímil")</f>
        <v>Abrir facsímil</v>
      </c>
      <c r="K5443" s="3" t="s">
        <v>24</v>
      </c>
    </row>
    <row r="5444" spans="1:11" ht="42" customHeight="1">
      <c r="A5444" s="2" t="s">
        <v>13058</v>
      </c>
      <c r="B5444" s="2" t="s">
        <v>13059</v>
      </c>
      <c r="C5444" s="2" t="s">
        <v>25</v>
      </c>
      <c r="D5444" s="2" t="s">
        <v>18</v>
      </c>
      <c r="E5444" s="3" t="s">
        <v>390</v>
      </c>
      <c r="F5444" s="3" t="s">
        <v>391</v>
      </c>
      <c r="G5444" s="3" t="s">
        <v>3729</v>
      </c>
      <c r="H5444" s="2" t="s">
        <v>22</v>
      </c>
      <c r="I5444" s="2" t="s">
        <v>13060</v>
      </c>
      <c r="J5444" s="3" t="str">
        <f>HYPERLINK("https://www.boe.es/gazeta/dias/1809/10/19/pdfs/GGB-1809-342.pdf#page=7","Abrir facsímil")</f>
        <v>Abrir facsímil</v>
      </c>
      <c r="K5444" s="3" t="s">
        <v>24</v>
      </c>
    </row>
    <row r="5445" spans="1:11" ht="42" customHeight="1">
      <c r="A5445" s="2" t="s">
        <v>13061</v>
      </c>
      <c r="B5445" s="2" t="s">
        <v>13062</v>
      </c>
      <c r="C5445" s="2" t="s">
        <v>17</v>
      </c>
      <c r="D5445" s="2" t="s">
        <v>18</v>
      </c>
      <c r="E5445" s="3" t="s">
        <v>523</v>
      </c>
      <c r="F5445" s="3" t="s">
        <v>524</v>
      </c>
      <c r="G5445" s="3" t="s">
        <v>605</v>
      </c>
      <c r="H5445" s="2" t="s">
        <v>22</v>
      </c>
      <c r="I5445" s="2" t="s">
        <v>13063</v>
      </c>
      <c r="J5445" s="3" t="str">
        <f>HYPERLINK("https://www.boe.es/gazeta/dias/1809/02/14/pdfs/GMD-1809-45.pdf#page=2","Abrir facsímil")</f>
        <v>Abrir facsímil</v>
      </c>
      <c r="K5445" s="3" t="s">
        <v>24</v>
      </c>
    </row>
    <row r="5446" spans="1:11" ht="42" customHeight="1">
      <c r="A5446" s="2" t="s">
        <v>13064</v>
      </c>
      <c r="B5446" s="2" t="s">
        <v>13065</v>
      </c>
      <c r="C5446" s="2" t="s">
        <v>17</v>
      </c>
      <c r="D5446" s="2" t="s">
        <v>80</v>
      </c>
      <c r="E5446" s="3" t="s">
        <v>179</v>
      </c>
      <c r="F5446" s="3" t="s">
        <v>180</v>
      </c>
      <c r="G5446" s="3" t="s">
        <v>239</v>
      </c>
      <c r="H5446" s="2" t="s">
        <v>22</v>
      </c>
      <c r="I5446" s="2" t="s">
        <v>13066</v>
      </c>
      <c r="J5446" s="3" t="str">
        <f>HYPERLINK("https://www.boe.es/gazeta/dias/1809/12/08/pdfs/GGB-1809-552E.pdf#page=2","Abrir facsímil")</f>
        <v>Abrir facsímil</v>
      </c>
      <c r="K5446" s="3" t="s">
        <v>24</v>
      </c>
    </row>
    <row r="5447" spans="1:11" ht="42" customHeight="1">
      <c r="A5447" s="2" t="s">
        <v>13067</v>
      </c>
      <c r="B5447" s="2" t="s">
        <v>13068</v>
      </c>
      <c r="C5447" s="2" t="s">
        <v>79</v>
      </c>
      <c r="D5447" s="2" t="s">
        <v>18</v>
      </c>
      <c r="E5447" s="3" t="s">
        <v>102</v>
      </c>
      <c r="F5447" s="3" t="s">
        <v>103</v>
      </c>
      <c r="G5447" s="3" t="s">
        <v>830</v>
      </c>
      <c r="H5447" s="2" t="s">
        <v>22</v>
      </c>
      <c r="I5447" s="2" t="s">
        <v>13069</v>
      </c>
      <c r="J5447" s="3" t="str">
        <f>HYPERLINK("https://www.boe.es/gazeta/dias/1809/09/28/pdfs/GGB-1809-252.pdf#page=7","Abrir facsímil")</f>
        <v>Abrir facsímil</v>
      </c>
      <c r="K5447" s="3" t="s">
        <v>24</v>
      </c>
    </row>
    <row r="5448" spans="1:11" ht="42" customHeight="1">
      <c r="A5448" s="2" t="s">
        <v>13070</v>
      </c>
      <c r="B5448" s="2" t="s">
        <v>13071</v>
      </c>
      <c r="C5448" s="2" t="s">
        <v>17</v>
      </c>
      <c r="D5448" s="2" t="s">
        <v>18</v>
      </c>
      <c r="E5448" s="3" t="s">
        <v>357</v>
      </c>
      <c r="F5448" s="3" t="s">
        <v>358</v>
      </c>
      <c r="G5448" s="3" t="s">
        <v>225</v>
      </c>
      <c r="H5448" s="2" t="s">
        <v>22</v>
      </c>
      <c r="I5448" s="2" t="s">
        <v>13072</v>
      </c>
      <c r="J5448" s="3" t="str">
        <f>HYPERLINK("https://www.boe.es/gazeta/dias/1809/03/20/pdfs/GMD-1809-79.pdf#page=4","Abrir facsímil")</f>
        <v>Abrir facsímil</v>
      </c>
      <c r="K5448" s="3" t="s">
        <v>24</v>
      </c>
    </row>
    <row r="5449" spans="1:11" ht="42" customHeight="1">
      <c r="A5449" s="2" t="s">
        <v>13073</v>
      </c>
      <c r="B5449" s="2" t="s">
        <v>13074</v>
      </c>
      <c r="C5449" s="2" t="s">
        <v>131</v>
      </c>
      <c r="D5449" s="2" t="s">
        <v>18</v>
      </c>
      <c r="E5449" s="3" t="s">
        <v>102</v>
      </c>
      <c r="F5449" s="3" t="s">
        <v>103</v>
      </c>
      <c r="G5449" s="3" t="s">
        <v>1706</v>
      </c>
      <c r="H5449" s="2" t="s">
        <v>22</v>
      </c>
      <c r="I5449" s="2" t="s">
        <v>13075</v>
      </c>
      <c r="J5449" s="3" t="str">
        <f>HYPERLINK("https://www.boe.es/gazeta/dias/1809/09/28/pdfs/GGB-1809-252.pdf#page=5","Abrir facsímil")</f>
        <v>Abrir facsímil</v>
      </c>
      <c r="K5449" s="3" t="s">
        <v>24</v>
      </c>
    </row>
    <row r="5450" spans="1:11" ht="42" customHeight="1">
      <c r="A5450" s="2" t="s">
        <v>13076</v>
      </c>
      <c r="B5450" s="2" t="s">
        <v>13077</v>
      </c>
      <c r="C5450" s="2" t="s">
        <v>288</v>
      </c>
      <c r="D5450" s="2" t="s">
        <v>18</v>
      </c>
      <c r="E5450" s="3" t="s">
        <v>2473</v>
      </c>
      <c r="F5450" s="3" t="s">
        <v>2474</v>
      </c>
      <c r="G5450" s="3" t="s">
        <v>29</v>
      </c>
      <c r="H5450" s="2" t="s">
        <v>22</v>
      </c>
      <c r="I5450" s="2" t="s">
        <v>13078</v>
      </c>
      <c r="J5450" s="3" t="str">
        <f>HYPERLINK("https://www.boe.es/gazeta/dias/1809/02/16/pdfs/GMD-1809-47.pdf#page=3","Abrir facsímil")</f>
        <v>Abrir facsímil</v>
      </c>
      <c r="K5450" s="3" t="s">
        <v>24</v>
      </c>
    </row>
    <row r="5451" spans="1:11" ht="42" customHeight="1">
      <c r="A5451" s="2" t="s">
        <v>13079</v>
      </c>
      <c r="B5451" s="2" t="s">
        <v>13080</v>
      </c>
      <c r="C5451" s="2" t="s">
        <v>25</v>
      </c>
      <c r="D5451" s="2" t="s">
        <v>26</v>
      </c>
      <c r="E5451" s="3" t="s">
        <v>143</v>
      </c>
      <c r="F5451" s="3" t="s">
        <v>705</v>
      </c>
      <c r="G5451" s="3" t="s">
        <v>225</v>
      </c>
      <c r="H5451" s="2" t="s">
        <v>22</v>
      </c>
      <c r="I5451" s="2" t="s">
        <v>13081</v>
      </c>
      <c r="J5451" s="3" t="str">
        <f>HYPERLINK("https://www.boe.es/gazeta/dias/1809/11/16/pdfs/GGB-H-1809-462.pdf#page=4","Abrir facsímil")</f>
        <v>Abrir facsímil</v>
      </c>
      <c r="K5451" s="3" t="s">
        <v>24</v>
      </c>
    </row>
    <row r="5452" spans="1:11" ht="42" customHeight="1">
      <c r="A5452" s="2" t="s">
        <v>13082</v>
      </c>
      <c r="B5452" s="2" t="s">
        <v>13083</v>
      </c>
      <c r="C5452" s="2" t="s">
        <v>39</v>
      </c>
      <c r="D5452" s="2" t="s">
        <v>18</v>
      </c>
      <c r="E5452" s="3" t="s">
        <v>305</v>
      </c>
      <c r="F5452" s="3" t="s">
        <v>306</v>
      </c>
      <c r="G5452" s="3" t="s">
        <v>29</v>
      </c>
      <c r="H5452" s="2" t="s">
        <v>22</v>
      </c>
      <c r="I5452" s="2" t="s">
        <v>13084</v>
      </c>
      <c r="J5452" s="3" t="str">
        <f>HYPERLINK("https://www.boe.es/gazeta/dias/1809/10/20/pdfs/GMD-1809-294.pdf#page=3","Abrir facsímil")</f>
        <v>Abrir facsímil</v>
      </c>
      <c r="K5452" s="3" t="s">
        <v>24</v>
      </c>
    </row>
    <row r="5453" spans="1:11" ht="42" customHeight="1">
      <c r="A5453" s="2" t="s">
        <v>13085</v>
      </c>
      <c r="B5453" s="2" t="s">
        <v>13086</v>
      </c>
      <c r="C5453" s="2" t="s">
        <v>17</v>
      </c>
      <c r="D5453" s="2" t="s">
        <v>18</v>
      </c>
      <c r="E5453" s="3" t="s">
        <v>60</v>
      </c>
      <c r="F5453" s="3" t="s">
        <v>61</v>
      </c>
      <c r="G5453" s="3" t="s">
        <v>62</v>
      </c>
      <c r="H5453" s="2" t="s">
        <v>22</v>
      </c>
      <c r="I5453" s="2" t="s">
        <v>13087</v>
      </c>
      <c r="J5453" s="3" t="str">
        <f>HYPERLINK("https://www.boe.es/gazeta/dias/1809/02/07/pdfs/GMD-1809-38.pdf#page=4","Abrir facsímil")</f>
        <v>Abrir facsímil</v>
      </c>
      <c r="K5453" s="3" t="s">
        <v>24</v>
      </c>
    </row>
    <row r="5454" spans="1:11" ht="42" customHeight="1">
      <c r="A5454" s="2" t="s">
        <v>13088</v>
      </c>
      <c r="B5454" s="2" t="s">
        <v>13089</v>
      </c>
      <c r="C5454" s="2" t="s">
        <v>25</v>
      </c>
      <c r="D5454" s="2" t="s">
        <v>72</v>
      </c>
      <c r="E5454" s="3" t="s">
        <v>143</v>
      </c>
      <c r="F5454" s="3" t="s">
        <v>705</v>
      </c>
      <c r="G5454" s="3" t="s">
        <v>225</v>
      </c>
      <c r="H5454" s="2" t="s">
        <v>22</v>
      </c>
      <c r="I5454" s="2" t="s">
        <v>13090</v>
      </c>
      <c r="J5454" s="3" t="str">
        <f>HYPERLINK("https://www.boe.es/gazeta/dias/1809/11/16/pdfs/GGB-H-1809-462.pdf#page=4","Abrir facsímil")</f>
        <v>Abrir facsímil</v>
      </c>
      <c r="K5454" s="3" t="s">
        <v>24</v>
      </c>
    </row>
    <row r="5455" spans="1:11" ht="42" customHeight="1">
      <c r="A5455" s="2" t="s">
        <v>13091</v>
      </c>
      <c r="B5455" s="2" t="s">
        <v>13092</v>
      </c>
      <c r="C5455" s="2" t="s">
        <v>25</v>
      </c>
      <c r="D5455" s="2" t="s">
        <v>18</v>
      </c>
      <c r="E5455" s="3" t="s">
        <v>2845</v>
      </c>
      <c r="F5455" s="3" t="s">
        <v>2846</v>
      </c>
      <c r="G5455" s="3" t="s">
        <v>467</v>
      </c>
      <c r="H5455" s="2" t="s">
        <v>22</v>
      </c>
      <c r="I5455" s="2" t="s">
        <v>13093</v>
      </c>
      <c r="J5455" s="3" t="str">
        <f>HYPERLINK("https://www.boe.es/gazeta/dias/1809/11/23/pdfs/GGB-1809-492.pdf#page=5","Abrir facsímil")</f>
        <v>Abrir facsímil</v>
      </c>
      <c r="K5455" s="3" t="s">
        <v>24</v>
      </c>
    </row>
    <row r="5456" spans="1:11" ht="42" customHeight="1">
      <c r="A5456" s="2" t="s">
        <v>13094</v>
      </c>
      <c r="B5456" s="2" t="s">
        <v>13095</v>
      </c>
      <c r="C5456" s="2" t="s">
        <v>47</v>
      </c>
      <c r="D5456" s="2" t="s">
        <v>18</v>
      </c>
      <c r="E5456" s="3" t="s">
        <v>305</v>
      </c>
      <c r="F5456" s="3" t="s">
        <v>306</v>
      </c>
      <c r="G5456" s="3" t="s">
        <v>29</v>
      </c>
      <c r="H5456" s="2" t="s">
        <v>22</v>
      </c>
      <c r="I5456" s="2" t="s">
        <v>13096</v>
      </c>
      <c r="J5456" s="3" t="str">
        <f>HYPERLINK("https://www.boe.es/gazeta/dias/1809/10/20/pdfs/GMD-1809-294.pdf#page=3","Abrir facsímil")</f>
        <v>Abrir facsímil</v>
      </c>
      <c r="K5456" s="3" t="s">
        <v>24</v>
      </c>
    </row>
    <row r="5457" spans="1:11" ht="42" customHeight="1">
      <c r="A5457" s="2" t="s">
        <v>13097</v>
      </c>
      <c r="B5457" s="2" t="s">
        <v>13098</v>
      </c>
      <c r="C5457" s="2" t="s">
        <v>131</v>
      </c>
      <c r="D5457" s="2" t="s">
        <v>18</v>
      </c>
      <c r="E5457" s="3" t="s">
        <v>102</v>
      </c>
      <c r="F5457" s="3" t="s">
        <v>103</v>
      </c>
      <c r="G5457" s="3" t="s">
        <v>1706</v>
      </c>
      <c r="H5457" s="2" t="s">
        <v>22</v>
      </c>
      <c r="I5457" s="2" t="s">
        <v>13099</v>
      </c>
      <c r="J5457" s="3" t="str">
        <f>HYPERLINK("https://www.boe.es/gazeta/dias/1809/09/28/pdfs/GGB-1809-252.pdf#page=5","Abrir facsímil")</f>
        <v>Abrir facsímil</v>
      </c>
      <c r="K5457" s="3" t="s">
        <v>24</v>
      </c>
    </row>
    <row r="5458" spans="1:11" ht="42" customHeight="1">
      <c r="A5458" s="2" t="s">
        <v>13100</v>
      </c>
      <c r="B5458" s="2" t="s">
        <v>13101</v>
      </c>
      <c r="C5458" s="2" t="s">
        <v>25</v>
      </c>
      <c r="D5458" s="2" t="s">
        <v>72</v>
      </c>
      <c r="E5458" s="3" t="s">
        <v>216</v>
      </c>
      <c r="F5458" s="3" t="s">
        <v>217</v>
      </c>
      <c r="G5458" s="3" t="s">
        <v>439</v>
      </c>
      <c r="H5458" s="2" t="s">
        <v>22</v>
      </c>
      <c r="I5458" s="2" t="s">
        <v>13102</v>
      </c>
      <c r="J5458" s="3" t="str">
        <f>HYPERLINK("https://www.boe.es/gazeta/dias/1809/12/05/pdfs/GGB-H-1809-542.pdf#page=7","Abrir facsímil")</f>
        <v>Abrir facsímil</v>
      </c>
      <c r="K5458" s="3" t="s">
        <v>24</v>
      </c>
    </row>
    <row r="5459" spans="1:11" ht="42" customHeight="1">
      <c r="A5459" s="2" t="s">
        <v>13103</v>
      </c>
      <c r="B5459" s="2" t="s">
        <v>13104</v>
      </c>
      <c r="C5459" s="2" t="s">
        <v>25</v>
      </c>
      <c r="D5459" s="2" t="s">
        <v>80</v>
      </c>
      <c r="E5459" s="3" t="s">
        <v>755</v>
      </c>
      <c r="F5459" s="3" t="s">
        <v>2335</v>
      </c>
      <c r="G5459" s="3" t="s">
        <v>1646</v>
      </c>
      <c r="H5459" s="2" t="s">
        <v>22</v>
      </c>
      <c r="I5459" s="2" t="s">
        <v>13105</v>
      </c>
      <c r="J5459" s="3" t="str">
        <f>HYPERLINK("https://www.boe.es/gazeta/dias/1809/05/20/pdfs/GGB-1809-29E2.pdf#page=7","Abrir facsímil")</f>
        <v>Abrir facsímil</v>
      </c>
      <c r="K5459" s="3" t="s">
        <v>24</v>
      </c>
    </row>
    <row r="5460" spans="1:11" ht="42" customHeight="1">
      <c r="A5460" s="2" t="s">
        <v>13106</v>
      </c>
      <c r="B5460" s="2" t="s">
        <v>13107</v>
      </c>
      <c r="C5460" s="2" t="s">
        <v>17</v>
      </c>
      <c r="D5460" s="2" t="s">
        <v>18</v>
      </c>
      <c r="E5460" s="3" t="s">
        <v>60</v>
      </c>
      <c r="F5460" s="3" t="s">
        <v>61</v>
      </c>
      <c r="G5460" s="3" t="s">
        <v>62</v>
      </c>
      <c r="H5460" s="2" t="s">
        <v>22</v>
      </c>
      <c r="I5460" s="2" t="s">
        <v>13108</v>
      </c>
      <c r="J5460" s="3" t="str">
        <f>HYPERLINK("https://www.boe.es/gazeta/dias/1809/02/07/pdfs/GMD-1809-38.pdf#page=4","Abrir facsímil")</f>
        <v>Abrir facsímil</v>
      </c>
      <c r="K5460" s="3" t="s">
        <v>24</v>
      </c>
    </row>
    <row r="5461" spans="1:11" ht="42" customHeight="1">
      <c r="A5461" s="2" t="s">
        <v>13109</v>
      </c>
      <c r="B5461" s="2" t="s">
        <v>13110</v>
      </c>
      <c r="C5461" s="2" t="s">
        <v>25</v>
      </c>
      <c r="D5461" s="2" t="s">
        <v>26</v>
      </c>
      <c r="E5461" s="3" t="s">
        <v>695</v>
      </c>
      <c r="F5461" s="3" t="s">
        <v>696</v>
      </c>
      <c r="G5461" s="3" t="s">
        <v>697</v>
      </c>
      <c r="H5461" s="2" t="s">
        <v>22</v>
      </c>
      <c r="I5461" s="2" t="s">
        <v>13111</v>
      </c>
      <c r="J5461" s="3" t="str">
        <f>HYPERLINK("https://www.boe.es/gazeta/dias/1809/10/24/pdfs/GGB-1809-362.pdf#page=6","Abrir facsímil")</f>
        <v>Abrir facsímil</v>
      </c>
      <c r="K5461" s="3" t="s">
        <v>24</v>
      </c>
    </row>
    <row r="5462" spans="1:11" ht="42" customHeight="1">
      <c r="A5462" s="2" t="s">
        <v>13112</v>
      </c>
      <c r="B5462" s="2" t="s">
        <v>13113</v>
      </c>
      <c r="C5462" s="2" t="s">
        <v>17</v>
      </c>
      <c r="D5462" s="2" t="s">
        <v>18</v>
      </c>
      <c r="E5462" s="3" t="s">
        <v>66</v>
      </c>
      <c r="F5462" s="3" t="s">
        <v>793</v>
      </c>
      <c r="G5462" s="3" t="s">
        <v>239</v>
      </c>
      <c r="H5462" s="2" t="s">
        <v>22</v>
      </c>
      <c r="I5462" s="2" t="s">
        <v>13114</v>
      </c>
      <c r="J5462" s="3" t="str">
        <f>HYPERLINK("https://www.boe.es/gazeta/dias/1809/12/30/pdfs/GMD-1809-365.pdf#page=4","Abrir facsímil")</f>
        <v>Abrir facsímil</v>
      </c>
      <c r="K5462" s="3" t="s">
        <v>24</v>
      </c>
    </row>
    <row r="5463" spans="1:11" ht="42" customHeight="1">
      <c r="A5463" s="2" t="s">
        <v>13115</v>
      </c>
      <c r="B5463" s="2" t="s">
        <v>13116</v>
      </c>
      <c r="C5463" s="2" t="s">
        <v>25</v>
      </c>
      <c r="D5463" s="2" t="s">
        <v>72</v>
      </c>
      <c r="E5463" s="3" t="s">
        <v>118</v>
      </c>
      <c r="F5463" s="3" t="s">
        <v>819</v>
      </c>
      <c r="G5463" s="3" t="s">
        <v>2287</v>
      </c>
      <c r="H5463" s="2" t="s">
        <v>22</v>
      </c>
      <c r="I5463" s="2" t="s">
        <v>13117</v>
      </c>
      <c r="J5463" s="3" t="str">
        <f>HYPERLINK("https://www.boe.es/gazeta/dias/1809/09/07/pdfs/GGB-H-1809-162.pdf#page=7","Abrir facsímil")</f>
        <v>Abrir facsímil</v>
      </c>
      <c r="K5463" s="3" t="s">
        <v>24</v>
      </c>
    </row>
    <row r="5464" spans="1:11" ht="42" customHeight="1">
      <c r="A5464" s="2" t="s">
        <v>13118</v>
      </c>
      <c r="B5464" s="2" t="s">
        <v>13119</v>
      </c>
      <c r="C5464" s="2" t="s">
        <v>25</v>
      </c>
      <c r="D5464" s="2" t="s">
        <v>18</v>
      </c>
      <c r="E5464" s="3" t="s">
        <v>589</v>
      </c>
      <c r="F5464" s="3" t="s">
        <v>590</v>
      </c>
      <c r="G5464" s="3" t="s">
        <v>3102</v>
      </c>
      <c r="H5464" s="2" t="s">
        <v>22</v>
      </c>
      <c r="I5464" s="2" t="s">
        <v>13120</v>
      </c>
      <c r="J5464" s="3" t="str">
        <f>HYPERLINK("https://www.boe.es/gazeta/dias/1809/10/05/pdfs/GGB-1809-282.pdf#page=6","Abrir facsímil")</f>
        <v>Abrir facsímil</v>
      </c>
      <c r="K5464" s="3" t="s">
        <v>24</v>
      </c>
    </row>
    <row r="5465" spans="1:11" ht="42" customHeight="1">
      <c r="A5465" s="2" t="s">
        <v>13121</v>
      </c>
      <c r="B5465" s="2" t="s">
        <v>13122</v>
      </c>
      <c r="C5465" s="2" t="s">
        <v>288</v>
      </c>
      <c r="D5465" s="2" t="s">
        <v>18</v>
      </c>
      <c r="E5465" s="3" t="s">
        <v>60</v>
      </c>
      <c r="F5465" s="3" t="s">
        <v>61</v>
      </c>
      <c r="G5465" s="3" t="s">
        <v>62</v>
      </c>
      <c r="H5465" s="2" t="s">
        <v>22</v>
      </c>
      <c r="I5465" s="2" t="s">
        <v>13123</v>
      </c>
      <c r="J5465" s="3" t="str">
        <f>HYPERLINK("https://www.boe.es/gazeta/dias/1809/02/07/pdfs/GMD-1809-38.pdf#page=4","Abrir facsímil")</f>
        <v>Abrir facsímil</v>
      </c>
      <c r="K5465" s="3" t="s">
        <v>24</v>
      </c>
    </row>
    <row r="5466" spans="1:11" ht="42" customHeight="1">
      <c r="A5466" s="2" t="s">
        <v>13124</v>
      </c>
      <c r="B5466" s="2" t="s">
        <v>13125</v>
      </c>
      <c r="C5466" s="2" t="s">
        <v>17</v>
      </c>
      <c r="D5466" s="2" t="s">
        <v>72</v>
      </c>
      <c r="E5466" s="3" t="s">
        <v>216</v>
      </c>
      <c r="F5466" s="3" t="s">
        <v>217</v>
      </c>
      <c r="G5466" s="3" t="s">
        <v>439</v>
      </c>
      <c r="H5466" s="2" t="s">
        <v>22</v>
      </c>
      <c r="I5466" s="2" t="s">
        <v>13126</v>
      </c>
      <c r="J5466" s="3" t="str">
        <f>HYPERLINK("https://www.boe.es/gazeta/dias/1809/12/05/pdfs/GGB-H-1809-542.pdf#page=7","Abrir facsímil")</f>
        <v>Abrir facsímil</v>
      </c>
      <c r="K5466" s="3" t="s">
        <v>24</v>
      </c>
    </row>
    <row r="5467" spans="1:11" ht="42" customHeight="1">
      <c r="A5467" s="2" t="s">
        <v>13127</v>
      </c>
      <c r="B5467" s="2" t="s">
        <v>13128</v>
      </c>
      <c r="C5467" s="2" t="s">
        <v>17</v>
      </c>
      <c r="D5467" s="2" t="s">
        <v>72</v>
      </c>
      <c r="E5467" s="3" t="s">
        <v>294</v>
      </c>
      <c r="F5467" s="3" t="s">
        <v>295</v>
      </c>
      <c r="G5467" s="3" t="s">
        <v>21</v>
      </c>
      <c r="H5467" s="2" t="s">
        <v>22</v>
      </c>
      <c r="I5467" s="2" t="s">
        <v>13129</v>
      </c>
      <c r="J5467" s="3" t="str">
        <f>HYPERLINK("https://www.boe.es/gazeta/dias/1809/09/30/pdfs/GGB-H-1809-262.pdf#page=1","Abrir facsímil")</f>
        <v>Abrir facsímil</v>
      </c>
      <c r="K5467" s="3" t="s">
        <v>24</v>
      </c>
    </row>
    <row r="5468" spans="1:11" ht="42" customHeight="1">
      <c r="A5468" s="2" t="s">
        <v>13130</v>
      </c>
      <c r="B5468" s="2" t="s">
        <v>13131</v>
      </c>
      <c r="C5468" s="2" t="s">
        <v>25</v>
      </c>
      <c r="D5468" s="2" t="s">
        <v>26</v>
      </c>
      <c r="E5468" s="3" t="s">
        <v>695</v>
      </c>
      <c r="F5468" s="3" t="s">
        <v>696</v>
      </c>
      <c r="G5468" s="3" t="s">
        <v>697</v>
      </c>
      <c r="H5468" s="2" t="s">
        <v>22</v>
      </c>
      <c r="I5468" s="2" t="s">
        <v>13132</v>
      </c>
      <c r="J5468" s="3" t="str">
        <f>HYPERLINK("https://www.boe.es/gazeta/dias/1809/10/24/pdfs/GGB-1809-362.pdf#page=6","Abrir facsímil")</f>
        <v>Abrir facsímil</v>
      </c>
      <c r="K5468" s="3" t="s">
        <v>24</v>
      </c>
    </row>
    <row r="5469" spans="1:11" ht="42" customHeight="1">
      <c r="A5469" s="2" t="s">
        <v>13133</v>
      </c>
      <c r="B5469" s="2" t="s">
        <v>13134</v>
      </c>
      <c r="C5469" s="2" t="s">
        <v>25</v>
      </c>
      <c r="D5469" s="2" t="s">
        <v>26</v>
      </c>
      <c r="E5469" s="3" t="s">
        <v>1700</v>
      </c>
      <c r="F5469" s="3" t="s">
        <v>1701</v>
      </c>
      <c r="G5469" s="3" t="s">
        <v>349</v>
      </c>
      <c r="H5469" s="2" t="s">
        <v>22</v>
      </c>
      <c r="I5469" s="2" t="s">
        <v>13135</v>
      </c>
      <c r="J5469" s="3" t="str">
        <f>HYPERLINK("https://www.boe.es/gazeta/dias/1809/01/16/pdfs/GGB-1809-3E.pdf#page=3","Abrir facsímil")</f>
        <v>Abrir facsímil</v>
      </c>
      <c r="K5469" s="3" t="s">
        <v>24</v>
      </c>
    </row>
    <row r="5470" spans="1:11" ht="42" customHeight="1">
      <c r="A5470" s="2" t="s">
        <v>13136</v>
      </c>
      <c r="B5470" s="2" t="s">
        <v>13137</v>
      </c>
      <c r="C5470" s="2" t="s">
        <v>131</v>
      </c>
      <c r="D5470" s="2" t="s">
        <v>40</v>
      </c>
      <c r="E5470" s="3" t="s">
        <v>102</v>
      </c>
      <c r="F5470" s="3" t="s">
        <v>103</v>
      </c>
      <c r="G5470" s="3" t="s">
        <v>3074</v>
      </c>
      <c r="H5470" s="2" t="s">
        <v>22</v>
      </c>
      <c r="I5470" s="2" t="s">
        <v>13138</v>
      </c>
      <c r="J5470" s="3" t="str">
        <f>HYPERLINK("https://www.boe.es/gazeta/dias/1809/09/28/pdfs/GGB-1809-252.pdf#page=4","Abrir facsímil")</f>
        <v>Abrir facsímil</v>
      </c>
      <c r="K5470" s="3" t="s">
        <v>24</v>
      </c>
    </row>
    <row r="5471" spans="1:11" ht="42" customHeight="1">
      <c r="A5471" s="2" t="s">
        <v>13139</v>
      </c>
      <c r="B5471" s="2" t="s">
        <v>13140</v>
      </c>
      <c r="C5471" s="2" t="s">
        <v>25</v>
      </c>
      <c r="D5471" s="2" t="s">
        <v>18</v>
      </c>
      <c r="E5471" s="3" t="s">
        <v>1011</v>
      </c>
      <c r="F5471" s="3" t="s">
        <v>1012</v>
      </c>
      <c r="G5471" s="3" t="s">
        <v>62</v>
      </c>
      <c r="H5471" s="2" t="s">
        <v>22</v>
      </c>
      <c r="I5471" s="2" t="s">
        <v>13141</v>
      </c>
      <c r="J5471" s="3" t="str">
        <f>HYPERLINK("https://www.boe.es/gazeta/dias/1809/08/01/pdfs/GGB-1809-50.pdf#page=7","Abrir facsímil")</f>
        <v>Abrir facsímil</v>
      </c>
      <c r="K5471" s="3" t="s">
        <v>24</v>
      </c>
    </row>
    <row r="5472" spans="1:11" ht="42" customHeight="1">
      <c r="A5472" s="2" t="s">
        <v>13142</v>
      </c>
      <c r="B5472" s="2" t="s">
        <v>13143</v>
      </c>
      <c r="C5472" s="2" t="s">
        <v>25</v>
      </c>
      <c r="D5472" s="2" t="s">
        <v>80</v>
      </c>
      <c r="E5472" s="3" t="s">
        <v>179</v>
      </c>
      <c r="F5472" s="3" t="s">
        <v>180</v>
      </c>
      <c r="G5472" s="3" t="s">
        <v>966</v>
      </c>
      <c r="H5472" s="2" t="s">
        <v>22</v>
      </c>
      <c r="I5472" s="2" t="s">
        <v>13144</v>
      </c>
      <c r="J5472" s="3" t="str">
        <f>HYPERLINK("https://www.boe.es/gazeta/dias/1809/12/08/pdfs/GGB-1809-552E.pdf#page=3","Abrir facsímil")</f>
        <v>Abrir facsímil</v>
      </c>
      <c r="K5472" s="3" t="s">
        <v>24</v>
      </c>
    </row>
    <row r="5473" spans="1:11" ht="42" customHeight="1">
      <c r="A5473" s="2" t="s">
        <v>13142</v>
      </c>
      <c r="B5473" s="2" t="s">
        <v>13143</v>
      </c>
      <c r="C5473" s="2" t="s">
        <v>17</v>
      </c>
      <c r="D5473" s="2" t="s">
        <v>18</v>
      </c>
      <c r="E5473" s="3" t="s">
        <v>33</v>
      </c>
      <c r="F5473" s="3" t="s">
        <v>34</v>
      </c>
      <c r="G5473" s="3" t="s">
        <v>35</v>
      </c>
      <c r="H5473" s="2" t="s">
        <v>22</v>
      </c>
      <c r="I5473" s="2" t="s">
        <v>13145</v>
      </c>
      <c r="J5473" s="3" t="str">
        <f>HYPERLINK("https://www.boe.es/gazeta/dias/1809/12/19/pdfs/GGB-1809-602.pdf#page=5","Abrir facsímil")</f>
        <v>Abrir facsímil</v>
      </c>
      <c r="K5473" s="3" t="s">
        <v>24</v>
      </c>
    </row>
    <row r="5474" spans="1:11" ht="42" customHeight="1">
      <c r="A5474" s="2" t="s">
        <v>13146</v>
      </c>
      <c r="B5474" s="2" t="s">
        <v>13147</v>
      </c>
      <c r="C5474" s="2" t="s">
        <v>25</v>
      </c>
      <c r="D5474" s="2" t="s">
        <v>72</v>
      </c>
      <c r="E5474" s="3" t="s">
        <v>190</v>
      </c>
      <c r="F5474" s="3" t="s">
        <v>3505</v>
      </c>
      <c r="G5474" s="3" t="s">
        <v>120</v>
      </c>
      <c r="H5474" s="2" t="s">
        <v>22</v>
      </c>
      <c r="I5474" s="2" t="s">
        <v>13148</v>
      </c>
      <c r="J5474" s="3" t="str">
        <f>HYPERLINK("https://www.boe.es/gazeta/dias/1809/10/14/pdfs/GGB-H-1809-322.pdf#page=7","Abrir facsímil")</f>
        <v>Abrir facsímil</v>
      </c>
      <c r="K5474" s="3" t="s">
        <v>24</v>
      </c>
    </row>
    <row r="5475" spans="1:11" ht="42" customHeight="1">
      <c r="A5475" s="2" t="s">
        <v>13149</v>
      </c>
      <c r="B5475" s="2" t="s">
        <v>13150</v>
      </c>
      <c r="C5475" s="2" t="s">
        <v>131</v>
      </c>
      <c r="D5475" s="2" t="s">
        <v>18</v>
      </c>
      <c r="E5475" s="3" t="s">
        <v>102</v>
      </c>
      <c r="F5475" s="3" t="s">
        <v>103</v>
      </c>
      <c r="G5475" s="3" t="s">
        <v>1706</v>
      </c>
      <c r="H5475" s="2" t="s">
        <v>22</v>
      </c>
      <c r="I5475" s="2" t="s">
        <v>13151</v>
      </c>
      <c r="J5475" s="3" t="str">
        <f>HYPERLINK("https://www.boe.es/gazeta/dias/1809/09/28/pdfs/GGB-1809-252.pdf#page=5","Abrir facsímil")</f>
        <v>Abrir facsímil</v>
      </c>
      <c r="K5475" s="3" t="s">
        <v>24</v>
      </c>
    </row>
    <row r="5476" spans="1:11" ht="42" customHeight="1">
      <c r="A5476" s="2" t="s">
        <v>13152</v>
      </c>
      <c r="B5476" s="2" t="s">
        <v>13153</v>
      </c>
      <c r="C5476" s="2" t="s">
        <v>47</v>
      </c>
      <c r="D5476" s="2" t="s">
        <v>18</v>
      </c>
      <c r="E5476" s="3" t="s">
        <v>523</v>
      </c>
      <c r="F5476" s="3" t="s">
        <v>524</v>
      </c>
      <c r="G5476" s="3" t="s">
        <v>525</v>
      </c>
      <c r="H5476" s="2" t="s">
        <v>22</v>
      </c>
      <c r="I5476" s="2" t="s">
        <v>13154</v>
      </c>
      <c r="J5476" s="3" t="str">
        <f>HYPERLINK("https://www.boe.es/gazeta/dias/1809/02/14/pdfs/GMD-1809-45.pdf#page=1","Abrir facsímil")</f>
        <v>Abrir facsímil</v>
      </c>
      <c r="K5476" s="3" t="s">
        <v>24</v>
      </c>
    </row>
    <row r="5477" spans="1:11" ht="42" customHeight="1">
      <c r="A5477" s="2" t="s">
        <v>13155</v>
      </c>
      <c r="B5477" s="2" t="s">
        <v>13156</v>
      </c>
      <c r="C5477" s="2" t="s">
        <v>17</v>
      </c>
      <c r="D5477" s="2" t="s">
        <v>18</v>
      </c>
      <c r="E5477" s="3" t="s">
        <v>60</v>
      </c>
      <c r="F5477" s="3" t="s">
        <v>61</v>
      </c>
      <c r="G5477" s="3" t="s">
        <v>62</v>
      </c>
      <c r="H5477" s="2" t="s">
        <v>22</v>
      </c>
      <c r="I5477" s="2" t="s">
        <v>13157</v>
      </c>
      <c r="J5477" s="3" t="str">
        <f>HYPERLINK("https://www.boe.es/gazeta/dias/1809/02/07/pdfs/GMD-1809-38.pdf#page=4","Abrir facsímil")</f>
        <v>Abrir facsímil</v>
      </c>
      <c r="K5477" s="3" t="s">
        <v>24</v>
      </c>
    </row>
    <row r="5478" spans="1:11" ht="42" customHeight="1">
      <c r="A5478" s="2" t="s">
        <v>13158</v>
      </c>
      <c r="B5478" s="2" t="s">
        <v>13159</v>
      </c>
      <c r="C5478" s="2" t="s">
        <v>47</v>
      </c>
      <c r="D5478" s="2" t="s">
        <v>18</v>
      </c>
      <c r="E5478" s="3" t="s">
        <v>60</v>
      </c>
      <c r="F5478" s="3" t="s">
        <v>61</v>
      </c>
      <c r="G5478" s="3" t="s">
        <v>62</v>
      </c>
      <c r="H5478" s="2" t="s">
        <v>22</v>
      </c>
      <c r="I5478" s="2" t="s">
        <v>13160</v>
      </c>
      <c r="J5478" s="3" t="str">
        <f>HYPERLINK("https://www.boe.es/gazeta/dias/1809/02/07/pdfs/GMD-1809-38.pdf#page=4","Abrir facsímil")</f>
        <v>Abrir facsímil</v>
      </c>
      <c r="K5478" s="3" t="s">
        <v>24</v>
      </c>
    </row>
    <row r="5479" spans="1:11" ht="42" customHeight="1">
      <c r="A5479" s="2" t="s">
        <v>13161</v>
      </c>
      <c r="B5479" s="2" t="s">
        <v>13162</v>
      </c>
      <c r="C5479" s="2" t="s">
        <v>47</v>
      </c>
      <c r="D5479" s="2" t="s">
        <v>18</v>
      </c>
      <c r="E5479" s="3" t="s">
        <v>60</v>
      </c>
      <c r="F5479" s="3" t="s">
        <v>61</v>
      </c>
      <c r="G5479" s="3" t="s">
        <v>62</v>
      </c>
      <c r="H5479" s="2" t="s">
        <v>22</v>
      </c>
      <c r="I5479" s="2" t="s">
        <v>13163</v>
      </c>
      <c r="J5479" s="3" t="str">
        <f>HYPERLINK("https://www.boe.es/gazeta/dias/1809/02/07/pdfs/GMD-1809-38.pdf#page=4","Abrir facsímil")</f>
        <v>Abrir facsímil</v>
      </c>
      <c r="K5479" s="3" t="s">
        <v>24</v>
      </c>
    </row>
    <row r="5480" spans="1:11" ht="42" customHeight="1">
      <c r="A5480" s="2" t="s">
        <v>13164</v>
      </c>
      <c r="B5480" s="2" t="s">
        <v>13165</v>
      </c>
      <c r="C5480" s="2" t="s">
        <v>17</v>
      </c>
      <c r="D5480" s="2" t="s">
        <v>18</v>
      </c>
      <c r="E5480" s="3" t="s">
        <v>283</v>
      </c>
      <c r="F5480" s="3" t="s">
        <v>284</v>
      </c>
      <c r="G5480" s="3" t="s">
        <v>21</v>
      </c>
      <c r="H5480" s="2" t="s">
        <v>22</v>
      </c>
      <c r="I5480" s="2" t="s">
        <v>13166</v>
      </c>
      <c r="J5480" s="3" t="str">
        <f>HYPERLINK("https://www.boe.es/gazeta/dias/1809/02/09/pdfs/GMD-1809-40.pdf#page=4","Abrir facsímil")</f>
        <v>Abrir facsímil</v>
      </c>
      <c r="K5480" s="3" t="s">
        <v>24</v>
      </c>
    </row>
    <row r="5481" spans="1:11" ht="42" customHeight="1">
      <c r="A5481" s="2" t="s">
        <v>13167</v>
      </c>
      <c r="B5481" s="2" t="s">
        <v>13168</v>
      </c>
      <c r="C5481" s="2" t="s">
        <v>17</v>
      </c>
      <c r="D5481" s="2" t="s">
        <v>18</v>
      </c>
      <c r="E5481" s="3" t="s">
        <v>13169</v>
      </c>
      <c r="F5481" s="3" t="s">
        <v>13170</v>
      </c>
      <c r="G5481" s="3" t="s">
        <v>29</v>
      </c>
      <c r="H5481" s="2" t="s">
        <v>22</v>
      </c>
      <c r="I5481" s="2" t="s">
        <v>13171</v>
      </c>
      <c r="J5481" s="3" t="str">
        <f>HYPERLINK("https://www.boe.es/gazeta/dias/1809/04/23/pdfs/GMD-1809-113.pdf#page=3","Abrir facsímil")</f>
        <v>Abrir facsímil</v>
      </c>
      <c r="K5481" s="3" t="s">
        <v>24</v>
      </c>
    </row>
    <row r="5482" spans="1:11" ht="42" customHeight="1">
      <c r="A5482" s="2" t="s">
        <v>13172</v>
      </c>
      <c r="B5482" s="2" t="s">
        <v>13173</v>
      </c>
      <c r="C5482" s="2" t="s">
        <v>25</v>
      </c>
      <c r="D5482" s="2" t="s">
        <v>72</v>
      </c>
      <c r="E5482" s="3" t="s">
        <v>118</v>
      </c>
      <c r="F5482" s="3" t="s">
        <v>819</v>
      </c>
      <c r="G5482" s="3" t="s">
        <v>2287</v>
      </c>
      <c r="H5482" s="2" t="s">
        <v>22</v>
      </c>
      <c r="I5482" s="2" t="s">
        <v>13174</v>
      </c>
      <c r="J5482" s="3" t="str">
        <f>HYPERLINK("https://www.boe.es/gazeta/dias/1809/09/07/pdfs/GGB-H-1809-162.pdf#page=7","Abrir facsímil")</f>
        <v>Abrir facsímil</v>
      </c>
      <c r="K5482" s="3" t="s">
        <v>24</v>
      </c>
    </row>
    <row r="5483" spans="1:11" ht="42" customHeight="1">
      <c r="A5483" s="2" t="s">
        <v>13175</v>
      </c>
      <c r="B5483" s="2" t="s">
        <v>13176</v>
      </c>
      <c r="C5483" s="2" t="s">
        <v>25</v>
      </c>
      <c r="D5483" s="2" t="s">
        <v>26</v>
      </c>
      <c r="E5483" s="3" t="s">
        <v>167</v>
      </c>
      <c r="F5483" s="3" t="s">
        <v>168</v>
      </c>
      <c r="G5483" s="3" t="s">
        <v>169</v>
      </c>
      <c r="H5483" s="2" t="s">
        <v>22</v>
      </c>
      <c r="I5483" s="2" t="s">
        <v>13177</v>
      </c>
      <c r="J5483" s="3" t="str">
        <f>HYPERLINK("https://www.boe.es/gazeta/dias/1809/06/19/pdfs/GGB-1809-38.pdf#page=11","Abrir facsímil")</f>
        <v>Abrir facsímil</v>
      </c>
      <c r="K5483" s="3" t="s">
        <v>24</v>
      </c>
    </row>
    <row r="5484" spans="1:11" ht="42" customHeight="1">
      <c r="A5484" s="2" t="s">
        <v>13178</v>
      </c>
      <c r="B5484" s="2" t="s">
        <v>13179</v>
      </c>
      <c r="C5484" s="2" t="s">
        <v>25</v>
      </c>
      <c r="D5484" s="2" t="s">
        <v>26</v>
      </c>
      <c r="E5484" s="3" t="s">
        <v>515</v>
      </c>
      <c r="F5484" s="3" t="s">
        <v>3947</v>
      </c>
      <c r="G5484" s="3" t="s">
        <v>623</v>
      </c>
      <c r="H5484" s="2" t="s">
        <v>22</v>
      </c>
      <c r="I5484" s="2" t="s">
        <v>13180</v>
      </c>
      <c r="J5484" s="3" t="str">
        <f>HYPERLINK("https://www.boe.es/gazeta/dias/1809/09/02/pdfs/GGB-1809-142.pdf#page=6","Abrir facsímil")</f>
        <v>Abrir facsímil</v>
      </c>
      <c r="K5484" s="3" t="s">
        <v>24</v>
      </c>
    </row>
    <row r="5485" spans="1:11" ht="42" customHeight="1">
      <c r="A5485" s="2" t="s">
        <v>13181</v>
      </c>
      <c r="B5485" s="2" t="s">
        <v>13182</v>
      </c>
      <c r="C5485" s="2" t="s">
        <v>17</v>
      </c>
      <c r="D5485" s="2" t="s">
        <v>72</v>
      </c>
      <c r="E5485" s="3" t="s">
        <v>53</v>
      </c>
      <c r="F5485" s="3" t="s">
        <v>1456</v>
      </c>
      <c r="G5485" s="3" t="s">
        <v>120</v>
      </c>
      <c r="H5485" s="2" t="s">
        <v>22</v>
      </c>
      <c r="I5485" s="2" t="s">
        <v>13183</v>
      </c>
      <c r="J5485" s="3" t="str">
        <f>HYPERLINK("https://www.boe.es/gazeta/dias/1809/03/03/pdfs/GGB-G-1809-10.pdf#page=7","Abrir facsímil")</f>
        <v>Abrir facsímil</v>
      </c>
      <c r="K5485" s="3" t="s">
        <v>24</v>
      </c>
    </row>
    <row r="5486" spans="1:11" ht="42" customHeight="1">
      <c r="A5486" s="2" t="s">
        <v>13184</v>
      </c>
      <c r="B5486" s="2" t="s">
        <v>13185</v>
      </c>
      <c r="C5486" s="2" t="s">
        <v>25</v>
      </c>
      <c r="D5486" s="2" t="s">
        <v>80</v>
      </c>
      <c r="E5486" s="3" t="s">
        <v>81</v>
      </c>
      <c r="F5486" s="3" t="s">
        <v>82</v>
      </c>
      <c r="G5486" s="3" t="s">
        <v>120</v>
      </c>
      <c r="H5486" s="2" t="s">
        <v>22</v>
      </c>
      <c r="I5486" s="2" t="s">
        <v>13186</v>
      </c>
      <c r="J5486" s="3" t="str">
        <f>HYPERLINK("https://www.boe.es/gazeta/dias/1809/04/11/pdfs/GGB-1809-16E.pdf#page=5","Abrir facsímil")</f>
        <v>Abrir facsímil</v>
      </c>
      <c r="K5486" s="3" t="s">
        <v>24</v>
      </c>
    </row>
    <row r="5487" spans="1:11" ht="42" customHeight="1">
      <c r="A5487" s="2" t="s">
        <v>13187</v>
      </c>
      <c r="B5487" s="2" t="s">
        <v>13188</v>
      </c>
      <c r="C5487" s="2" t="s">
        <v>17</v>
      </c>
      <c r="D5487" s="2" t="s">
        <v>72</v>
      </c>
      <c r="E5487" s="3" t="s">
        <v>394</v>
      </c>
      <c r="F5487" s="3" t="s">
        <v>395</v>
      </c>
      <c r="G5487" s="3" t="s">
        <v>396</v>
      </c>
      <c r="H5487" s="2" t="s">
        <v>22</v>
      </c>
      <c r="I5487" s="2" t="s">
        <v>13189</v>
      </c>
      <c r="J5487" s="3" t="str">
        <f>HYPERLINK("https://www.boe.es/gazeta/dias/1809/12/14/pdfs/GGB-H-1809-582.pdf#page=2","Abrir facsímil")</f>
        <v>Abrir facsímil</v>
      </c>
      <c r="K5487" s="3" t="s">
        <v>24</v>
      </c>
    </row>
    <row r="5488" spans="1:11" ht="42" customHeight="1">
      <c r="A5488" s="2" t="s">
        <v>13187</v>
      </c>
      <c r="B5488" s="2" t="s">
        <v>13188</v>
      </c>
      <c r="C5488" s="2" t="s">
        <v>17</v>
      </c>
      <c r="D5488" s="2" t="s">
        <v>72</v>
      </c>
      <c r="E5488" s="3" t="s">
        <v>635</v>
      </c>
      <c r="F5488" s="3" t="s">
        <v>2073</v>
      </c>
      <c r="G5488" s="3" t="s">
        <v>239</v>
      </c>
      <c r="H5488" s="2" t="s">
        <v>22</v>
      </c>
      <c r="I5488" s="2" t="s">
        <v>13190</v>
      </c>
      <c r="J5488" s="3" t="str">
        <f>HYPERLINK("https://www.boe.es/gazeta/dias/1809/12/16/pdfs/GGB-H-1809-592.pdf#page=4","Abrir facsímil")</f>
        <v>Abrir facsímil</v>
      </c>
      <c r="K5488" s="3" t="s">
        <v>24</v>
      </c>
    </row>
    <row r="5489" spans="1:11" ht="42" customHeight="1">
      <c r="A5489" s="2" t="s">
        <v>13191</v>
      </c>
      <c r="B5489" s="2" t="s">
        <v>13192</v>
      </c>
      <c r="C5489" s="2" t="s">
        <v>25</v>
      </c>
      <c r="D5489" s="2" t="s">
        <v>72</v>
      </c>
      <c r="E5489" s="3" t="s">
        <v>143</v>
      </c>
      <c r="F5489" s="3" t="s">
        <v>705</v>
      </c>
      <c r="G5489" s="3" t="s">
        <v>110</v>
      </c>
      <c r="H5489" s="2" t="s">
        <v>22</v>
      </c>
      <c r="I5489" s="2" t="s">
        <v>13193</v>
      </c>
      <c r="J5489" s="3" t="str">
        <f>HYPERLINK("https://www.boe.es/gazeta/dias/1809/11/16/pdfs/GGB-H-1809-462.pdf#page=3","Abrir facsímil")</f>
        <v>Abrir facsímil</v>
      </c>
      <c r="K5489" s="3" t="s">
        <v>24</v>
      </c>
    </row>
    <row r="5490" spans="1:11" ht="42" customHeight="1">
      <c r="A5490" s="2" t="s">
        <v>13194</v>
      </c>
      <c r="B5490" s="2" t="s">
        <v>13195</v>
      </c>
      <c r="C5490" s="2" t="s">
        <v>47</v>
      </c>
      <c r="D5490" s="2" t="s">
        <v>18</v>
      </c>
      <c r="E5490" s="3" t="s">
        <v>712</v>
      </c>
      <c r="F5490" s="3" t="s">
        <v>713</v>
      </c>
      <c r="G5490" s="3" t="s">
        <v>120</v>
      </c>
      <c r="H5490" s="2" t="s">
        <v>22</v>
      </c>
      <c r="I5490" s="2" t="s">
        <v>13196</v>
      </c>
      <c r="J5490" s="3" t="str">
        <f>HYPERLINK("https://www.boe.es/gazeta/dias/1809/09/10/pdfs/GMD-1809-254.pdf#page=2","Abrir facsímil")</f>
        <v>Abrir facsímil</v>
      </c>
      <c r="K5490" s="3" t="s">
        <v>24</v>
      </c>
    </row>
    <row r="5491" spans="1:11" ht="42" customHeight="1">
      <c r="A5491" s="2" t="s">
        <v>13197</v>
      </c>
      <c r="B5491" s="2" t="s">
        <v>13198</v>
      </c>
      <c r="C5491" s="2" t="s">
        <v>131</v>
      </c>
      <c r="D5491" s="2" t="s">
        <v>18</v>
      </c>
      <c r="E5491" s="3" t="s">
        <v>102</v>
      </c>
      <c r="F5491" s="3" t="s">
        <v>103</v>
      </c>
      <c r="G5491" s="3" t="s">
        <v>1706</v>
      </c>
      <c r="H5491" s="2" t="s">
        <v>22</v>
      </c>
      <c r="I5491" s="2" t="s">
        <v>13199</v>
      </c>
      <c r="J5491" s="3" t="str">
        <f>HYPERLINK("https://www.boe.es/gazeta/dias/1809/09/28/pdfs/GGB-1809-252.pdf#page=5","Abrir facsímil")</f>
        <v>Abrir facsímil</v>
      </c>
      <c r="K5491" s="3" t="s">
        <v>24</v>
      </c>
    </row>
    <row r="5492" spans="1:11" ht="42" customHeight="1">
      <c r="A5492" s="2" t="s">
        <v>13200</v>
      </c>
      <c r="B5492" s="2" t="s">
        <v>13201</v>
      </c>
      <c r="C5492" s="2" t="s">
        <v>17</v>
      </c>
      <c r="D5492" s="2" t="s">
        <v>18</v>
      </c>
      <c r="E5492" s="3" t="s">
        <v>60</v>
      </c>
      <c r="F5492" s="3" t="s">
        <v>61</v>
      </c>
      <c r="G5492" s="3" t="s">
        <v>62</v>
      </c>
      <c r="H5492" s="2" t="s">
        <v>22</v>
      </c>
      <c r="I5492" s="2" t="s">
        <v>13202</v>
      </c>
      <c r="J5492" s="3" t="str">
        <f>HYPERLINK("https://www.boe.es/gazeta/dias/1809/02/07/pdfs/GMD-1809-38.pdf#page=4","Abrir facsímil")</f>
        <v>Abrir facsímil</v>
      </c>
      <c r="K5492" s="3" t="s">
        <v>24</v>
      </c>
    </row>
    <row r="5493" spans="1:11" ht="42" customHeight="1">
      <c r="A5493" s="2" t="s">
        <v>13203</v>
      </c>
      <c r="B5493" s="2" t="s">
        <v>13204</v>
      </c>
      <c r="C5493" s="2" t="s">
        <v>25</v>
      </c>
      <c r="D5493" s="2" t="s">
        <v>26</v>
      </c>
      <c r="E5493" s="3" t="s">
        <v>216</v>
      </c>
      <c r="F5493" s="3" t="s">
        <v>217</v>
      </c>
      <c r="G5493" s="3" t="s">
        <v>439</v>
      </c>
      <c r="H5493" s="2" t="s">
        <v>22</v>
      </c>
      <c r="I5493" s="2" t="s">
        <v>13205</v>
      </c>
      <c r="J5493" s="3" t="str">
        <f>HYPERLINK("https://www.boe.es/gazeta/dias/1809/12/05/pdfs/GGB-H-1809-542.pdf#page=7","Abrir facsímil")</f>
        <v>Abrir facsímil</v>
      </c>
      <c r="K5493" s="3" t="s">
        <v>24</v>
      </c>
    </row>
    <row r="5494" spans="1:11" ht="42" customHeight="1">
      <c r="A5494" s="2" t="s">
        <v>13206</v>
      </c>
      <c r="B5494" s="2" t="s">
        <v>13207</v>
      </c>
      <c r="C5494" s="2" t="s">
        <v>17</v>
      </c>
      <c r="D5494" s="2" t="s">
        <v>18</v>
      </c>
      <c r="E5494" s="3" t="s">
        <v>771</v>
      </c>
      <c r="F5494" s="3" t="s">
        <v>772</v>
      </c>
      <c r="G5494" s="3" t="s">
        <v>1541</v>
      </c>
      <c r="H5494" s="2" t="s">
        <v>22</v>
      </c>
      <c r="I5494" s="2" t="s">
        <v>13208</v>
      </c>
      <c r="J5494" s="3" t="str">
        <f>HYPERLINK("https://www.boe.es/gazeta/dias/1809/10/31/pdfs/GGB-1809-392.pdf#page=5","Abrir facsímil")</f>
        <v>Abrir facsímil</v>
      </c>
      <c r="K5494" s="3" t="s">
        <v>24</v>
      </c>
    </row>
    <row r="5495" spans="1:11" ht="42" customHeight="1">
      <c r="A5495" s="2" t="s">
        <v>13209</v>
      </c>
      <c r="B5495" s="2" t="s">
        <v>13210</v>
      </c>
      <c r="C5495" s="2" t="s">
        <v>131</v>
      </c>
      <c r="D5495" s="2" t="s">
        <v>18</v>
      </c>
      <c r="E5495" s="3" t="s">
        <v>102</v>
      </c>
      <c r="F5495" s="3" t="s">
        <v>103</v>
      </c>
      <c r="G5495" s="3" t="s">
        <v>1706</v>
      </c>
      <c r="H5495" s="2" t="s">
        <v>22</v>
      </c>
      <c r="I5495" s="2" t="s">
        <v>13211</v>
      </c>
      <c r="J5495" s="3" t="str">
        <f>HYPERLINK("https://www.boe.es/gazeta/dias/1809/09/28/pdfs/GGB-1809-252.pdf#page=5","Abrir facsímil")</f>
        <v>Abrir facsímil</v>
      </c>
      <c r="K5495" s="3" t="s">
        <v>24</v>
      </c>
    </row>
    <row r="5496" spans="1:11" ht="42" customHeight="1">
      <c r="A5496" s="2" t="s">
        <v>13212</v>
      </c>
      <c r="B5496" s="2" t="s">
        <v>13213</v>
      </c>
      <c r="C5496" s="2" t="s">
        <v>131</v>
      </c>
      <c r="D5496" s="2" t="s">
        <v>18</v>
      </c>
      <c r="E5496" s="3" t="s">
        <v>102</v>
      </c>
      <c r="F5496" s="3" t="s">
        <v>103</v>
      </c>
      <c r="G5496" s="3" t="s">
        <v>3074</v>
      </c>
      <c r="H5496" s="2" t="s">
        <v>22</v>
      </c>
      <c r="I5496" s="2" t="s">
        <v>13214</v>
      </c>
      <c r="J5496" s="3" t="str">
        <f>HYPERLINK("https://www.boe.es/gazeta/dias/1809/09/28/pdfs/GGB-1809-252.pdf#page=4","Abrir facsímil")</f>
        <v>Abrir facsímil</v>
      </c>
      <c r="K5496" s="3" t="s">
        <v>24</v>
      </c>
    </row>
    <row r="5497" spans="1:11" ht="42" customHeight="1">
      <c r="A5497" s="2" t="s">
        <v>13215</v>
      </c>
      <c r="B5497" s="2" t="s">
        <v>13216</v>
      </c>
      <c r="C5497" s="2" t="s">
        <v>131</v>
      </c>
      <c r="D5497" s="2" t="s">
        <v>18</v>
      </c>
      <c r="E5497" s="3" t="s">
        <v>102</v>
      </c>
      <c r="F5497" s="3" t="s">
        <v>103</v>
      </c>
      <c r="G5497" s="3" t="s">
        <v>1706</v>
      </c>
      <c r="H5497" s="2" t="s">
        <v>22</v>
      </c>
      <c r="I5497" s="2" t="s">
        <v>13217</v>
      </c>
      <c r="J5497" s="3" t="str">
        <f>HYPERLINK("https://www.boe.es/gazeta/dias/1809/09/28/pdfs/GGB-1809-252.pdf#page=5","Abrir facsímil")</f>
        <v>Abrir facsímil</v>
      </c>
      <c r="K5497" s="3" t="s">
        <v>24</v>
      </c>
    </row>
    <row r="5498" spans="1:11" ht="42" customHeight="1">
      <c r="A5498" s="2" t="s">
        <v>13218</v>
      </c>
      <c r="B5498" s="2" t="s">
        <v>13219</v>
      </c>
      <c r="C5498" s="2" t="s">
        <v>17</v>
      </c>
      <c r="D5498" s="2" t="s">
        <v>18</v>
      </c>
      <c r="E5498" s="3" t="s">
        <v>712</v>
      </c>
      <c r="F5498" s="3" t="s">
        <v>713</v>
      </c>
      <c r="G5498" s="3" t="s">
        <v>154</v>
      </c>
      <c r="H5498" s="2" t="s">
        <v>22</v>
      </c>
      <c r="I5498" s="2" t="s">
        <v>13220</v>
      </c>
      <c r="J5498" s="3" t="str">
        <f>HYPERLINK("https://www.boe.es/gazeta/dias/1809/09/10/pdfs/GMD-1809-254.pdf#page=3","Abrir facsímil")</f>
        <v>Abrir facsímil</v>
      </c>
      <c r="K5498" s="3" t="s">
        <v>24</v>
      </c>
    </row>
    <row r="5499" spans="1:11" ht="42" customHeight="1">
      <c r="A5499" s="2" t="s">
        <v>13221</v>
      </c>
      <c r="B5499" s="2" t="s">
        <v>13222</v>
      </c>
      <c r="C5499" s="2" t="s">
        <v>288</v>
      </c>
      <c r="D5499" s="2" t="s">
        <v>18</v>
      </c>
      <c r="E5499" s="3" t="s">
        <v>60</v>
      </c>
      <c r="F5499" s="3" t="s">
        <v>61</v>
      </c>
      <c r="G5499" s="3" t="s">
        <v>62</v>
      </c>
      <c r="H5499" s="2" t="s">
        <v>22</v>
      </c>
      <c r="I5499" s="2" t="s">
        <v>13223</v>
      </c>
      <c r="J5499" s="3" t="str">
        <f>HYPERLINK("https://www.boe.es/gazeta/dias/1809/02/07/pdfs/GMD-1809-38.pdf#page=4","Abrir facsímil")</f>
        <v>Abrir facsímil</v>
      </c>
      <c r="K5499" s="3" t="s">
        <v>24</v>
      </c>
    </row>
    <row r="5500" spans="1:11" ht="42" customHeight="1">
      <c r="A5500" s="2" t="s">
        <v>13224</v>
      </c>
      <c r="B5500" s="2" t="s">
        <v>13225</v>
      </c>
      <c r="C5500" s="2" t="s">
        <v>39</v>
      </c>
      <c r="D5500" s="2" t="s">
        <v>18</v>
      </c>
      <c r="E5500" s="3" t="s">
        <v>283</v>
      </c>
      <c r="F5500" s="3" t="s">
        <v>284</v>
      </c>
      <c r="G5500" s="3" t="s">
        <v>21</v>
      </c>
      <c r="H5500" s="2" t="s">
        <v>22</v>
      </c>
      <c r="I5500" s="2" t="s">
        <v>13226</v>
      </c>
      <c r="J5500" s="3" t="str">
        <f>HYPERLINK("https://www.boe.es/gazeta/dias/1809/02/09/pdfs/GMD-1809-40.pdf#page=4","Abrir facsímil")</f>
        <v>Abrir facsímil</v>
      </c>
      <c r="K5500" s="3" t="s">
        <v>24</v>
      </c>
    </row>
    <row r="5501" spans="1:11" ht="42" customHeight="1">
      <c r="A5501" s="2" t="s">
        <v>13227</v>
      </c>
      <c r="B5501" s="2" t="s">
        <v>13228</v>
      </c>
      <c r="C5501" s="2" t="s">
        <v>17</v>
      </c>
      <c r="D5501" s="2" t="s">
        <v>18</v>
      </c>
      <c r="E5501" s="3" t="s">
        <v>712</v>
      </c>
      <c r="F5501" s="3" t="s">
        <v>713</v>
      </c>
      <c r="G5501" s="3" t="s">
        <v>120</v>
      </c>
      <c r="H5501" s="2" t="s">
        <v>22</v>
      </c>
      <c r="I5501" s="2" t="s">
        <v>13229</v>
      </c>
      <c r="J5501" s="3" t="str">
        <f>HYPERLINK("https://www.boe.es/gazeta/dias/1809/09/10/pdfs/GMD-1809-254.pdf#page=2","Abrir facsímil")</f>
        <v>Abrir facsímil</v>
      </c>
      <c r="K5501" s="3" t="s">
        <v>24</v>
      </c>
    </row>
    <row r="5502" spans="1:11" ht="42" customHeight="1">
      <c r="A5502" s="2" t="s">
        <v>13230</v>
      </c>
      <c r="B5502" s="2" t="s">
        <v>13231</v>
      </c>
      <c r="C5502" s="2" t="s">
        <v>17</v>
      </c>
      <c r="D5502" s="2" t="s">
        <v>18</v>
      </c>
      <c r="E5502" s="3" t="s">
        <v>442</v>
      </c>
      <c r="F5502" s="3" t="s">
        <v>2171</v>
      </c>
      <c r="G5502" s="3" t="s">
        <v>2172</v>
      </c>
      <c r="H5502" s="2" t="s">
        <v>22</v>
      </c>
      <c r="I5502" s="2" t="s">
        <v>13232</v>
      </c>
      <c r="J5502" s="3" t="str">
        <f>HYPERLINK("https://www.boe.es/gazeta/dias/1809/09/05/pdfs/GMD-1809-249.pdf#page=4","Abrir facsímil")</f>
        <v>Abrir facsímil</v>
      </c>
      <c r="K5502" s="3" t="s">
        <v>24</v>
      </c>
    </row>
    <row r="5503" spans="1:11" ht="42" customHeight="1">
      <c r="A5503" s="2" t="s">
        <v>13233</v>
      </c>
      <c r="B5503" s="2" t="s">
        <v>13234</v>
      </c>
      <c r="C5503" s="2" t="s">
        <v>17</v>
      </c>
      <c r="D5503" s="2" t="s">
        <v>18</v>
      </c>
      <c r="E5503" s="3" t="s">
        <v>523</v>
      </c>
      <c r="F5503" s="3" t="s">
        <v>524</v>
      </c>
      <c r="G5503" s="3" t="s">
        <v>525</v>
      </c>
      <c r="H5503" s="2" t="s">
        <v>22</v>
      </c>
      <c r="I5503" s="2" t="s">
        <v>13235</v>
      </c>
      <c r="J5503" s="3" t="str">
        <f>HYPERLINK("https://www.boe.es/gazeta/dias/1809/02/14/pdfs/GMD-1809-45.pdf#page=1","Abrir facsímil")</f>
        <v>Abrir facsímil</v>
      </c>
      <c r="K5503" s="3" t="s">
        <v>24</v>
      </c>
    </row>
    <row r="5504" spans="1:11" ht="42" customHeight="1">
      <c r="A5504" s="2" t="s">
        <v>13236</v>
      </c>
      <c r="B5504" s="2" t="s">
        <v>13237</v>
      </c>
      <c r="C5504" s="2" t="s">
        <v>17</v>
      </c>
      <c r="D5504" s="2" t="s">
        <v>18</v>
      </c>
      <c r="E5504" s="3" t="s">
        <v>4389</v>
      </c>
      <c r="F5504" s="3" t="s">
        <v>4390</v>
      </c>
      <c r="G5504" s="3" t="s">
        <v>4391</v>
      </c>
      <c r="H5504" s="2" t="s">
        <v>22</v>
      </c>
      <c r="I5504" s="2" t="s">
        <v>13238</v>
      </c>
      <c r="J5504" s="3" t="str">
        <f>HYPERLINK("https://www.boe.es/gazeta/dias/1809/02/06/pdfs/GMD-1809-37.pdf#page=4","Abrir facsímil")</f>
        <v>Abrir facsímil</v>
      </c>
      <c r="K5504" s="3" t="s">
        <v>24</v>
      </c>
    </row>
    <row r="5505" spans="1:11" ht="42" customHeight="1">
      <c r="A5505" s="2" t="s">
        <v>13239</v>
      </c>
      <c r="B5505" s="2" t="s">
        <v>13240</v>
      </c>
      <c r="C5505" s="2" t="s">
        <v>17</v>
      </c>
      <c r="D5505" s="2" t="s">
        <v>18</v>
      </c>
      <c r="E5505" s="3" t="s">
        <v>102</v>
      </c>
      <c r="F5505" s="3" t="s">
        <v>103</v>
      </c>
      <c r="G5505" s="3" t="s">
        <v>1091</v>
      </c>
      <c r="H5505" s="2" t="s">
        <v>22</v>
      </c>
      <c r="I5505" s="2" t="s">
        <v>13241</v>
      </c>
      <c r="J5505" s="3" t="str">
        <f>HYPERLINK("https://www.boe.es/gazeta/dias/1809/09/28/pdfs/GGB-1809-252.pdf#page=6","Abrir facsímil")</f>
        <v>Abrir facsímil</v>
      </c>
      <c r="K5505" s="3" t="s">
        <v>24</v>
      </c>
    </row>
    <row r="5506" spans="1:11" ht="42" customHeight="1">
      <c r="A5506" s="2" t="s">
        <v>13242</v>
      </c>
      <c r="B5506" s="2" t="s">
        <v>13243</v>
      </c>
      <c r="C5506" s="2" t="s">
        <v>17</v>
      </c>
      <c r="D5506" s="2" t="s">
        <v>18</v>
      </c>
      <c r="E5506" s="3" t="s">
        <v>523</v>
      </c>
      <c r="F5506" s="3" t="s">
        <v>524</v>
      </c>
      <c r="G5506" s="3" t="s">
        <v>605</v>
      </c>
      <c r="H5506" s="2" t="s">
        <v>22</v>
      </c>
      <c r="I5506" s="2" t="s">
        <v>13244</v>
      </c>
      <c r="J5506" s="3" t="str">
        <f>HYPERLINK("https://www.boe.es/gazeta/dias/1809/02/14/pdfs/GMD-1809-45.pdf#page=2","Abrir facsímil")</f>
        <v>Abrir facsímil</v>
      </c>
      <c r="K5506" s="3" t="s">
        <v>24</v>
      </c>
    </row>
    <row r="5507" spans="1:11" ht="42" customHeight="1">
      <c r="A5507" s="2" t="s">
        <v>13245</v>
      </c>
      <c r="B5507" s="2" t="s">
        <v>13246</v>
      </c>
      <c r="C5507" s="2" t="s">
        <v>131</v>
      </c>
      <c r="D5507" s="2" t="s">
        <v>18</v>
      </c>
      <c r="E5507" s="3" t="s">
        <v>102</v>
      </c>
      <c r="F5507" s="3" t="s">
        <v>103</v>
      </c>
      <c r="G5507" s="3" t="s">
        <v>1706</v>
      </c>
      <c r="H5507" s="2" t="s">
        <v>22</v>
      </c>
      <c r="I5507" s="2" t="s">
        <v>13247</v>
      </c>
      <c r="J5507" s="3" t="str">
        <f>HYPERLINK("https://www.boe.es/gazeta/dias/1809/09/28/pdfs/GGB-1809-252.pdf#page=5","Abrir facsímil")</f>
        <v>Abrir facsímil</v>
      </c>
      <c r="K5507" s="3" t="s">
        <v>24</v>
      </c>
    </row>
    <row r="5508" spans="1:11" ht="42" customHeight="1">
      <c r="A5508" s="2" t="s">
        <v>13248</v>
      </c>
      <c r="B5508" s="2" t="s">
        <v>13249</v>
      </c>
      <c r="C5508" s="2" t="s">
        <v>17</v>
      </c>
      <c r="D5508" s="2" t="s">
        <v>18</v>
      </c>
      <c r="E5508" s="3" t="s">
        <v>102</v>
      </c>
      <c r="F5508" s="3" t="s">
        <v>103</v>
      </c>
      <c r="G5508" s="3" t="s">
        <v>1091</v>
      </c>
      <c r="H5508" s="2" t="s">
        <v>22</v>
      </c>
      <c r="I5508" s="2" t="s">
        <v>13250</v>
      </c>
      <c r="J5508" s="3" t="str">
        <f>HYPERLINK("https://www.boe.es/gazeta/dias/1809/09/28/pdfs/GGB-1809-252.pdf#page=6","Abrir facsímil")</f>
        <v>Abrir facsímil</v>
      </c>
      <c r="K5508" s="3" t="s">
        <v>24</v>
      </c>
    </row>
    <row r="5509" spans="1:11" ht="42" customHeight="1">
      <c r="A5509" s="2" t="s">
        <v>13251</v>
      </c>
      <c r="B5509" s="2" t="s">
        <v>13252</v>
      </c>
      <c r="C5509" s="2" t="s">
        <v>25</v>
      </c>
      <c r="D5509" s="2" t="s">
        <v>18</v>
      </c>
      <c r="E5509" s="3" t="s">
        <v>864</v>
      </c>
      <c r="F5509" s="3" t="s">
        <v>2684</v>
      </c>
      <c r="G5509" s="3" t="s">
        <v>5571</v>
      </c>
      <c r="H5509" s="2" t="s">
        <v>22</v>
      </c>
      <c r="I5509" s="2" t="s">
        <v>13253</v>
      </c>
      <c r="J5509" s="3" t="str">
        <f>HYPERLINK("https://www.boe.es/gazeta/dias/1809/08/31/pdfs/GGB-1809-132.pdf#page=7","Abrir facsímil")</f>
        <v>Abrir facsímil</v>
      </c>
      <c r="K5509" s="3" t="s">
        <v>24</v>
      </c>
    </row>
    <row r="5510" spans="1:11" ht="42" customHeight="1">
      <c r="A5510" s="2" t="s">
        <v>13254</v>
      </c>
      <c r="B5510" s="2" t="s">
        <v>13255</v>
      </c>
      <c r="C5510" s="2" t="s">
        <v>25</v>
      </c>
      <c r="D5510" s="2" t="s">
        <v>72</v>
      </c>
      <c r="E5510" s="3" t="s">
        <v>143</v>
      </c>
      <c r="F5510" s="3" t="s">
        <v>705</v>
      </c>
      <c r="G5510" s="3" t="s">
        <v>225</v>
      </c>
      <c r="H5510" s="2" t="s">
        <v>22</v>
      </c>
      <c r="I5510" s="2" t="s">
        <v>13256</v>
      </c>
      <c r="J5510" s="3" t="str">
        <f>HYPERLINK("https://www.boe.es/gazeta/dias/1809/11/16/pdfs/GGB-H-1809-462.pdf#page=4","Abrir facsímil")</f>
        <v>Abrir facsímil</v>
      </c>
      <c r="K5510" s="3" t="s">
        <v>24</v>
      </c>
    </row>
    <row r="5511" spans="1:11" ht="42" customHeight="1">
      <c r="A5511" s="2" t="s">
        <v>13257</v>
      </c>
      <c r="B5511" s="2" t="s">
        <v>13258</v>
      </c>
      <c r="C5511" s="2" t="s">
        <v>39</v>
      </c>
      <c r="D5511" s="2" t="s">
        <v>18</v>
      </c>
      <c r="E5511" s="3" t="s">
        <v>712</v>
      </c>
      <c r="F5511" s="3" t="s">
        <v>713</v>
      </c>
      <c r="G5511" s="3" t="s">
        <v>154</v>
      </c>
      <c r="H5511" s="2" t="s">
        <v>22</v>
      </c>
      <c r="I5511" s="2" t="s">
        <v>13259</v>
      </c>
      <c r="J5511" s="3" t="str">
        <f>HYPERLINK("https://www.boe.es/gazeta/dias/1809/09/10/pdfs/GMD-1809-254.pdf#page=3","Abrir facsímil")</f>
        <v>Abrir facsímil</v>
      </c>
      <c r="K5511" s="3" t="s">
        <v>24</v>
      </c>
    </row>
    <row r="5512" spans="1:11" ht="42" customHeight="1">
      <c r="A5512" s="2" t="s">
        <v>13260</v>
      </c>
      <c r="B5512" s="2" t="s">
        <v>13261</v>
      </c>
      <c r="C5512" s="2" t="s">
        <v>17</v>
      </c>
      <c r="D5512" s="2" t="s">
        <v>18</v>
      </c>
      <c r="E5512" s="3" t="s">
        <v>720</v>
      </c>
      <c r="F5512" s="3" t="s">
        <v>2177</v>
      </c>
      <c r="G5512" s="3" t="s">
        <v>270</v>
      </c>
      <c r="H5512" s="2" t="s">
        <v>22</v>
      </c>
      <c r="I5512" s="2" t="s">
        <v>13262</v>
      </c>
      <c r="J5512" s="3" t="str">
        <f>HYPERLINK("https://www.boe.es/gazeta/dias/1809/01/27/pdfs/GGB-1809-5.pdf#page=6","Abrir facsímil")</f>
        <v>Abrir facsímil</v>
      </c>
      <c r="K5512" s="3" t="s">
        <v>24</v>
      </c>
    </row>
    <row r="5513" spans="1:11" ht="42" customHeight="1">
      <c r="A5513" s="2" t="s">
        <v>13263</v>
      </c>
      <c r="B5513" s="2" t="s">
        <v>13264</v>
      </c>
      <c r="C5513" s="2" t="s">
        <v>25</v>
      </c>
      <c r="D5513" s="2" t="s">
        <v>26</v>
      </c>
      <c r="E5513" s="3" t="s">
        <v>3714</v>
      </c>
      <c r="F5513" s="3" t="s">
        <v>3715</v>
      </c>
      <c r="G5513" s="3" t="s">
        <v>225</v>
      </c>
      <c r="H5513" s="2" t="s">
        <v>22</v>
      </c>
      <c r="I5513" s="2" t="s">
        <v>13265</v>
      </c>
      <c r="J5513" s="3" t="str">
        <f>HYPERLINK("https://www.boe.es/gazeta/dias/1809/12/07/pdfs/GMD-1809-342.pdf#page=4","Abrir facsímil")</f>
        <v>Abrir facsímil</v>
      </c>
      <c r="K5513" s="3" t="s">
        <v>24</v>
      </c>
    </row>
    <row r="5514" spans="1:11" ht="42" customHeight="1">
      <c r="A5514" s="2" t="s">
        <v>13266</v>
      </c>
      <c r="B5514" s="2" t="s">
        <v>13267</v>
      </c>
      <c r="C5514" s="2" t="s">
        <v>17</v>
      </c>
      <c r="D5514" s="2" t="s">
        <v>18</v>
      </c>
      <c r="E5514" s="3" t="s">
        <v>1898</v>
      </c>
      <c r="F5514" s="3" t="s">
        <v>1970</v>
      </c>
      <c r="G5514" s="3" t="s">
        <v>154</v>
      </c>
      <c r="H5514" s="2" t="s">
        <v>22</v>
      </c>
      <c r="I5514" s="2" t="s">
        <v>13268</v>
      </c>
      <c r="J5514" s="3" t="str">
        <f>HYPERLINK("https://www.boe.es/gazeta/dias/1809/12/02/pdfs/GMD-1809-337.pdf#page=4","Abrir facsímil")</f>
        <v>Abrir facsímil</v>
      </c>
      <c r="K5514" s="3" t="s">
        <v>24</v>
      </c>
    </row>
    <row r="5515" spans="1:11" ht="42" customHeight="1">
      <c r="A5515" s="2" t="s">
        <v>13269</v>
      </c>
      <c r="B5515" s="2" t="s">
        <v>13270</v>
      </c>
      <c r="C5515" s="2" t="s">
        <v>25</v>
      </c>
      <c r="D5515" s="2" t="s">
        <v>26</v>
      </c>
      <c r="E5515" s="3" t="s">
        <v>1396</v>
      </c>
      <c r="F5515" s="3" t="s">
        <v>1397</v>
      </c>
      <c r="G5515" s="3" t="s">
        <v>1398</v>
      </c>
      <c r="H5515" s="2" t="s">
        <v>22</v>
      </c>
      <c r="I5515" s="2" t="s">
        <v>13271</v>
      </c>
      <c r="J5515" s="3" t="str">
        <f>HYPERLINK("https://www.boe.es/gazeta/dias/1809/11/28/pdfs/GGB-1809-512.pdf#page=7","Abrir facsímil")</f>
        <v>Abrir facsímil</v>
      </c>
      <c r="K5515" s="3" t="s">
        <v>24</v>
      </c>
    </row>
    <row r="5516" spans="1:11" ht="42" customHeight="1">
      <c r="A5516" s="2" t="s">
        <v>13272</v>
      </c>
      <c r="B5516" s="2" t="s">
        <v>13273</v>
      </c>
      <c r="C5516" s="2" t="s">
        <v>17</v>
      </c>
      <c r="D5516" s="2" t="s">
        <v>18</v>
      </c>
      <c r="E5516" s="3" t="s">
        <v>283</v>
      </c>
      <c r="F5516" s="3" t="s">
        <v>284</v>
      </c>
      <c r="G5516" s="3" t="s">
        <v>21</v>
      </c>
      <c r="H5516" s="2" t="s">
        <v>22</v>
      </c>
      <c r="I5516" s="2" t="s">
        <v>13274</v>
      </c>
      <c r="J5516" s="3" t="str">
        <f>HYPERLINK("https://www.boe.es/gazeta/dias/1809/02/09/pdfs/GMD-1809-40.pdf#page=4","Abrir facsímil")</f>
        <v>Abrir facsímil</v>
      </c>
      <c r="K5516" s="3" t="s">
        <v>24</v>
      </c>
    </row>
    <row r="5517" spans="1:11" ht="42" customHeight="1">
      <c r="A5517" s="2" t="s">
        <v>13275</v>
      </c>
      <c r="B5517" s="2" t="s">
        <v>13276</v>
      </c>
      <c r="C5517" s="2" t="s">
        <v>131</v>
      </c>
      <c r="D5517" s="2" t="s">
        <v>18</v>
      </c>
      <c r="E5517" s="3" t="s">
        <v>2473</v>
      </c>
      <c r="F5517" s="3" t="s">
        <v>2474</v>
      </c>
      <c r="G5517" s="3" t="s">
        <v>270</v>
      </c>
      <c r="H5517" s="2" t="s">
        <v>22</v>
      </c>
      <c r="I5517" s="2" t="s">
        <v>13277</v>
      </c>
      <c r="J5517" s="3" t="str">
        <f>HYPERLINK("https://www.boe.es/gazeta/dias/1809/02/16/pdfs/GMD-1809-47.pdf#page=4","Abrir facsímil")</f>
        <v>Abrir facsímil</v>
      </c>
      <c r="K5517" s="3" t="s">
        <v>24</v>
      </c>
    </row>
    <row r="5518" spans="1:11" ht="42" customHeight="1">
      <c r="A5518" s="2" t="s">
        <v>13278</v>
      </c>
      <c r="B5518" s="2" t="s">
        <v>13279</v>
      </c>
      <c r="C5518" s="2" t="s">
        <v>17</v>
      </c>
      <c r="D5518" s="2" t="s">
        <v>18</v>
      </c>
      <c r="E5518" s="3" t="s">
        <v>60</v>
      </c>
      <c r="F5518" s="3" t="s">
        <v>61</v>
      </c>
      <c r="G5518" s="3" t="s">
        <v>62</v>
      </c>
      <c r="H5518" s="2" t="s">
        <v>22</v>
      </c>
      <c r="I5518" s="2" t="s">
        <v>13280</v>
      </c>
      <c r="J5518" s="3" t="str">
        <f>HYPERLINK("https://www.boe.es/gazeta/dias/1809/02/07/pdfs/GMD-1809-38.pdf#page=4","Abrir facsímil")</f>
        <v>Abrir facsímil</v>
      </c>
      <c r="K5518" s="3" t="s">
        <v>24</v>
      </c>
    </row>
    <row r="5519" spans="1:11" ht="42" customHeight="1">
      <c r="A5519" s="2" t="s">
        <v>13281</v>
      </c>
      <c r="B5519" s="2" t="s">
        <v>13282</v>
      </c>
      <c r="C5519" s="2" t="s">
        <v>17</v>
      </c>
      <c r="D5519" s="2" t="s">
        <v>18</v>
      </c>
      <c r="E5519" s="3" t="s">
        <v>102</v>
      </c>
      <c r="F5519" s="3" t="s">
        <v>103</v>
      </c>
      <c r="G5519" s="3" t="s">
        <v>1706</v>
      </c>
      <c r="H5519" s="2" t="s">
        <v>22</v>
      </c>
      <c r="I5519" s="2" t="s">
        <v>13283</v>
      </c>
      <c r="J5519" s="3" t="str">
        <f>HYPERLINK("https://www.boe.es/gazeta/dias/1809/09/28/pdfs/GGB-1809-252.pdf#page=5","Abrir facsímil")</f>
        <v>Abrir facsímil</v>
      </c>
      <c r="K5519" s="3" t="s">
        <v>24</v>
      </c>
    </row>
    <row r="5520" spans="1:11" ht="42" customHeight="1">
      <c r="A5520" s="2" t="s">
        <v>13284</v>
      </c>
      <c r="B5520" s="2" t="s">
        <v>13285</v>
      </c>
      <c r="C5520" s="2" t="s">
        <v>25</v>
      </c>
      <c r="D5520" s="2" t="s">
        <v>26</v>
      </c>
      <c r="E5520" s="3" t="s">
        <v>904</v>
      </c>
      <c r="F5520" s="3" t="s">
        <v>905</v>
      </c>
      <c r="G5520" s="3" t="s">
        <v>62</v>
      </c>
      <c r="H5520" s="2" t="s">
        <v>22</v>
      </c>
      <c r="I5520" s="2" t="s">
        <v>13286</v>
      </c>
      <c r="J5520" s="3" t="str">
        <f>HYPERLINK("https://www.boe.es/gazeta/dias/1809/07/07/pdfs/GGB-1809-43.pdf#page=9","Abrir facsímil")</f>
        <v>Abrir facsímil</v>
      </c>
      <c r="K5520" s="3" t="s">
        <v>24</v>
      </c>
    </row>
    <row r="5521" spans="1:11" ht="42" customHeight="1">
      <c r="A5521" s="2" t="s">
        <v>13287</v>
      </c>
      <c r="B5521" s="2" t="s">
        <v>13288</v>
      </c>
      <c r="C5521" s="2" t="s">
        <v>25</v>
      </c>
      <c r="D5521" s="2" t="s">
        <v>26</v>
      </c>
      <c r="E5521" s="3" t="s">
        <v>118</v>
      </c>
      <c r="F5521" s="3" t="s">
        <v>819</v>
      </c>
      <c r="G5521" s="3" t="s">
        <v>2287</v>
      </c>
      <c r="H5521" s="2" t="s">
        <v>22</v>
      </c>
      <c r="I5521" s="2" t="s">
        <v>13289</v>
      </c>
      <c r="J5521" s="3" t="str">
        <f>HYPERLINK("https://www.boe.es/gazeta/dias/1809/09/07/pdfs/GGB-H-1809-162.pdf#page=7","Abrir facsímil")</f>
        <v>Abrir facsímil</v>
      </c>
      <c r="K5521" s="3" t="s">
        <v>24</v>
      </c>
    </row>
    <row r="5522" spans="1:11" ht="42" customHeight="1">
      <c r="A5522" s="2" t="s">
        <v>13290</v>
      </c>
      <c r="B5522" s="2" t="s">
        <v>13291</v>
      </c>
      <c r="C5522" s="2" t="s">
        <v>288</v>
      </c>
      <c r="D5522" s="2" t="s">
        <v>18</v>
      </c>
      <c r="E5522" s="3" t="s">
        <v>4361</v>
      </c>
      <c r="F5522" s="3" t="s">
        <v>4362</v>
      </c>
      <c r="G5522" s="3" t="s">
        <v>918</v>
      </c>
      <c r="H5522" s="2" t="s">
        <v>22</v>
      </c>
      <c r="I5522" s="2" t="s">
        <v>13292</v>
      </c>
      <c r="J5522" s="3" t="str">
        <f>HYPERLINK("https://www.boe.es/gazeta/dias/1809/01/28/pdfs/GMD-1809-28.pdf#page=4","Abrir facsímil")</f>
        <v>Abrir facsímil</v>
      </c>
      <c r="K5522" s="3" t="s">
        <v>24</v>
      </c>
    </row>
    <row r="5523" spans="1:11" ht="42" customHeight="1">
      <c r="A5523" s="2" t="s">
        <v>13293</v>
      </c>
      <c r="B5523" s="2" t="s">
        <v>13294</v>
      </c>
      <c r="C5523" s="2" t="s">
        <v>131</v>
      </c>
      <c r="D5523" s="2" t="s">
        <v>72</v>
      </c>
      <c r="E5523" s="3" t="s">
        <v>216</v>
      </c>
      <c r="F5523" s="3" t="s">
        <v>217</v>
      </c>
      <c r="G5523" s="3" t="s">
        <v>439</v>
      </c>
      <c r="H5523" s="2" t="s">
        <v>22</v>
      </c>
      <c r="I5523" s="2" t="s">
        <v>13295</v>
      </c>
      <c r="J5523" s="3" t="str">
        <f>HYPERLINK("https://www.boe.es/gazeta/dias/1809/12/05/pdfs/GGB-H-1809-542.pdf#page=7","Abrir facsímil")</f>
        <v>Abrir facsímil</v>
      </c>
      <c r="K5523" s="3" t="s">
        <v>24</v>
      </c>
    </row>
    <row r="5524" spans="1:11" ht="42" customHeight="1">
      <c r="A5524" s="2" t="s">
        <v>13296</v>
      </c>
      <c r="B5524" s="2" t="s">
        <v>13297</v>
      </c>
      <c r="C5524" s="2" t="s">
        <v>17</v>
      </c>
      <c r="D5524" s="2" t="s">
        <v>18</v>
      </c>
      <c r="E5524" s="3" t="s">
        <v>523</v>
      </c>
      <c r="F5524" s="3" t="s">
        <v>524</v>
      </c>
      <c r="G5524" s="3" t="s">
        <v>525</v>
      </c>
      <c r="H5524" s="2" t="s">
        <v>22</v>
      </c>
      <c r="I5524" s="2" t="s">
        <v>13298</v>
      </c>
      <c r="J5524" s="3" t="str">
        <f>HYPERLINK("https://www.boe.es/gazeta/dias/1809/02/14/pdfs/GMD-1809-45.pdf#page=1","Abrir facsímil")</f>
        <v>Abrir facsímil</v>
      </c>
      <c r="K5524" s="3" t="s">
        <v>24</v>
      </c>
    </row>
    <row r="5525" spans="1:11" ht="42" customHeight="1">
      <c r="A5525" s="2" t="s">
        <v>13299</v>
      </c>
      <c r="B5525" s="2" t="s">
        <v>13300</v>
      </c>
      <c r="C5525" s="2" t="s">
        <v>25</v>
      </c>
      <c r="D5525" s="2" t="s">
        <v>26</v>
      </c>
      <c r="E5525" s="3" t="s">
        <v>118</v>
      </c>
      <c r="F5525" s="3" t="s">
        <v>819</v>
      </c>
      <c r="G5525" s="3" t="s">
        <v>8946</v>
      </c>
      <c r="H5525" s="2" t="s">
        <v>22</v>
      </c>
      <c r="I5525" s="2" t="s">
        <v>13301</v>
      </c>
      <c r="J5525" s="3" t="str">
        <f>HYPERLINK("https://www.boe.es/gazeta/dias/1809/09/07/pdfs/GGB-H-1809-162.pdf#page=8","Abrir facsímil")</f>
        <v>Abrir facsímil</v>
      </c>
      <c r="K5525" s="3" t="s">
        <v>24</v>
      </c>
    </row>
    <row r="5526" spans="1:11" ht="42" customHeight="1">
      <c r="A5526" s="2" t="s">
        <v>13302</v>
      </c>
      <c r="B5526" s="2" t="s">
        <v>13303</v>
      </c>
      <c r="C5526" s="2" t="s">
        <v>47</v>
      </c>
      <c r="D5526" s="2" t="s">
        <v>40</v>
      </c>
      <c r="E5526" s="3" t="s">
        <v>216</v>
      </c>
      <c r="F5526" s="3" t="s">
        <v>217</v>
      </c>
      <c r="G5526" s="3" t="s">
        <v>439</v>
      </c>
      <c r="H5526" s="2" t="s">
        <v>22</v>
      </c>
      <c r="I5526" s="2" t="s">
        <v>13304</v>
      </c>
      <c r="J5526" s="3" t="str">
        <f>HYPERLINK("https://www.boe.es/gazeta/dias/1809/12/05/pdfs/GGB-H-1809-542.pdf#page=7","Abrir facsímil")</f>
        <v>Abrir facsímil</v>
      </c>
      <c r="K5526" s="3" t="s">
        <v>24</v>
      </c>
    </row>
    <row r="5527" spans="1:11" ht="42" customHeight="1">
      <c r="A5527" s="2" t="s">
        <v>13305</v>
      </c>
      <c r="B5527" s="2" t="s">
        <v>13306</v>
      </c>
      <c r="C5527" s="2" t="s">
        <v>131</v>
      </c>
      <c r="D5527" s="2" t="s">
        <v>18</v>
      </c>
      <c r="E5527" s="3" t="s">
        <v>2473</v>
      </c>
      <c r="F5527" s="3" t="s">
        <v>2474</v>
      </c>
      <c r="G5527" s="3" t="s">
        <v>29</v>
      </c>
      <c r="H5527" s="2" t="s">
        <v>22</v>
      </c>
      <c r="I5527" s="2" t="s">
        <v>13307</v>
      </c>
      <c r="J5527" s="3" t="str">
        <f>HYPERLINK("https://www.boe.es/gazeta/dias/1809/02/16/pdfs/GMD-1809-47.pdf#page=3","Abrir facsímil")</f>
        <v>Abrir facsímil</v>
      </c>
      <c r="K5527" s="3" t="s">
        <v>24</v>
      </c>
    </row>
    <row r="5528" spans="1:11" ht="42" customHeight="1">
      <c r="A5528" s="2" t="s">
        <v>13308</v>
      </c>
      <c r="B5528" s="2" t="s">
        <v>13309</v>
      </c>
      <c r="C5528" s="2" t="s">
        <v>131</v>
      </c>
      <c r="D5528" s="2" t="s">
        <v>18</v>
      </c>
      <c r="E5528" s="3" t="s">
        <v>102</v>
      </c>
      <c r="F5528" s="3" t="s">
        <v>103</v>
      </c>
      <c r="G5528" s="3" t="s">
        <v>1706</v>
      </c>
      <c r="H5528" s="2" t="s">
        <v>22</v>
      </c>
      <c r="I5528" s="2" t="s">
        <v>13310</v>
      </c>
      <c r="J5528" s="3" t="str">
        <f>HYPERLINK("https://www.boe.es/gazeta/dias/1809/09/28/pdfs/GGB-1809-252.pdf#page=5","Abrir facsímil")</f>
        <v>Abrir facsímil</v>
      </c>
      <c r="K5528" s="3" t="s">
        <v>24</v>
      </c>
    </row>
    <row r="5529" spans="1:11" ht="42" customHeight="1">
      <c r="A5529" s="2" t="s">
        <v>13311</v>
      </c>
      <c r="B5529" s="2" t="s">
        <v>13312</v>
      </c>
      <c r="C5529" s="2" t="s">
        <v>131</v>
      </c>
      <c r="D5529" s="2" t="s">
        <v>18</v>
      </c>
      <c r="E5529" s="3" t="s">
        <v>305</v>
      </c>
      <c r="F5529" s="3" t="s">
        <v>306</v>
      </c>
      <c r="G5529" s="3" t="s">
        <v>29</v>
      </c>
      <c r="H5529" s="2" t="s">
        <v>22</v>
      </c>
      <c r="I5529" s="2" t="s">
        <v>13313</v>
      </c>
      <c r="J5529" s="3" t="str">
        <f>HYPERLINK("https://www.boe.es/gazeta/dias/1809/10/20/pdfs/GMD-1809-294.pdf#page=3","Abrir facsímil")</f>
        <v>Abrir facsímil</v>
      </c>
      <c r="K5529" s="3" t="s">
        <v>24</v>
      </c>
    </row>
    <row r="5530" spans="1:11" ht="42" customHeight="1">
      <c r="A5530" s="2" t="s">
        <v>13314</v>
      </c>
      <c r="B5530" s="2" t="s">
        <v>13315</v>
      </c>
      <c r="C5530" s="2" t="s">
        <v>17</v>
      </c>
      <c r="D5530" s="2" t="s">
        <v>18</v>
      </c>
      <c r="E5530" s="3" t="s">
        <v>523</v>
      </c>
      <c r="F5530" s="3" t="s">
        <v>524</v>
      </c>
      <c r="G5530" s="3" t="s">
        <v>5168</v>
      </c>
      <c r="H5530" s="2" t="s">
        <v>22</v>
      </c>
      <c r="I5530" s="2" t="s">
        <v>13316</v>
      </c>
      <c r="J5530" s="3" t="str">
        <f>HYPERLINK("https://www.boe.es/gazeta/dias/1809/02/14/pdfs/GMD-1809-45.pdf#page=3","Abrir facsímil")</f>
        <v>Abrir facsímil</v>
      </c>
      <c r="K5530" s="3" t="s">
        <v>24</v>
      </c>
    </row>
    <row r="5531" spans="1:11" ht="42" customHeight="1">
      <c r="A5531" s="2" t="s">
        <v>13317</v>
      </c>
      <c r="B5531" s="2" t="s">
        <v>13318</v>
      </c>
      <c r="C5531" s="2" t="s">
        <v>17</v>
      </c>
      <c r="D5531" s="2" t="s">
        <v>18</v>
      </c>
      <c r="E5531" s="3" t="s">
        <v>442</v>
      </c>
      <c r="F5531" s="3" t="s">
        <v>2171</v>
      </c>
      <c r="G5531" s="3" t="s">
        <v>2172</v>
      </c>
      <c r="H5531" s="2" t="s">
        <v>22</v>
      </c>
      <c r="I5531" s="2" t="s">
        <v>13319</v>
      </c>
      <c r="J5531" s="3" t="str">
        <f>HYPERLINK("https://www.boe.es/gazeta/dias/1809/09/05/pdfs/GMD-1809-249.pdf#page=4","Abrir facsímil")</f>
        <v>Abrir facsímil</v>
      </c>
      <c r="K5531" s="3" t="s">
        <v>24</v>
      </c>
    </row>
    <row r="5532" spans="1:11" ht="42" customHeight="1">
      <c r="A5532" s="2" t="s">
        <v>13320</v>
      </c>
      <c r="B5532" s="2" t="s">
        <v>13321</v>
      </c>
      <c r="C5532" s="2" t="s">
        <v>131</v>
      </c>
      <c r="D5532" s="2" t="s">
        <v>18</v>
      </c>
      <c r="E5532" s="3" t="s">
        <v>102</v>
      </c>
      <c r="F5532" s="3" t="s">
        <v>103</v>
      </c>
      <c r="G5532" s="3" t="s">
        <v>1706</v>
      </c>
      <c r="H5532" s="2" t="s">
        <v>22</v>
      </c>
      <c r="I5532" s="2" t="s">
        <v>13322</v>
      </c>
      <c r="J5532" s="3" t="str">
        <f>HYPERLINK("https://www.boe.es/gazeta/dias/1809/09/28/pdfs/GGB-1809-252.pdf#page=5","Abrir facsímil")</f>
        <v>Abrir facsímil</v>
      </c>
      <c r="K5532" s="3" t="s">
        <v>24</v>
      </c>
    </row>
    <row r="5533" spans="1:11" ht="42" customHeight="1">
      <c r="A5533" s="2" t="s">
        <v>13323</v>
      </c>
      <c r="B5533" s="2" t="s">
        <v>13324</v>
      </c>
      <c r="C5533" s="2" t="s">
        <v>17</v>
      </c>
      <c r="D5533" s="2" t="s">
        <v>80</v>
      </c>
      <c r="E5533" s="3" t="s">
        <v>5751</v>
      </c>
      <c r="F5533" s="3" t="s">
        <v>5752</v>
      </c>
      <c r="G5533" s="3" t="s">
        <v>270</v>
      </c>
      <c r="H5533" s="2" t="s">
        <v>22</v>
      </c>
      <c r="I5533" s="2" t="s">
        <v>13325</v>
      </c>
      <c r="J5533" s="3" t="str">
        <f>HYPERLINK("https://www.boe.es/gazeta/dias/1809/01/23/pdfs/GGB-1809-4E.pdf#page=1","Abrir facsímil")</f>
        <v>Abrir facsímil</v>
      </c>
      <c r="K5533" s="3" t="s">
        <v>24</v>
      </c>
    </row>
    <row r="5534" spans="1:11" ht="42" customHeight="1">
      <c r="A5534" s="2" t="s">
        <v>13326</v>
      </c>
      <c r="B5534" s="2" t="s">
        <v>13327</v>
      </c>
      <c r="C5534" s="2" t="s">
        <v>25</v>
      </c>
      <c r="D5534" s="2" t="s">
        <v>26</v>
      </c>
      <c r="E5534" s="3" t="s">
        <v>2414</v>
      </c>
      <c r="F5534" s="3" t="s">
        <v>4556</v>
      </c>
      <c r="G5534" s="3" t="s">
        <v>239</v>
      </c>
      <c r="H5534" s="2" t="s">
        <v>22</v>
      </c>
      <c r="I5534" s="2" t="s">
        <v>13328</v>
      </c>
      <c r="J5534" s="3" t="str">
        <f>HYPERLINK("https://www.boe.es/gazeta/dias/1809/11/18/pdfs/GGB-1809-472.pdf#page=6","Abrir facsímil")</f>
        <v>Abrir facsímil</v>
      </c>
      <c r="K5534" s="3" t="s">
        <v>24</v>
      </c>
    </row>
    <row r="5535" spans="1:11" ht="42" customHeight="1">
      <c r="A5535" s="2" t="s">
        <v>13329</v>
      </c>
      <c r="B5535" s="2" t="s">
        <v>13330</v>
      </c>
      <c r="C5535" s="2" t="s">
        <v>25</v>
      </c>
      <c r="D5535" s="2" t="s">
        <v>72</v>
      </c>
      <c r="E5535" s="3" t="s">
        <v>143</v>
      </c>
      <c r="F5535" s="3" t="s">
        <v>705</v>
      </c>
      <c r="G5535" s="3" t="s">
        <v>225</v>
      </c>
      <c r="H5535" s="2" t="s">
        <v>22</v>
      </c>
      <c r="I5535" s="2" t="s">
        <v>13331</v>
      </c>
      <c r="J5535" s="3" t="str">
        <f>HYPERLINK("https://www.boe.es/gazeta/dias/1809/11/16/pdfs/GGB-H-1809-462.pdf#page=4","Abrir facsímil")</f>
        <v>Abrir facsímil</v>
      </c>
      <c r="K5535" s="3" t="s">
        <v>24</v>
      </c>
    </row>
    <row r="5536" spans="1:11" ht="42" customHeight="1">
      <c r="A5536" s="2" t="s">
        <v>13332</v>
      </c>
      <c r="B5536" s="2" t="s">
        <v>13333</v>
      </c>
      <c r="C5536" s="2" t="s">
        <v>25</v>
      </c>
      <c r="D5536" s="2" t="s">
        <v>72</v>
      </c>
      <c r="E5536" s="3" t="s">
        <v>1206</v>
      </c>
      <c r="F5536" s="3" t="s">
        <v>1207</v>
      </c>
      <c r="G5536" s="3" t="s">
        <v>4236</v>
      </c>
      <c r="H5536" s="2" t="s">
        <v>22</v>
      </c>
      <c r="I5536" s="2" t="s">
        <v>13334</v>
      </c>
      <c r="J5536" s="3" t="str">
        <f>HYPERLINK("https://www.boe.es/gazeta/dias/1809/09/23/pdfs/GGB-H-1809-232.pdf#page=4","Abrir facsímil")</f>
        <v>Abrir facsímil</v>
      </c>
      <c r="K5536" s="3" t="s">
        <v>24</v>
      </c>
    </row>
    <row r="5537" spans="1:11" ht="42" customHeight="1">
      <c r="A5537" s="2" t="s">
        <v>13335</v>
      </c>
      <c r="B5537" s="2" t="s">
        <v>13336</v>
      </c>
      <c r="C5537" s="2" t="s">
        <v>25</v>
      </c>
      <c r="D5537" s="2" t="s">
        <v>26</v>
      </c>
      <c r="E5537" s="3" t="s">
        <v>143</v>
      </c>
      <c r="F5537" s="3" t="s">
        <v>705</v>
      </c>
      <c r="G5537" s="3" t="s">
        <v>110</v>
      </c>
      <c r="H5537" s="2" t="s">
        <v>22</v>
      </c>
      <c r="I5537" s="2" t="s">
        <v>13337</v>
      </c>
      <c r="J5537" s="3" t="str">
        <f>HYPERLINK("https://www.boe.es/gazeta/dias/1809/11/16/pdfs/GGB-H-1809-462.pdf#page=3","Abrir facsímil")</f>
        <v>Abrir facsímil</v>
      </c>
      <c r="K5537" s="3" t="s">
        <v>24</v>
      </c>
    </row>
    <row r="5538" spans="1:11" ht="42" customHeight="1">
      <c r="A5538" s="2" t="s">
        <v>13338</v>
      </c>
      <c r="B5538" s="2" t="s">
        <v>13339</v>
      </c>
      <c r="C5538" s="2" t="s">
        <v>25</v>
      </c>
      <c r="D5538" s="2" t="s">
        <v>72</v>
      </c>
      <c r="E5538" s="3" t="s">
        <v>143</v>
      </c>
      <c r="F5538" s="3" t="s">
        <v>705</v>
      </c>
      <c r="G5538" s="3" t="s">
        <v>110</v>
      </c>
      <c r="H5538" s="2" t="s">
        <v>22</v>
      </c>
      <c r="I5538" s="2" t="s">
        <v>13340</v>
      </c>
      <c r="J5538" s="3" t="str">
        <f>HYPERLINK("https://www.boe.es/gazeta/dias/1809/11/16/pdfs/GGB-H-1809-462.pdf#page=3","Abrir facsímil")</f>
        <v>Abrir facsímil</v>
      </c>
      <c r="K5538" s="3" t="s">
        <v>24</v>
      </c>
    </row>
    <row r="5539" spans="1:11" ht="42" customHeight="1">
      <c r="A5539" s="2" t="s">
        <v>13341</v>
      </c>
      <c r="B5539" s="2" t="s">
        <v>13342</v>
      </c>
      <c r="C5539" s="2" t="s">
        <v>39</v>
      </c>
      <c r="D5539" s="2" t="s">
        <v>40</v>
      </c>
      <c r="E5539" s="3" t="s">
        <v>2602</v>
      </c>
      <c r="F5539" s="3" t="s">
        <v>2603</v>
      </c>
      <c r="G5539" s="3" t="s">
        <v>89</v>
      </c>
      <c r="H5539" s="2" t="s">
        <v>22</v>
      </c>
      <c r="I5539" s="2" t="s">
        <v>13343</v>
      </c>
      <c r="J5539" s="3" t="str">
        <f>HYPERLINK("https://www.boe.es/gazeta/dias/1809/11/15/pdfs/GMD-1809-320.pdf#page=4","Abrir facsímil")</f>
        <v>Abrir facsímil</v>
      </c>
      <c r="K5539" s="3" t="s">
        <v>24</v>
      </c>
    </row>
    <row r="5540" spans="1:11" ht="42" customHeight="1">
      <c r="A5540" s="2" t="s">
        <v>13344</v>
      </c>
      <c r="B5540" s="2" t="s">
        <v>13345</v>
      </c>
      <c r="C5540" s="2" t="s">
        <v>131</v>
      </c>
      <c r="D5540" s="2" t="s">
        <v>26</v>
      </c>
      <c r="E5540" s="3" t="s">
        <v>761</v>
      </c>
      <c r="F5540" s="3" t="s">
        <v>1218</v>
      </c>
      <c r="G5540" s="3" t="s">
        <v>3247</v>
      </c>
      <c r="H5540" s="2" t="s">
        <v>22</v>
      </c>
      <c r="I5540" s="2" t="s">
        <v>13346</v>
      </c>
      <c r="J5540" s="3" t="str">
        <f>HYPERLINK("https://www.boe.es/gazeta/dias/1809/06/02/pdfs/GGB-1809-33.pdf#page=8","Abrir facsímil")</f>
        <v>Abrir facsímil</v>
      </c>
      <c r="K5540" s="3" t="s">
        <v>24</v>
      </c>
    </row>
    <row r="5541" spans="1:11" ht="42" customHeight="1">
      <c r="A5541" s="2" t="s">
        <v>13347</v>
      </c>
      <c r="B5541" s="2" t="s">
        <v>13348</v>
      </c>
      <c r="C5541" s="2" t="s">
        <v>17</v>
      </c>
      <c r="D5541" s="2" t="s">
        <v>18</v>
      </c>
      <c r="E5541" s="3" t="s">
        <v>60</v>
      </c>
      <c r="F5541" s="3" t="s">
        <v>61</v>
      </c>
      <c r="G5541" s="3" t="s">
        <v>29</v>
      </c>
      <c r="H5541" s="2" t="s">
        <v>22</v>
      </c>
      <c r="I5541" s="2" t="s">
        <v>13349</v>
      </c>
      <c r="J5541" s="3" t="str">
        <f>HYPERLINK("https://www.boe.es/gazeta/dias/1809/02/07/pdfs/GMD-1809-38.pdf#page=3","Abrir facsímil")</f>
        <v>Abrir facsímil</v>
      </c>
      <c r="K5541" s="3" t="s">
        <v>24</v>
      </c>
    </row>
    <row r="5542" spans="1:11" ht="42" customHeight="1">
      <c r="A5542" s="2" t="s">
        <v>13350</v>
      </c>
      <c r="B5542" s="2" t="s">
        <v>13351</v>
      </c>
      <c r="C5542" s="2" t="s">
        <v>17</v>
      </c>
      <c r="D5542" s="2" t="s">
        <v>18</v>
      </c>
      <c r="E5542" s="3" t="s">
        <v>551</v>
      </c>
      <c r="F5542" s="3" t="s">
        <v>552</v>
      </c>
      <c r="G5542" s="3" t="s">
        <v>553</v>
      </c>
      <c r="H5542" s="2" t="s">
        <v>22</v>
      </c>
      <c r="I5542" s="2" t="s">
        <v>13352</v>
      </c>
      <c r="J5542" s="3" t="str">
        <f>HYPERLINK("https://www.boe.es/gazeta/dias/1809/05/04/pdfs/GMD-1809-124.pdf#page=1","Abrir facsímil")</f>
        <v>Abrir facsímil</v>
      </c>
      <c r="K5542" s="3" t="s">
        <v>24</v>
      </c>
    </row>
    <row r="5543" spans="1:11" ht="42" customHeight="1">
      <c r="A5543" s="2" t="s">
        <v>13353</v>
      </c>
      <c r="B5543" s="2" t="s">
        <v>13354</v>
      </c>
      <c r="C5543" s="2" t="s">
        <v>25</v>
      </c>
      <c r="D5543" s="2" t="s">
        <v>18</v>
      </c>
      <c r="E5543" s="3" t="s">
        <v>102</v>
      </c>
      <c r="F5543" s="3" t="s">
        <v>103</v>
      </c>
      <c r="G5543" s="3" t="s">
        <v>1091</v>
      </c>
      <c r="H5543" s="2" t="s">
        <v>22</v>
      </c>
      <c r="I5543" s="2" t="s">
        <v>13355</v>
      </c>
      <c r="J5543" s="3" t="str">
        <f>HYPERLINK("https://www.boe.es/gazeta/dias/1809/09/28/pdfs/GGB-1809-252.pdf#page=6","Abrir facsímil")</f>
        <v>Abrir facsímil</v>
      </c>
      <c r="K5543" s="3" t="s">
        <v>24</v>
      </c>
    </row>
    <row r="5544" spans="1:11" ht="42" customHeight="1">
      <c r="A5544" s="2" t="s">
        <v>13356</v>
      </c>
      <c r="B5544" s="2" t="s">
        <v>13357</v>
      </c>
      <c r="C5544" s="2" t="s">
        <v>17</v>
      </c>
      <c r="D5544" s="2" t="s">
        <v>18</v>
      </c>
      <c r="E5544" s="3" t="s">
        <v>283</v>
      </c>
      <c r="F5544" s="3" t="s">
        <v>284</v>
      </c>
      <c r="G5544" s="3" t="s">
        <v>21</v>
      </c>
      <c r="H5544" s="2" t="s">
        <v>22</v>
      </c>
      <c r="I5544" s="2" t="s">
        <v>13358</v>
      </c>
      <c r="J5544" s="3" t="str">
        <f>HYPERLINK("https://www.boe.es/gazeta/dias/1809/02/09/pdfs/GMD-1809-40.pdf#page=4","Abrir facsímil")</f>
        <v>Abrir facsímil</v>
      </c>
      <c r="K5544" s="3" t="s">
        <v>24</v>
      </c>
    </row>
    <row r="5545" spans="1:11" ht="42" customHeight="1">
      <c r="A5545" s="2" t="s">
        <v>13359</v>
      </c>
      <c r="B5545" s="2" t="s">
        <v>13360</v>
      </c>
      <c r="C5545" s="2" t="s">
        <v>39</v>
      </c>
      <c r="D5545" s="2" t="s">
        <v>18</v>
      </c>
      <c r="E5545" s="3" t="s">
        <v>102</v>
      </c>
      <c r="F5545" s="3" t="s">
        <v>103</v>
      </c>
      <c r="G5545" s="3" t="s">
        <v>1706</v>
      </c>
      <c r="H5545" s="2" t="s">
        <v>22</v>
      </c>
      <c r="I5545" s="2" t="s">
        <v>13361</v>
      </c>
      <c r="J5545" s="3" t="str">
        <f>HYPERLINK("https://www.boe.es/gazeta/dias/1809/09/28/pdfs/GGB-1809-252.pdf#page=5","Abrir facsímil")</f>
        <v>Abrir facsímil</v>
      </c>
      <c r="K5545" s="3" t="s">
        <v>24</v>
      </c>
    </row>
    <row r="5546" spans="1:11" ht="42" customHeight="1">
      <c r="A5546" s="2" t="s">
        <v>13362</v>
      </c>
      <c r="B5546" s="2" t="s">
        <v>13363</v>
      </c>
      <c r="C5546" s="2" t="s">
        <v>25</v>
      </c>
      <c r="D5546" s="2" t="s">
        <v>26</v>
      </c>
      <c r="E5546" s="3" t="s">
        <v>5751</v>
      </c>
      <c r="F5546" s="3" t="s">
        <v>5752</v>
      </c>
      <c r="G5546" s="3" t="s">
        <v>120</v>
      </c>
      <c r="H5546" s="2" t="s">
        <v>22</v>
      </c>
      <c r="I5546" s="2" t="s">
        <v>13364</v>
      </c>
      <c r="J5546" s="3" t="str">
        <f>HYPERLINK("https://www.boe.es/gazeta/dias/1809/01/23/pdfs/GGB-1809-4E.pdf#page=3","Abrir facsímil")</f>
        <v>Abrir facsímil</v>
      </c>
      <c r="K5546" s="3" t="s">
        <v>24</v>
      </c>
    </row>
    <row r="5547" spans="1:11" ht="42" customHeight="1">
      <c r="A5547" s="2" t="s">
        <v>13365</v>
      </c>
      <c r="B5547" s="2" t="s">
        <v>13366</v>
      </c>
      <c r="C5547" s="2" t="s">
        <v>25</v>
      </c>
      <c r="D5547" s="2" t="s">
        <v>40</v>
      </c>
      <c r="E5547" s="3" t="s">
        <v>1206</v>
      </c>
      <c r="F5547" s="3" t="s">
        <v>1207</v>
      </c>
      <c r="G5547" s="3" t="s">
        <v>3099</v>
      </c>
      <c r="H5547" s="2" t="s">
        <v>22</v>
      </c>
      <c r="I5547" s="2" t="s">
        <v>13367</v>
      </c>
      <c r="J5547" s="3" t="str">
        <f>HYPERLINK("https://www.boe.es/gazeta/dias/1809/09/23/pdfs/GGB-H-1809-232.pdf#page=8","Abrir facsímil")</f>
        <v>Abrir facsímil</v>
      </c>
      <c r="K5547" s="3" t="s">
        <v>24</v>
      </c>
    </row>
    <row r="5548" spans="1:11" ht="42" customHeight="1">
      <c r="A5548" s="2" t="s">
        <v>13368</v>
      </c>
      <c r="B5548" s="2" t="s">
        <v>13369</v>
      </c>
      <c r="C5548" s="2" t="s">
        <v>79</v>
      </c>
      <c r="D5548" s="2" t="s">
        <v>18</v>
      </c>
      <c r="E5548" s="3" t="s">
        <v>2473</v>
      </c>
      <c r="F5548" s="3" t="s">
        <v>2474</v>
      </c>
      <c r="G5548" s="3" t="s">
        <v>29</v>
      </c>
      <c r="H5548" s="2" t="s">
        <v>22</v>
      </c>
      <c r="I5548" s="2" t="s">
        <v>13370</v>
      </c>
      <c r="J5548" s="3" t="str">
        <f>HYPERLINK("https://www.boe.es/gazeta/dias/1809/02/16/pdfs/GMD-1809-47.pdf#page=3","Abrir facsímil")</f>
        <v>Abrir facsímil</v>
      </c>
      <c r="K5548" s="3" t="s">
        <v>24</v>
      </c>
    </row>
    <row r="5549" spans="1:11" ht="42" customHeight="1">
      <c r="A5549" s="2" t="s">
        <v>13371</v>
      </c>
      <c r="B5549" s="2" t="s">
        <v>13372</v>
      </c>
      <c r="C5549" s="2" t="s">
        <v>25</v>
      </c>
      <c r="D5549" s="2" t="s">
        <v>26</v>
      </c>
      <c r="E5549" s="3" t="s">
        <v>73</v>
      </c>
      <c r="F5549" s="3" t="s">
        <v>822</v>
      </c>
      <c r="G5549" s="3" t="s">
        <v>3536</v>
      </c>
      <c r="H5549" s="2" t="s">
        <v>22</v>
      </c>
      <c r="I5549" s="2" t="s">
        <v>13373</v>
      </c>
      <c r="J5549" s="3" t="str">
        <f>HYPERLINK("https://www.boe.es/gazeta/dias/1809/09/21/pdfs/GGB-1809-222.pdf#page=8","Abrir facsímil")</f>
        <v>Abrir facsímil</v>
      </c>
      <c r="K5549" s="3" t="s">
        <v>24</v>
      </c>
    </row>
    <row r="5550" spans="1:11" ht="42" customHeight="1">
      <c r="A5550" s="2" t="s">
        <v>13374</v>
      </c>
      <c r="B5550" s="2" t="s">
        <v>13375</v>
      </c>
      <c r="C5550" s="2" t="s">
        <v>369</v>
      </c>
      <c r="D5550" s="2" t="s">
        <v>18</v>
      </c>
      <c r="E5550" s="3" t="s">
        <v>1779</v>
      </c>
      <c r="F5550" s="3" t="s">
        <v>1780</v>
      </c>
      <c r="G5550" s="3" t="s">
        <v>1613</v>
      </c>
      <c r="H5550" s="2" t="s">
        <v>22</v>
      </c>
      <c r="I5550" s="2" t="s">
        <v>13376</v>
      </c>
      <c r="J5550" s="3" t="str">
        <f>HYPERLINK("https://www.boe.es/gazeta/dias/1809/08/22/pdfs/GGB-1809-92.pdf#page=8","Abrir facsímil")</f>
        <v>Abrir facsímil</v>
      </c>
      <c r="K5550" s="3" t="s">
        <v>24</v>
      </c>
    </row>
    <row r="5551" spans="1:11" ht="42" customHeight="1">
      <c r="A5551" s="2" t="s">
        <v>13377</v>
      </c>
      <c r="B5551" s="2" t="s">
        <v>13378</v>
      </c>
      <c r="C5551" s="2" t="s">
        <v>17</v>
      </c>
      <c r="D5551" s="2" t="s">
        <v>18</v>
      </c>
      <c r="E5551" s="3" t="s">
        <v>102</v>
      </c>
      <c r="F5551" s="3" t="s">
        <v>1095</v>
      </c>
      <c r="G5551" s="3" t="s">
        <v>29</v>
      </c>
      <c r="H5551" s="2" t="s">
        <v>22</v>
      </c>
      <c r="I5551" s="2" t="s">
        <v>13379</v>
      </c>
      <c r="J5551" s="3" t="str">
        <f>HYPERLINK("https://www.boe.es/gazeta/dias/1809/09/28/pdfs/GMD-1809-272.pdf#page=3","Abrir facsímil")</f>
        <v>Abrir facsímil</v>
      </c>
      <c r="K5551" s="3" t="s">
        <v>24</v>
      </c>
    </row>
    <row r="5552" spans="1:11" ht="42" customHeight="1">
      <c r="A5552" s="2" t="s">
        <v>13380</v>
      </c>
      <c r="B5552" s="2" t="s">
        <v>13381</v>
      </c>
      <c r="C5552" s="2" t="s">
        <v>17</v>
      </c>
      <c r="D5552" s="2" t="s">
        <v>18</v>
      </c>
      <c r="E5552" s="3" t="s">
        <v>102</v>
      </c>
      <c r="F5552" s="3" t="s">
        <v>1095</v>
      </c>
      <c r="G5552" s="3" t="s">
        <v>29</v>
      </c>
      <c r="H5552" s="2" t="s">
        <v>22</v>
      </c>
      <c r="I5552" s="2" t="s">
        <v>13382</v>
      </c>
      <c r="J5552" s="3" t="str">
        <f>HYPERLINK("https://www.boe.es/gazeta/dias/1809/09/28/pdfs/GMD-1809-272.pdf#page=3","Abrir facsímil")</f>
        <v>Abrir facsímil</v>
      </c>
      <c r="K5552" s="3" t="s">
        <v>24</v>
      </c>
    </row>
    <row r="5553" spans="1:11" ht="42" customHeight="1">
      <c r="A5553" s="2" t="s">
        <v>13383</v>
      </c>
      <c r="B5553" s="2" t="s">
        <v>13384</v>
      </c>
      <c r="C5553" s="2" t="s">
        <v>17</v>
      </c>
      <c r="D5553" s="2" t="s">
        <v>18</v>
      </c>
      <c r="E5553" s="3" t="s">
        <v>102</v>
      </c>
      <c r="F5553" s="3" t="s">
        <v>1095</v>
      </c>
      <c r="G5553" s="3" t="s">
        <v>29</v>
      </c>
      <c r="H5553" s="2" t="s">
        <v>22</v>
      </c>
      <c r="I5553" s="2" t="s">
        <v>13385</v>
      </c>
      <c r="J5553" s="3" t="str">
        <f>HYPERLINK("https://www.boe.es/gazeta/dias/1809/09/28/pdfs/GMD-1809-272.pdf#page=3","Abrir facsímil")</f>
        <v>Abrir facsímil</v>
      </c>
      <c r="K5553" s="3" t="s">
        <v>24</v>
      </c>
    </row>
    <row r="5554" spans="1:11" ht="42" customHeight="1">
      <c r="A5554" s="2" t="s">
        <v>13386</v>
      </c>
      <c r="B5554" s="2" t="s">
        <v>13387</v>
      </c>
      <c r="C5554" s="2" t="s">
        <v>39</v>
      </c>
      <c r="D5554" s="2" t="s">
        <v>18</v>
      </c>
      <c r="E5554" s="3" t="s">
        <v>2473</v>
      </c>
      <c r="F5554" s="3" t="s">
        <v>2474</v>
      </c>
      <c r="G5554" s="3" t="s">
        <v>29</v>
      </c>
      <c r="H5554" s="2" t="s">
        <v>22</v>
      </c>
      <c r="I5554" s="2" t="s">
        <v>13388</v>
      </c>
      <c r="J5554" s="3" t="str">
        <f>HYPERLINK("https://www.boe.es/gazeta/dias/1809/02/16/pdfs/GMD-1809-47.pdf#page=3","Abrir facsímil")</f>
        <v>Abrir facsímil</v>
      </c>
      <c r="K5554" s="3" t="s">
        <v>24</v>
      </c>
    </row>
    <row r="5555" spans="1:11" ht="42" customHeight="1">
      <c r="A5555" s="2" t="s">
        <v>13389</v>
      </c>
      <c r="B5555" s="2" t="s">
        <v>13390</v>
      </c>
      <c r="C5555" s="2" t="s">
        <v>39</v>
      </c>
      <c r="D5555" s="2" t="s">
        <v>40</v>
      </c>
      <c r="E5555" s="3" t="s">
        <v>1635</v>
      </c>
      <c r="F5555" s="3" t="s">
        <v>1636</v>
      </c>
      <c r="G5555" s="3" t="s">
        <v>29</v>
      </c>
      <c r="H5555" s="2" t="s">
        <v>22</v>
      </c>
      <c r="I5555" s="2" t="s">
        <v>13391</v>
      </c>
      <c r="J5555" s="3" t="str">
        <f>HYPERLINK("https://www.boe.es/gazeta/dias/1809/09/15/pdfs/GMD-1809-259.pdf#page=3","Abrir facsímil")</f>
        <v>Abrir facsímil</v>
      </c>
      <c r="K5555" s="3" t="s">
        <v>24</v>
      </c>
    </row>
    <row r="5556" spans="1:11" ht="42" customHeight="1">
      <c r="A5556" s="2" t="s">
        <v>13392</v>
      </c>
      <c r="B5556" s="2" t="s">
        <v>13393</v>
      </c>
      <c r="C5556" s="2" t="s">
        <v>79</v>
      </c>
      <c r="D5556" s="2" t="s">
        <v>40</v>
      </c>
      <c r="E5556" s="3" t="s">
        <v>327</v>
      </c>
      <c r="F5556" s="3" t="s">
        <v>328</v>
      </c>
      <c r="G5556" s="3" t="s">
        <v>1765</v>
      </c>
      <c r="H5556" s="2" t="s">
        <v>22</v>
      </c>
      <c r="I5556" s="2" t="s">
        <v>13394</v>
      </c>
      <c r="J5556" s="3" t="str">
        <f>HYPERLINK("https://www.boe.es/gazeta/dias/1809/09/14/pdfs/GGB-1809-192.pdf#page=7","Abrir facsímil")</f>
        <v>Abrir facsímil</v>
      </c>
      <c r="K5556" s="3" t="s">
        <v>24</v>
      </c>
    </row>
    <row r="5557" spans="1:11" ht="42" customHeight="1">
      <c r="A5557" s="2" t="s">
        <v>13395</v>
      </c>
      <c r="B5557" s="2" t="s">
        <v>13396</v>
      </c>
      <c r="C5557" s="2" t="s">
        <v>25</v>
      </c>
      <c r="D5557" s="2" t="s">
        <v>18</v>
      </c>
      <c r="E5557" s="3" t="s">
        <v>925</v>
      </c>
      <c r="F5557" s="3" t="s">
        <v>926</v>
      </c>
      <c r="G5557" s="3" t="s">
        <v>239</v>
      </c>
      <c r="H5557" s="2" t="s">
        <v>22</v>
      </c>
      <c r="I5557" s="2" t="s">
        <v>13397</v>
      </c>
      <c r="J5557" s="3" t="str">
        <f>HYPERLINK("https://www.boe.es/gazeta/dias/1809/01/11/pdfs/GGB-1809-2.pdf#page=8","Abrir facsímil")</f>
        <v>Abrir facsímil</v>
      </c>
      <c r="K5557" s="3" t="s">
        <v>24</v>
      </c>
    </row>
    <row r="5558" spans="1:11" ht="42" customHeight="1">
      <c r="A5558" s="2" t="s">
        <v>13398</v>
      </c>
      <c r="B5558" s="2" t="s">
        <v>13399</v>
      </c>
      <c r="C5558" s="2" t="s">
        <v>47</v>
      </c>
      <c r="D5558" s="2" t="s">
        <v>18</v>
      </c>
      <c r="E5558" s="3" t="s">
        <v>299</v>
      </c>
      <c r="F5558" s="3" t="s">
        <v>300</v>
      </c>
      <c r="G5558" s="3" t="s">
        <v>693</v>
      </c>
      <c r="H5558" s="2" t="s">
        <v>22</v>
      </c>
      <c r="I5558" s="2" t="s">
        <v>13400</v>
      </c>
      <c r="J5558" s="3" t="str">
        <f>HYPERLINK("https://www.boe.es/gazeta/dias/1809/05/26/pdfs/GGB-1809-31.pdf#page=9","Abrir facsímil")</f>
        <v>Abrir facsímil</v>
      </c>
      <c r="K5558" s="3" t="s">
        <v>24</v>
      </c>
    </row>
    <row r="5559" spans="1:11" ht="42" customHeight="1">
      <c r="A5559" s="2" t="s">
        <v>13401</v>
      </c>
      <c r="B5559" s="2" t="s">
        <v>13402</v>
      </c>
      <c r="C5559" s="2" t="s">
        <v>288</v>
      </c>
      <c r="D5559" s="2" t="s">
        <v>18</v>
      </c>
      <c r="E5559" s="3" t="s">
        <v>2473</v>
      </c>
      <c r="F5559" s="3" t="s">
        <v>2474</v>
      </c>
      <c r="G5559" s="3" t="s">
        <v>29</v>
      </c>
      <c r="H5559" s="2" t="s">
        <v>22</v>
      </c>
      <c r="I5559" s="2" t="s">
        <v>13403</v>
      </c>
      <c r="J5559" s="3" t="str">
        <f>HYPERLINK("https://www.boe.es/gazeta/dias/1809/02/16/pdfs/GMD-1809-47.pdf#page=3","Abrir facsímil")</f>
        <v>Abrir facsímil</v>
      </c>
      <c r="K5559" s="3" t="s">
        <v>24</v>
      </c>
    </row>
    <row r="5560" spans="1:11" ht="42" customHeight="1">
      <c r="A5560" s="2" t="s">
        <v>13404</v>
      </c>
      <c r="B5560" s="2" t="s">
        <v>13405</v>
      </c>
      <c r="C5560" s="2" t="s">
        <v>17</v>
      </c>
      <c r="D5560" s="2" t="s">
        <v>18</v>
      </c>
      <c r="E5560" s="3" t="s">
        <v>904</v>
      </c>
      <c r="F5560" s="3" t="s">
        <v>905</v>
      </c>
      <c r="G5560" s="3" t="s">
        <v>62</v>
      </c>
      <c r="H5560" s="2" t="s">
        <v>22</v>
      </c>
      <c r="I5560" s="2" t="s">
        <v>13406</v>
      </c>
      <c r="J5560" s="3" t="str">
        <f>HYPERLINK("https://www.boe.es/gazeta/dias/1809/07/07/pdfs/GGB-1809-43.pdf#page=9","Abrir facsímil")</f>
        <v>Abrir facsímil</v>
      </c>
      <c r="K5560" s="3" t="s">
        <v>24</v>
      </c>
    </row>
    <row r="5561" spans="1:11" ht="42" customHeight="1">
      <c r="A5561" s="2" t="s">
        <v>13407</v>
      </c>
      <c r="B5561" s="2" t="s">
        <v>13408</v>
      </c>
      <c r="C5561" s="2" t="s">
        <v>47</v>
      </c>
      <c r="D5561" s="2" t="s">
        <v>18</v>
      </c>
      <c r="E5561" s="3" t="s">
        <v>1288</v>
      </c>
      <c r="F5561" s="3" t="s">
        <v>1289</v>
      </c>
      <c r="G5561" s="3" t="s">
        <v>2559</v>
      </c>
      <c r="H5561" s="2" t="s">
        <v>22</v>
      </c>
      <c r="I5561" s="2" t="s">
        <v>13409</v>
      </c>
      <c r="J5561" s="3" t="str">
        <f>HYPERLINK("https://www.boe.es/gazeta/dias/1809/07/28/pdfs/GGB-1809-49.pdf#page=12","Abrir facsímil")</f>
        <v>Abrir facsímil</v>
      </c>
      <c r="K5561" s="3" t="s">
        <v>24</v>
      </c>
    </row>
    <row r="5562" spans="1:11" ht="42" customHeight="1">
      <c r="A5562" s="2" t="s">
        <v>13410</v>
      </c>
      <c r="B5562" s="2" t="s">
        <v>13411</v>
      </c>
      <c r="C5562" s="2" t="s">
        <v>17</v>
      </c>
      <c r="D5562" s="2" t="s">
        <v>18</v>
      </c>
      <c r="E5562" s="3" t="s">
        <v>1551</v>
      </c>
      <c r="F5562" s="3" t="s">
        <v>1552</v>
      </c>
      <c r="G5562" s="3" t="s">
        <v>94</v>
      </c>
      <c r="H5562" s="2" t="s">
        <v>22</v>
      </c>
      <c r="I5562" s="2" t="s">
        <v>13412</v>
      </c>
      <c r="J5562" s="3" t="str">
        <f>HYPERLINK("https://www.boe.es/gazeta/dias/1809/06/12/pdfs/GGB-1809-36.pdf#page=5","Abrir facsímil")</f>
        <v>Abrir facsímil</v>
      </c>
      <c r="K5562" s="3" t="s">
        <v>24</v>
      </c>
    </row>
    <row r="5563" spans="1:11" ht="42" customHeight="1">
      <c r="A5563" s="2" t="s">
        <v>13413</v>
      </c>
      <c r="B5563" s="2" t="s">
        <v>13414</v>
      </c>
      <c r="C5563" s="2" t="s">
        <v>17</v>
      </c>
      <c r="D5563" s="2" t="s">
        <v>80</v>
      </c>
      <c r="E5563" s="3" t="s">
        <v>248</v>
      </c>
      <c r="F5563" s="3" t="s">
        <v>249</v>
      </c>
      <c r="G5563" s="3" t="s">
        <v>234</v>
      </c>
      <c r="H5563" s="2" t="s">
        <v>22</v>
      </c>
      <c r="I5563" s="2" t="s">
        <v>13415</v>
      </c>
      <c r="J5563" s="3" t="str">
        <f>HYPERLINK("https://www.boe.es/gazeta/dias/1809/07/26/pdfs/GGB-1809-48E.pdf#page=3","Abrir facsímil")</f>
        <v>Abrir facsímil</v>
      </c>
      <c r="K5563" s="3" t="s">
        <v>24</v>
      </c>
    </row>
    <row r="5564" spans="1:11" ht="42" customHeight="1">
      <c r="A5564" s="2" t="s">
        <v>13416</v>
      </c>
      <c r="B5564" s="2" t="s">
        <v>13417</v>
      </c>
      <c r="C5564" s="2" t="s">
        <v>39</v>
      </c>
      <c r="D5564" s="2" t="s">
        <v>18</v>
      </c>
      <c r="E5564" s="3" t="s">
        <v>283</v>
      </c>
      <c r="F5564" s="3" t="s">
        <v>284</v>
      </c>
      <c r="G5564" s="3" t="s">
        <v>21</v>
      </c>
      <c r="H5564" s="2" t="s">
        <v>22</v>
      </c>
      <c r="I5564" s="2" t="s">
        <v>13418</v>
      </c>
      <c r="J5564" s="3" t="str">
        <f>HYPERLINK("https://www.boe.es/gazeta/dias/1809/02/09/pdfs/GMD-1809-40.pdf#page=4","Abrir facsímil")</f>
        <v>Abrir facsímil</v>
      </c>
      <c r="K5564" s="3" t="s">
        <v>24</v>
      </c>
    </row>
    <row r="5565" spans="1:11" ht="42" customHeight="1">
      <c r="A5565" s="2" t="s">
        <v>13419</v>
      </c>
      <c r="B5565" s="2" t="s">
        <v>13420</v>
      </c>
      <c r="C5565" s="2" t="s">
        <v>25</v>
      </c>
      <c r="D5565" s="2" t="s">
        <v>26</v>
      </c>
      <c r="E5565" s="3" t="s">
        <v>258</v>
      </c>
      <c r="F5565" s="3" t="s">
        <v>910</v>
      </c>
      <c r="G5565" s="3" t="s">
        <v>4236</v>
      </c>
      <c r="H5565" s="2" t="s">
        <v>22</v>
      </c>
      <c r="I5565" s="2" t="s">
        <v>13421</v>
      </c>
      <c r="J5565" s="3" t="str">
        <f>HYPERLINK("https://www.boe.es/gazeta/dias/1809/03/17/pdfs/GGB-1809-12.pdf#page=4","Abrir facsímil")</f>
        <v>Abrir facsímil</v>
      </c>
      <c r="K5565" s="3" t="s">
        <v>24</v>
      </c>
    </row>
    <row r="5566" spans="1:11" ht="42" customHeight="1">
      <c r="A5566" s="2" t="s">
        <v>13422</v>
      </c>
      <c r="B5566" s="2" t="s">
        <v>13423</v>
      </c>
      <c r="C5566" s="2" t="s">
        <v>17</v>
      </c>
      <c r="D5566" s="2" t="s">
        <v>18</v>
      </c>
      <c r="E5566" s="3" t="s">
        <v>33</v>
      </c>
      <c r="F5566" s="3" t="s">
        <v>34</v>
      </c>
      <c r="G5566" s="3" t="s">
        <v>493</v>
      </c>
      <c r="H5566" s="2" t="s">
        <v>22</v>
      </c>
      <c r="I5566" s="2" t="s">
        <v>13424</v>
      </c>
      <c r="J5566" s="3" t="str">
        <f>HYPERLINK("https://www.boe.es/gazeta/dias/1809/12/19/pdfs/GGB-1809-602.pdf#page=6","Abrir facsímil")</f>
        <v>Abrir facsímil</v>
      </c>
      <c r="K5566" s="3" t="s">
        <v>24</v>
      </c>
    </row>
    <row r="5567" spans="1:11" ht="42" customHeight="1">
      <c r="A5567" s="2" t="s">
        <v>13425</v>
      </c>
      <c r="B5567" s="2" t="s">
        <v>13426</v>
      </c>
      <c r="C5567" s="2" t="s">
        <v>39</v>
      </c>
      <c r="D5567" s="2" t="s">
        <v>18</v>
      </c>
      <c r="E5567" s="3" t="s">
        <v>102</v>
      </c>
      <c r="F5567" s="3" t="s">
        <v>103</v>
      </c>
      <c r="G5567" s="3" t="s">
        <v>1706</v>
      </c>
      <c r="H5567" s="2" t="s">
        <v>22</v>
      </c>
      <c r="I5567" s="2" t="s">
        <v>13427</v>
      </c>
      <c r="J5567" s="3" t="str">
        <f>HYPERLINK("https://www.boe.es/gazeta/dias/1809/09/28/pdfs/GGB-1809-252.pdf#page=5","Abrir facsímil")</f>
        <v>Abrir facsímil</v>
      </c>
      <c r="K5567" s="3" t="s">
        <v>24</v>
      </c>
    </row>
    <row r="5568" spans="1:11" ht="42" customHeight="1">
      <c r="A5568" s="2" t="s">
        <v>13428</v>
      </c>
      <c r="B5568" s="2" t="s">
        <v>13429</v>
      </c>
      <c r="C5568" s="2" t="s">
        <v>47</v>
      </c>
      <c r="D5568" s="2" t="s">
        <v>40</v>
      </c>
      <c r="E5568" s="3" t="s">
        <v>33</v>
      </c>
      <c r="F5568" s="3" t="s">
        <v>34</v>
      </c>
      <c r="G5568" s="3" t="s">
        <v>98</v>
      </c>
      <c r="H5568" s="2" t="s">
        <v>22</v>
      </c>
      <c r="I5568" s="2" t="s">
        <v>13430</v>
      </c>
      <c r="J5568" s="3" t="str">
        <f>HYPERLINK("https://www.boe.es/gazeta/dias/1809/12/19/pdfs/GGB-1809-602.pdf#page=2","Abrir facsímil")</f>
        <v>Abrir facsímil</v>
      </c>
      <c r="K5568" s="3" t="s">
        <v>24</v>
      </c>
    </row>
    <row r="5569" spans="1:11" ht="42" customHeight="1">
      <c r="A5569" s="2" t="s">
        <v>13431</v>
      </c>
      <c r="B5569" s="2" t="s">
        <v>13432</v>
      </c>
      <c r="C5569" s="2" t="s">
        <v>79</v>
      </c>
      <c r="D5569" s="2" t="s">
        <v>18</v>
      </c>
      <c r="E5569" s="3" t="s">
        <v>299</v>
      </c>
      <c r="F5569" s="3" t="s">
        <v>300</v>
      </c>
      <c r="G5569" s="3" t="s">
        <v>301</v>
      </c>
      <c r="H5569" s="2" t="s">
        <v>22</v>
      </c>
      <c r="I5569" s="2" t="s">
        <v>13433</v>
      </c>
      <c r="J5569" s="3" t="str">
        <f>HYPERLINK("https://www.boe.es/gazeta/dias/1809/05/26/pdfs/GGB-1809-31.pdf#page=10","Abrir facsímil")</f>
        <v>Abrir facsímil</v>
      </c>
      <c r="K5569" s="3" t="s">
        <v>24</v>
      </c>
    </row>
    <row r="5570" spans="1:11" ht="42" customHeight="1">
      <c r="A5570" s="2" t="s">
        <v>13434</v>
      </c>
      <c r="B5570" s="2" t="s">
        <v>13435</v>
      </c>
      <c r="C5570" s="2" t="s">
        <v>25</v>
      </c>
      <c r="D5570" s="2" t="s">
        <v>26</v>
      </c>
      <c r="E5570" s="3" t="s">
        <v>515</v>
      </c>
      <c r="F5570" s="3" t="s">
        <v>3947</v>
      </c>
      <c r="G5570" s="3" t="s">
        <v>687</v>
      </c>
      <c r="H5570" s="2" t="s">
        <v>22</v>
      </c>
      <c r="I5570" s="2" t="s">
        <v>13436</v>
      </c>
      <c r="J5570" s="3" t="str">
        <f>HYPERLINK("https://www.boe.es/gazeta/dias/1809/09/02/pdfs/GGB-1809-142.pdf#page=8","Abrir facsímil")</f>
        <v>Abrir facsímil</v>
      </c>
      <c r="K5570" s="3" t="s">
        <v>24</v>
      </c>
    </row>
    <row r="5571" spans="1:11" ht="42" customHeight="1">
      <c r="A5571" s="2" t="s">
        <v>13437</v>
      </c>
      <c r="B5571" s="2" t="s">
        <v>13438</v>
      </c>
      <c r="C5571" s="2" t="s">
        <v>47</v>
      </c>
      <c r="D5571" s="2" t="s">
        <v>107</v>
      </c>
      <c r="E5571" s="3" t="s">
        <v>609</v>
      </c>
      <c r="F5571" s="3" t="s">
        <v>3060</v>
      </c>
      <c r="G5571" s="3" t="s">
        <v>29</v>
      </c>
      <c r="H5571" s="2" t="s">
        <v>22</v>
      </c>
      <c r="I5571" s="2" t="s">
        <v>13439</v>
      </c>
      <c r="J5571" s="3" t="str">
        <f>HYPERLINK("https://www.boe.es/gazeta/dias/1809/11/25/pdfs/GMD-1809-330.pdf#page=3","Abrir facsímil")</f>
        <v>Abrir facsímil</v>
      </c>
      <c r="K5571" s="3" t="s">
        <v>24</v>
      </c>
    </row>
    <row r="5572" spans="1:11" ht="42" customHeight="1">
      <c r="A5572" s="2" t="s">
        <v>13440</v>
      </c>
      <c r="B5572" s="2" t="s">
        <v>13441</v>
      </c>
      <c r="C5572" s="2" t="s">
        <v>39</v>
      </c>
      <c r="D5572" s="2" t="s">
        <v>18</v>
      </c>
      <c r="E5572" s="3" t="s">
        <v>322</v>
      </c>
      <c r="F5572" s="3" t="s">
        <v>435</v>
      </c>
      <c r="G5572" s="3" t="s">
        <v>136</v>
      </c>
      <c r="H5572" s="2" t="s">
        <v>22</v>
      </c>
      <c r="I5572" s="2" t="s">
        <v>13442</v>
      </c>
      <c r="J5572" s="3" t="str">
        <f>HYPERLINK("https://www.boe.es/gazeta/dias/1809/07/21/pdfs/GGB-1809-47.pdf#page=12","Abrir facsímil")</f>
        <v>Abrir facsímil</v>
      </c>
      <c r="K5572" s="3" t="s">
        <v>24</v>
      </c>
    </row>
    <row r="5573" spans="1:11" ht="42" customHeight="1">
      <c r="A5573" s="2" t="s">
        <v>13443</v>
      </c>
      <c r="B5573" s="2" t="s">
        <v>13444</v>
      </c>
      <c r="C5573" s="2" t="s">
        <v>47</v>
      </c>
      <c r="D5573" s="2" t="s">
        <v>18</v>
      </c>
      <c r="E5573" s="3" t="s">
        <v>695</v>
      </c>
      <c r="F5573" s="3" t="s">
        <v>696</v>
      </c>
      <c r="G5573" s="3" t="s">
        <v>7604</v>
      </c>
      <c r="H5573" s="2" t="s">
        <v>22</v>
      </c>
      <c r="I5573" s="2" t="s">
        <v>13445</v>
      </c>
      <c r="J5573" s="3" t="str">
        <f>HYPERLINK("https://www.boe.es/gazeta/dias/1809/10/24/pdfs/GGB-1809-362.pdf#page=1","Abrir facsímil")</f>
        <v>Abrir facsímil</v>
      </c>
      <c r="K5573" s="3" t="s">
        <v>24</v>
      </c>
    </row>
    <row r="5574" spans="1:11" ht="42" customHeight="1">
      <c r="A5574" s="2" t="s">
        <v>13446</v>
      </c>
      <c r="B5574" s="2" t="s">
        <v>13447</v>
      </c>
      <c r="C5574" s="2" t="s">
        <v>17</v>
      </c>
      <c r="D5574" s="2" t="s">
        <v>18</v>
      </c>
      <c r="E5574" s="3" t="s">
        <v>357</v>
      </c>
      <c r="F5574" s="3" t="s">
        <v>358</v>
      </c>
      <c r="G5574" s="3" t="s">
        <v>225</v>
      </c>
      <c r="H5574" s="2" t="s">
        <v>22</v>
      </c>
      <c r="I5574" s="2" t="s">
        <v>13448</v>
      </c>
      <c r="J5574" s="3" t="str">
        <f>HYPERLINK("https://www.boe.es/gazeta/dias/1809/03/20/pdfs/GMD-1809-79.pdf#page=4","Abrir facsímil")</f>
        <v>Abrir facsímil</v>
      </c>
      <c r="K5574" s="3" t="s">
        <v>24</v>
      </c>
    </row>
    <row r="5575" spans="1:11" ht="42" customHeight="1">
      <c r="A5575" s="2" t="s">
        <v>13449</v>
      </c>
      <c r="B5575" s="2" t="s">
        <v>13450</v>
      </c>
      <c r="C5575" s="2" t="s">
        <v>17</v>
      </c>
      <c r="D5575" s="2" t="s">
        <v>72</v>
      </c>
      <c r="E5575" s="3" t="s">
        <v>864</v>
      </c>
      <c r="F5575" s="3" t="s">
        <v>2291</v>
      </c>
      <c r="G5575" s="3" t="s">
        <v>2292</v>
      </c>
      <c r="H5575" s="2" t="s">
        <v>22</v>
      </c>
      <c r="I5575" s="2" t="s">
        <v>13451</v>
      </c>
      <c r="J5575" s="3" t="str">
        <f>HYPERLINK("https://www.boe.es/gazeta/dias/1809/08/31/pdfs/GGB-H-1809-132.pdf#page=3","Abrir facsímil")</f>
        <v>Abrir facsímil</v>
      </c>
      <c r="K5575" s="3" t="s">
        <v>24</v>
      </c>
    </row>
    <row r="5576" spans="1:11" ht="42" customHeight="1">
      <c r="A5576" s="2" t="s">
        <v>13452</v>
      </c>
      <c r="B5576" s="2" t="s">
        <v>13453</v>
      </c>
      <c r="C5576" s="2" t="s">
        <v>25</v>
      </c>
      <c r="D5576" s="2" t="s">
        <v>18</v>
      </c>
      <c r="E5576" s="3" t="s">
        <v>730</v>
      </c>
      <c r="F5576" s="3" t="s">
        <v>3423</v>
      </c>
      <c r="G5576" s="3" t="s">
        <v>234</v>
      </c>
      <c r="H5576" s="2" t="s">
        <v>22</v>
      </c>
      <c r="I5576" s="2" t="s">
        <v>13454</v>
      </c>
      <c r="J5576" s="3" t="str">
        <f>HYPERLINK("https://www.boe.es/gazeta/dias/1809/06/23/pdfs/GGB-1809-39.pdf#page=7","Abrir facsímil")</f>
        <v>Abrir facsímil</v>
      </c>
      <c r="K5576" s="3" t="s">
        <v>24</v>
      </c>
    </row>
    <row r="5577" spans="1:11" ht="42" customHeight="1">
      <c r="A5577" s="2" t="s">
        <v>13455</v>
      </c>
      <c r="B5577" s="2" t="s">
        <v>13456</v>
      </c>
      <c r="C5577" s="2" t="s">
        <v>369</v>
      </c>
      <c r="D5577" s="2" t="s">
        <v>40</v>
      </c>
      <c r="E5577" s="3" t="s">
        <v>216</v>
      </c>
      <c r="F5577" s="3" t="s">
        <v>2440</v>
      </c>
      <c r="G5577" s="3" t="s">
        <v>110</v>
      </c>
      <c r="H5577" s="2" t="s">
        <v>22</v>
      </c>
      <c r="I5577" s="2" t="s">
        <v>13457</v>
      </c>
      <c r="J5577" s="3" t="str">
        <f>HYPERLINK("https://www.boe.es/gazeta/dias/1809/12/05/pdfs/GGB-1809-542.pdf#page=8","Abrir facsímil")</f>
        <v>Abrir facsímil</v>
      </c>
      <c r="K5577" s="3" t="s">
        <v>24</v>
      </c>
    </row>
    <row r="5578" spans="1:11" ht="42" customHeight="1">
      <c r="A5578" s="2" t="s">
        <v>13458</v>
      </c>
      <c r="B5578" s="2" t="s">
        <v>13459</v>
      </c>
      <c r="C5578" s="2" t="s">
        <v>369</v>
      </c>
      <c r="D5578" s="2" t="s">
        <v>18</v>
      </c>
      <c r="E5578" s="3" t="s">
        <v>864</v>
      </c>
      <c r="F5578" s="3" t="s">
        <v>865</v>
      </c>
      <c r="G5578" s="3" t="s">
        <v>225</v>
      </c>
      <c r="H5578" s="2" t="s">
        <v>22</v>
      </c>
      <c r="I5578" s="2" t="s">
        <v>13460</v>
      </c>
      <c r="J5578" s="3" t="str">
        <f>HYPERLINK("https://www.boe.es/gazeta/dias/1809/08/31/pdfs/GMD-1809-244.pdf#page=4","Abrir facsímil")</f>
        <v>Abrir facsímil</v>
      </c>
      <c r="K5578" s="3" t="s">
        <v>24</v>
      </c>
    </row>
    <row r="5579" spans="1:11" ht="42" customHeight="1">
      <c r="A5579" s="2" t="s">
        <v>13461</v>
      </c>
      <c r="B5579" s="2" t="s">
        <v>13462</v>
      </c>
      <c r="C5579" s="2" t="s">
        <v>17</v>
      </c>
      <c r="D5579" s="2" t="s">
        <v>18</v>
      </c>
      <c r="E5579" s="3" t="s">
        <v>1468</v>
      </c>
      <c r="F5579" s="3" t="s">
        <v>1469</v>
      </c>
      <c r="G5579" s="3" t="s">
        <v>4249</v>
      </c>
      <c r="H5579" s="2" t="s">
        <v>22</v>
      </c>
      <c r="I5579" s="2" t="s">
        <v>13463</v>
      </c>
      <c r="J5579" s="3" t="str">
        <f>HYPERLINK("https://www.boe.es/gazeta/dias/1809/02/12/pdfs/GMD-1809-43.pdf#page=8","Abrir facsímil")</f>
        <v>Abrir facsímil</v>
      </c>
      <c r="K5579" s="3" t="s">
        <v>24</v>
      </c>
    </row>
    <row r="5580" spans="1:11" ht="42" customHeight="1">
      <c r="A5580" s="2" t="s">
        <v>13464</v>
      </c>
      <c r="B5580" s="2" t="s">
        <v>13465</v>
      </c>
      <c r="C5580" s="2" t="s">
        <v>25</v>
      </c>
      <c r="D5580" s="2" t="s">
        <v>26</v>
      </c>
      <c r="E5580" s="3" t="s">
        <v>2249</v>
      </c>
      <c r="F5580" s="3" t="s">
        <v>2250</v>
      </c>
      <c r="G5580" s="3" t="s">
        <v>2251</v>
      </c>
      <c r="H5580" s="2" t="s">
        <v>22</v>
      </c>
      <c r="I5580" s="2" t="s">
        <v>13466</v>
      </c>
      <c r="J5580" s="3" t="str">
        <f>HYPERLINK("https://www.boe.es/gazeta/dias/1809/06/08/pdfs/GMD-1809-159.pdf#page=4","Abrir facsímil")</f>
        <v>Abrir facsímil</v>
      </c>
      <c r="K5580" s="3" t="s">
        <v>24</v>
      </c>
    </row>
    <row r="5581" spans="1:11" ht="42" customHeight="1">
      <c r="A5581" s="2" t="s">
        <v>13467</v>
      </c>
      <c r="B5581" s="2" t="s">
        <v>13468</v>
      </c>
      <c r="C5581" s="2" t="s">
        <v>47</v>
      </c>
      <c r="D5581" s="2" t="s">
        <v>18</v>
      </c>
      <c r="E5581" s="3" t="s">
        <v>523</v>
      </c>
      <c r="F5581" s="3" t="s">
        <v>524</v>
      </c>
      <c r="G5581" s="3" t="s">
        <v>525</v>
      </c>
      <c r="H5581" s="2" t="s">
        <v>22</v>
      </c>
      <c r="I5581" s="2" t="s">
        <v>13469</v>
      </c>
      <c r="J5581" s="3" t="str">
        <f>HYPERLINK("https://www.boe.es/gazeta/dias/1809/02/14/pdfs/GMD-1809-45.pdf#page=1","Abrir facsímil")</f>
        <v>Abrir facsímil</v>
      </c>
      <c r="K5581" s="3" t="s">
        <v>24</v>
      </c>
    </row>
    <row r="5582" spans="1:11" ht="42" customHeight="1">
      <c r="A5582" s="2" t="s">
        <v>13470</v>
      </c>
      <c r="B5582" s="2" t="s">
        <v>13471</v>
      </c>
      <c r="C5582" s="2" t="s">
        <v>131</v>
      </c>
      <c r="D5582" s="2" t="s">
        <v>18</v>
      </c>
      <c r="E5582" s="3" t="s">
        <v>2473</v>
      </c>
      <c r="F5582" s="3" t="s">
        <v>2474</v>
      </c>
      <c r="G5582" s="3" t="s">
        <v>29</v>
      </c>
      <c r="H5582" s="2" t="s">
        <v>22</v>
      </c>
      <c r="I5582" s="2" t="s">
        <v>13472</v>
      </c>
      <c r="J5582" s="3" t="str">
        <f>HYPERLINK("https://www.boe.es/gazeta/dias/1809/02/16/pdfs/GMD-1809-47.pdf#page=3","Abrir facsímil")</f>
        <v>Abrir facsímil</v>
      </c>
      <c r="K5582" s="3" t="s">
        <v>24</v>
      </c>
    </row>
    <row r="5583" spans="1:11" ht="42" customHeight="1">
      <c r="A5583" s="2" t="s">
        <v>13473</v>
      </c>
      <c r="B5583" s="2" t="s">
        <v>13474</v>
      </c>
      <c r="C5583" s="2" t="s">
        <v>17</v>
      </c>
      <c r="D5583" s="2" t="s">
        <v>18</v>
      </c>
      <c r="E5583" s="3" t="s">
        <v>305</v>
      </c>
      <c r="F5583" s="3" t="s">
        <v>306</v>
      </c>
      <c r="G5583" s="3" t="s">
        <v>29</v>
      </c>
      <c r="H5583" s="2" t="s">
        <v>22</v>
      </c>
      <c r="I5583" s="2" t="s">
        <v>13475</v>
      </c>
      <c r="J5583" s="3" t="str">
        <f>HYPERLINK("https://www.boe.es/gazeta/dias/1809/10/20/pdfs/GMD-1809-294.pdf#page=3","Abrir facsímil")</f>
        <v>Abrir facsímil</v>
      </c>
      <c r="K5583" s="3" t="s">
        <v>24</v>
      </c>
    </row>
    <row r="5584" spans="1:11" ht="42" customHeight="1">
      <c r="A5584" s="2" t="s">
        <v>13476</v>
      </c>
      <c r="B5584" s="2" t="s">
        <v>13477</v>
      </c>
      <c r="C5584" s="2" t="s">
        <v>17</v>
      </c>
      <c r="D5584" s="2" t="s">
        <v>18</v>
      </c>
      <c r="E5584" s="3" t="s">
        <v>838</v>
      </c>
      <c r="F5584" s="3" t="s">
        <v>839</v>
      </c>
      <c r="G5584" s="3" t="s">
        <v>906</v>
      </c>
      <c r="H5584" s="2" t="s">
        <v>22</v>
      </c>
      <c r="I5584" s="2" t="s">
        <v>13478</v>
      </c>
      <c r="J5584" s="3" t="str">
        <f>HYPERLINK("https://www.boe.es/gazeta/dias/1809/08/03/pdfs/GGB-1809-12.pdf#page=8","Abrir facsímil")</f>
        <v>Abrir facsímil</v>
      </c>
      <c r="K5584" s="3" t="s">
        <v>24</v>
      </c>
    </row>
    <row r="5585" spans="1:11" ht="42" customHeight="1">
      <c r="A5585" s="2" t="s">
        <v>13479</v>
      </c>
      <c r="B5585" s="2" t="s">
        <v>13480</v>
      </c>
      <c r="C5585" s="2" t="s">
        <v>25</v>
      </c>
      <c r="D5585" s="2" t="s">
        <v>26</v>
      </c>
      <c r="E5585" s="3" t="s">
        <v>143</v>
      </c>
      <c r="F5585" s="3" t="s">
        <v>705</v>
      </c>
      <c r="G5585" s="3" t="s">
        <v>225</v>
      </c>
      <c r="H5585" s="2" t="s">
        <v>22</v>
      </c>
      <c r="I5585" s="2" t="s">
        <v>13481</v>
      </c>
      <c r="J5585" s="3" t="str">
        <f>HYPERLINK("https://www.boe.es/gazeta/dias/1809/11/16/pdfs/GGB-H-1809-462.pdf#page=4","Abrir facsímil")</f>
        <v>Abrir facsímil</v>
      </c>
      <c r="K5585" s="3" t="s">
        <v>24</v>
      </c>
    </row>
    <row r="5586" spans="1:11" ht="42" customHeight="1">
      <c r="A5586" s="2" t="s">
        <v>13482</v>
      </c>
      <c r="B5586" s="2" t="s">
        <v>13483</v>
      </c>
      <c r="C5586" s="2" t="s">
        <v>25</v>
      </c>
      <c r="D5586" s="2" t="s">
        <v>18</v>
      </c>
      <c r="E5586" s="3" t="s">
        <v>712</v>
      </c>
      <c r="F5586" s="3" t="s">
        <v>713</v>
      </c>
      <c r="G5586" s="3" t="s">
        <v>154</v>
      </c>
      <c r="H5586" s="2" t="s">
        <v>22</v>
      </c>
      <c r="I5586" s="2" t="s">
        <v>13484</v>
      </c>
      <c r="J5586" s="3" t="str">
        <f>HYPERLINK("https://www.boe.es/gazeta/dias/1809/09/10/pdfs/GMD-1809-254.pdf#page=3","Abrir facsímil")</f>
        <v>Abrir facsímil</v>
      </c>
      <c r="K5586" s="3" t="s">
        <v>24</v>
      </c>
    </row>
    <row r="5587" spans="1:11" ht="42" customHeight="1">
      <c r="A5587" s="2" t="s">
        <v>13482</v>
      </c>
      <c r="B5587" s="2" t="s">
        <v>13483</v>
      </c>
      <c r="C5587" s="2" t="s">
        <v>17</v>
      </c>
      <c r="D5587" s="2" t="s">
        <v>18</v>
      </c>
      <c r="E5587" s="3" t="s">
        <v>102</v>
      </c>
      <c r="F5587" s="3" t="s">
        <v>103</v>
      </c>
      <c r="G5587" s="3" t="s">
        <v>1091</v>
      </c>
      <c r="H5587" s="2" t="s">
        <v>22</v>
      </c>
      <c r="I5587" s="2" t="s">
        <v>13485</v>
      </c>
      <c r="J5587" s="3" t="str">
        <f>HYPERLINK("https://www.boe.es/gazeta/dias/1809/09/28/pdfs/GGB-1809-252.pdf#page=6","Abrir facsímil")</f>
        <v>Abrir facsímil</v>
      </c>
      <c r="K5587" s="3" t="s">
        <v>24</v>
      </c>
    </row>
    <row r="5588" spans="1:11" ht="42" customHeight="1">
      <c r="A5588" s="2" t="s">
        <v>13486</v>
      </c>
      <c r="B5588" s="2" t="s">
        <v>13487</v>
      </c>
      <c r="C5588" s="2" t="s">
        <v>79</v>
      </c>
      <c r="D5588" s="2" t="s">
        <v>18</v>
      </c>
      <c r="E5588" s="3" t="s">
        <v>2473</v>
      </c>
      <c r="F5588" s="3" t="s">
        <v>2474</v>
      </c>
      <c r="G5588" s="3" t="s">
        <v>29</v>
      </c>
      <c r="H5588" s="2" t="s">
        <v>22</v>
      </c>
      <c r="I5588" s="2" t="s">
        <v>13488</v>
      </c>
      <c r="J5588" s="3" t="str">
        <f>HYPERLINK("https://www.boe.es/gazeta/dias/1809/02/16/pdfs/GMD-1809-47.pdf#page=3","Abrir facsímil")</f>
        <v>Abrir facsímil</v>
      </c>
      <c r="K5588" s="3" t="s">
        <v>24</v>
      </c>
    </row>
    <row r="5589" spans="1:11" ht="42" customHeight="1">
      <c r="A5589" s="2" t="s">
        <v>13489</v>
      </c>
      <c r="B5589" s="2" t="s">
        <v>13490</v>
      </c>
      <c r="C5589" s="2" t="s">
        <v>25</v>
      </c>
      <c r="D5589" s="2" t="s">
        <v>18</v>
      </c>
      <c r="E5589" s="3" t="s">
        <v>123</v>
      </c>
      <c r="F5589" s="3" t="s">
        <v>310</v>
      </c>
      <c r="G5589" s="3" t="s">
        <v>120</v>
      </c>
      <c r="H5589" s="2" t="s">
        <v>22</v>
      </c>
      <c r="I5589" s="2" t="s">
        <v>13491</v>
      </c>
      <c r="J5589" s="3" t="str">
        <f>HYPERLINK("https://www.boe.es/gazeta/dias/1809/04/21/pdfs/GGB-1809-20.pdf#page=4","Abrir facsímil")</f>
        <v>Abrir facsímil</v>
      </c>
      <c r="K5589" s="3" t="s">
        <v>24</v>
      </c>
    </row>
    <row r="5590" spans="1:11" ht="42" customHeight="1">
      <c r="A5590" s="2" t="s">
        <v>13492</v>
      </c>
      <c r="B5590" s="2" t="s">
        <v>13493</v>
      </c>
      <c r="C5590" s="2" t="s">
        <v>25</v>
      </c>
      <c r="D5590" s="2" t="s">
        <v>26</v>
      </c>
      <c r="E5590" s="3" t="s">
        <v>838</v>
      </c>
      <c r="F5590" s="3" t="s">
        <v>839</v>
      </c>
      <c r="G5590" s="3" t="s">
        <v>906</v>
      </c>
      <c r="H5590" s="2" t="s">
        <v>22</v>
      </c>
      <c r="I5590" s="2" t="s">
        <v>13494</v>
      </c>
      <c r="J5590" s="3" t="str">
        <f>HYPERLINK("https://www.boe.es/gazeta/dias/1809/08/03/pdfs/GGB-1809-12.pdf#page=8","Abrir facsímil")</f>
        <v>Abrir facsímil</v>
      </c>
      <c r="K5590" s="3" t="s">
        <v>24</v>
      </c>
    </row>
    <row r="5591" spans="1:11" ht="42" customHeight="1">
      <c r="A5591" s="2" t="s">
        <v>13495</v>
      </c>
      <c r="B5591" s="2" t="s">
        <v>13496</v>
      </c>
      <c r="C5591" s="2" t="s">
        <v>17</v>
      </c>
      <c r="D5591" s="2" t="s">
        <v>72</v>
      </c>
      <c r="E5591" s="3" t="s">
        <v>776</v>
      </c>
      <c r="F5591" s="3" t="s">
        <v>777</v>
      </c>
      <c r="G5591" s="3" t="s">
        <v>21</v>
      </c>
      <c r="H5591" s="2" t="s">
        <v>22</v>
      </c>
      <c r="I5591" s="2" t="s">
        <v>13497</v>
      </c>
      <c r="J5591" s="3" t="str">
        <f>HYPERLINK("https://www.boe.es/gazeta/dias/1809/05/28/pdfs/GMD-E-1809-148.pdf#page=2","Abrir facsímil")</f>
        <v>Abrir facsímil</v>
      </c>
      <c r="K5591" s="3" t="s">
        <v>24</v>
      </c>
    </row>
    <row r="5592" spans="1:11" ht="42" customHeight="1">
      <c r="A5592" s="2" t="s">
        <v>13498</v>
      </c>
      <c r="B5592" s="2" t="s">
        <v>13499</v>
      </c>
      <c r="C5592" s="2" t="s">
        <v>25</v>
      </c>
      <c r="D5592" s="2" t="s">
        <v>26</v>
      </c>
      <c r="E5592" s="3" t="s">
        <v>143</v>
      </c>
      <c r="F5592" s="3" t="s">
        <v>705</v>
      </c>
      <c r="G5592" s="3" t="s">
        <v>110</v>
      </c>
      <c r="H5592" s="2" t="s">
        <v>22</v>
      </c>
      <c r="I5592" s="2" t="s">
        <v>13500</v>
      </c>
      <c r="J5592" s="3" t="str">
        <f>HYPERLINK("https://www.boe.es/gazeta/dias/1809/11/16/pdfs/GGB-H-1809-462.pdf#page=3","Abrir facsímil")</f>
        <v>Abrir facsímil</v>
      </c>
      <c r="K5592" s="3" t="s">
        <v>24</v>
      </c>
    </row>
    <row r="5593" spans="1:11" ht="42" customHeight="1">
      <c r="A5593" s="2" t="s">
        <v>13501</v>
      </c>
      <c r="B5593" s="2" t="s">
        <v>13502</v>
      </c>
      <c r="C5593" s="2" t="s">
        <v>17</v>
      </c>
      <c r="D5593" s="2" t="s">
        <v>18</v>
      </c>
      <c r="E5593" s="3" t="s">
        <v>925</v>
      </c>
      <c r="F5593" s="3" t="s">
        <v>926</v>
      </c>
      <c r="G5593" s="3" t="s">
        <v>595</v>
      </c>
      <c r="H5593" s="2" t="s">
        <v>22</v>
      </c>
      <c r="I5593" s="2" t="s">
        <v>13503</v>
      </c>
      <c r="J5593" s="3" t="str">
        <f>HYPERLINK("https://www.boe.es/gazeta/dias/1809/01/11/pdfs/GGB-1809-2.pdf#page=7","Abrir facsímil")</f>
        <v>Abrir facsímil</v>
      </c>
      <c r="K5593" s="3" t="s">
        <v>24</v>
      </c>
    </row>
    <row r="5594" spans="1:11" ht="42" customHeight="1">
      <c r="A5594" s="2" t="s">
        <v>13504</v>
      </c>
      <c r="B5594" s="2" t="s">
        <v>13505</v>
      </c>
      <c r="C5594" s="2" t="s">
        <v>17</v>
      </c>
      <c r="D5594" s="2" t="s">
        <v>72</v>
      </c>
      <c r="E5594" s="3" t="s">
        <v>2599</v>
      </c>
      <c r="F5594" s="3" t="s">
        <v>3377</v>
      </c>
      <c r="G5594" s="3" t="s">
        <v>75</v>
      </c>
      <c r="H5594" s="2" t="s">
        <v>22</v>
      </c>
      <c r="I5594" s="2" t="s">
        <v>13506</v>
      </c>
      <c r="J5594" s="3" t="str">
        <f>HYPERLINK("https://www.boe.es/gazeta/dias/1809/05/11/pdfs/GMD-E-1809-131.pdf#page=2","Abrir facsímil")</f>
        <v>Abrir facsímil</v>
      </c>
      <c r="K5594" s="3" t="s">
        <v>24</v>
      </c>
    </row>
    <row r="5595" spans="1:11" ht="42" customHeight="1">
      <c r="A5595" s="2" t="s">
        <v>13507</v>
      </c>
      <c r="B5595" s="2" t="s">
        <v>13508</v>
      </c>
      <c r="C5595" s="2" t="s">
        <v>17</v>
      </c>
      <c r="D5595" s="2" t="s">
        <v>18</v>
      </c>
      <c r="E5595" s="3" t="s">
        <v>712</v>
      </c>
      <c r="F5595" s="3" t="s">
        <v>713</v>
      </c>
      <c r="G5595" s="3" t="s">
        <v>120</v>
      </c>
      <c r="H5595" s="2" t="s">
        <v>22</v>
      </c>
      <c r="I5595" s="2" t="s">
        <v>13509</v>
      </c>
      <c r="J5595" s="3" t="str">
        <f>HYPERLINK("https://www.boe.es/gazeta/dias/1809/09/10/pdfs/GMD-1809-254.pdf#page=2","Abrir facsímil")</f>
        <v>Abrir facsímil</v>
      </c>
      <c r="K5595" s="3" t="s">
        <v>24</v>
      </c>
    </row>
    <row r="5596" spans="1:11" ht="42" customHeight="1">
      <c r="A5596" s="2" t="s">
        <v>13510</v>
      </c>
      <c r="B5596" s="2" t="s">
        <v>13511</v>
      </c>
      <c r="C5596" s="2" t="s">
        <v>25</v>
      </c>
      <c r="D5596" s="2" t="s">
        <v>26</v>
      </c>
      <c r="E5596" s="3" t="s">
        <v>1948</v>
      </c>
      <c r="F5596" s="3" t="s">
        <v>2055</v>
      </c>
      <c r="G5596" s="3" t="s">
        <v>234</v>
      </c>
      <c r="H5596" s="2" t="s">
        <v>22</v>
      </c>
      <c r="I5596" s="2" t="s">
        <v>13512</v>
      </c>
      <c r="J5596" s="3" t="str">
        <f>HYPERLINK("https://www.boe.es/gazeta/dias/1809/12/23/pdfs/GMD-1809-358.pdf#page=4","Abrir facsímil")</f>
        <v>Abrir facsímil</v>
      </c>
      <c r="K5596" s="3" t="s">
        <v>24</v>
      </c>
    </row>
    <row r="5597" spans="1:11" ht="42" customHeight="1">
      <c r="A5597" s="2" t="s">
        <v>13513</v>
      </c>
      <c r="B5597" s="2" t="s">
        <v>13514</v>
      </c>
      <c r="C5597" s="2" t="s">
        <v>369</v>
      </c>
      <c r="D5597" s="2" t="s">
        <v>40</v>
      </c>
      <c r="E5597" s="3" t="s">
        <v>449</v>
      </c>
      <c r="F5597" s="3" t="s">
        <v>450</v>
      </c>
      <c r="G5597" s="3" t="s">
        <v>13515</v>
      </c>
      <c r="H5597" s="2" t="s">
        <v>22</v>
      </c>
      <c r="I5597" s="2" t="s">
        <v>13516</v>
      </c>
      <c r="J5597" s="3" t="str">
        <f>HYPERLINK("https://www.boe.es/gazeta/dias/1809/10/10/pdfs/GGB-1809-302.pdf#page=8","Abrir facsímil")</f>
        <v>Abrir facsímil</v>
      </c>
      <c r="K5597" s="3" t="s">
        <v>24</v>
      </c>
    </row>
    <row r="5598" spans="1:11" ht="42" customHeight="1">
      <c r="A5598" s="2" t="s">
        <v>13517</v>
      </c>
      <c r="B5598" s="2" t="s">
        <v>13518</v>
      </c>
      <c r="C5598" s="2" t="s">
        <v>25</v>
      </c>
      <c r="D5598" s="2" t="s">
        <v>26</v>
      </c>
      <c r="E5598" s="3" t="s">
        <v>2607</v>
      </c>
      <c r="F5598" s="3" t="s">
        <v>7682</v>
      </c>
      <c r="G5598" s="3" t="s">
        <v>141</v>
      </c>
      <c r="H5598" s="2" t="s">
        <v>22</v>
      </c>
      <c r="I5598" s="2" t="s">
        <v>13519</v>
      </c>
      <c r="J5598" s="3" t="str">
        <f>HYPERLINK("https://www.boe.es/gazeta/dias/1809/04/30/pdfs/GMD-E-1809-120.pdf#page=1","Abrir facsímil")</f>
        <v>Abrir facsímil</v>
      </c>
      <c r="K5598" s="3" t="s">
        <v>24</v>
      </c>
    </row>
    <row r="5599" spans="1:11" ht="42" customHeight="1">
      <c r="A5599" s="2" t="s">
        <v>13520</v>
      </c>
      <c r="B5599" s="2" t="s">
        <v>13521</v>
      </c>
      <c r="C5599" s="2" t="s">
        <v>25</v>
      </c>
      <c r="D5599" s="2" t="s">
        <v>18</v>
      </c>
      <c r="E5599" s="3" t="s">
        <v>776</v>
      </c>
      <c r="F5599" s="3" t="s">
        <v>6138</v>
      </c>
      <c r="G5599" s="3" t="s">
        <v>6049</v>
      </c>
      <c r="H5599" s="2" t="s">
        <v>22</v>
      </c>
      <c r="I5599" s="2" t="s">
        <v>13522</v>
      </c>
      <c r="J5599" s="3" t="str">
        <f>HYPERLINK("https://www.boe.es/gazeta/dias/1809/05/28/pdfs/GMD-1809-148.pdf#page=1","Abrir facsímil")</f>
        <v>Abrir facsímil</v>
      </c>
      <c r="K5599" s="3" t="s">
        <v>24</v>
      </c>
    </row>
    <row r="5600" spans="1:11" ht="42" customHeight="1">
      <c r="A5600" s="2" t="s">
        <v>13523</v>
      </c>
      <c r="B5600" s="2" t="s">
        <v>13524</v>
      </c>
      <c r="C5600" s="2" t="s">
        <v>25</v>
      </c>
      <c r="D5600" s="2" t="s">
        <v>26</v>
      </c>
      <c r="E5600" s="3" t="s">
        <v>1822</v>
      </c>
      <c r="F5600" s="3" t="s">
        <v>1823</v>
      </c>
      <c r="G5600" s="3" t="s">
        <v>154</v>
      </c>
      <c r="H5600" s="2" t="s">
        <v>22</v>
      </c>
      <c r="I5600" s="2" t="s">
        <v>13525</v>
      </c>
      <c r="J5600" s="3" t="str">
        <f>HYPERLINK("https://www.boe.es/gazeta/dias/1809/10/11/pdfs/GMD-1809-285.pdf#page=2","Abrir facsímil")</f>
        <v>Abrir facsímil</v>
      </c>
      <c r="K5600" s="3" t="s">
        <v>24</v>
      </c>
    </row>
    <row r="5601" spans="1:11" ht="42" customHeight="1">
      <c r="A5601" s="2" t="s">
        <v>13526</v>
      </c>
      <c r="B5601" s="2" t="s">
        <v>13527</v>
      </c>
      <c r="C5601" s="2" t="s">
        <v>47</v>
      </c>
      <c r="D5601" s="2" t="s">
        <v>107</v>
      </c>
      <c r="E5601" s="3" t="s">
        <v>1803</v>
      </c>
      <c r="F5601" s="3" t="s">
        <v>1804</v>
      </c>
      <c r="G5601" s="3" t="s">
        <v>816</v>
      </c>
      <c r="H5601" s="2" t="s">
        <v>22</v>
      </c>
      <c r="I5601" s="2" t="s">
        <v>13528</v>
      </c>
      <c r="J5601" s="3" t="str">
        <f>HYPERLINK("https://www.boe.es/gazeta/dias/1809/10/12/pdfs/GMD-1809-286.pdf#page=1","Abrir facsímil")</f>
        <v>Abrir facsímil</v>
      </c>
      <c r="K5601" s="3" t="s">
        <v>24</v>
      </c>
    </row>
    <row r="5602" spans="1:11" ht="42" customHeight="1">
      <c r="A5602" s="2" t="s">
        <v>13529</v>
      </c>
      <c r="B5602" s="2" t="s">
        <v>13530</v>
      </c>
      <c r="C5602" s="2" t="s">
        <v>17</v>
      </c>
      <c r="D5602" s="2" t="s">
        <v>18</v>
      </c>
      <c r="E5602" s="3" t="s">
        <v>925</v>
      </c>
      <c r="F5602" s="3" t="s">
        <v>926</v>
      </c>
      <c r="G5602" s="3" t="s">
        <v>62</v>
      </c>
      <c r="H5602" s="2" t="s">
        <v>22</v>
      </c>
      <c r="I5602" s="2" t="s">
        <v>13531</v>
      </c>
      <c r="J5602" s="3" t="str">
        <f>HYPERLINK("https://www.boe.es/gazeta/dias/1809/01/11/pdfs/GGB-1809-2.pdf#page=6","Abrir facsímil")</f>
        <v>Abrir facsímil</v>
      </c>
      <c r="K5602" s="3" t="s">
        <v>24</v>
      </c>
    </row>
    <row r="5603" spans="1:11" ht="42" customHeight="1">
      <c r="A5603" s="2" t="s">
        <v>13532</v>
      </c>
      <c r="B5603" s="2" t="s">
        <v>13533</v>
      </c>
      <c r="C5603" s="2" t="s">
        <v>17</v>
      </c>
      <c r="D5603" s="2" t="s">
        <v>18</v>
      </c>
      <c r="E5603" s="3" t="s">
        <v>2599</v>
      </c>
      <c r="F5603" s="3" t="s">
        <v>2600</v>
      </c>
      <c r="G5603" s="3" t="s">
        <v>21</v>
      </c>
      <c r="H5603" s="2" t="s">
        <v>22</v>
      </c>
      <c r="I5603" s="2" t="s">
        <v>13534</v>
      </c>
      <c r="J5603" s="3" t="str">
        <f>HYPERLINK("https://www.boe.es/gazeta/dias/1809/05/11/pdfs/GMD-1809-131.pdf#page=4","Abrir facsímil")</f>
        <v>Abrir facsímil</v>
      </c>
      <c r="K5603" s="3" t="s">
        <v>24</v>
      </c>
    </row>
    <row r="5604" spans="1:11" ht="42" customHeight="1">
      <c r="A5604" s="2" t="s">
        <v>13535</v>
      </c>
      <c r="B5604" s="2" t="s">
        <v>13536</v>
      </c>
      <c r="C5604" s="2" t="s">
        <v>25</v>
      </c>
      <c r="D5604" s="2" t="s">
        <v>107</v>
      </c>
      <c r="E5604" s="3" t="s">
        <v>41</v>
      </c>
      <c r="F5604" s="3" t="s">
        <v>42</v>
      </c>
      <c r="G5604" s="3" t="s">
        <v>6124</v>
      </c>
      <c r="H5604" s="2" t="s">
        <v>22</v>
      </c>
      <c r="I5604" s="2" t="s">
        <v>13537</v>
      </c>
      <c r="J5604" s="3" t="str">
        <f>HYPERLINK("https://www.boe.es/gazeta/dias/1809/03/11/pdfs/GMD-1809-70.pdf#page=2","Abrir facsímil")</f>
        <v>Abrir facsímil</v>
      </c>
      <c r="K5604" s="3" t="s">
        <v>24</v>
      </c>
    </row>
    <row r="5605" spans="1:11" ht="42" customHeight="1">
      <c r="A5605" s="2" t="s">
        <v>13538</v>
      </c>
      <c r="B5605" s="2" t="s">
        <v>13539</v>
      </c>
      <c r="C5605" s="2" t="s">
        <v>25</v>
      </c>
      <c r="D5605" s="2" t="s">
        <v>18</v>
      </c>
      <c r="E5605" s="3" t="s">
        <v>27</v>
      </c>
      <c r="F5605" s="3" t="s">
        <v>28</v>
      </c>
      <c r="G5605" s="3" t="s">
        <v>29</v>
      </c>
      <c r="H5605" s="2" t="s">
        <v>22</v>
      </c>
      <c r="I5605" s="2" t="s">
        <v>13540</v>
      </c>
      <c r="J5605" s="3" t="str">
        <f>HYPERLINK("https://www.boe.es/gazeta/dias/1809/05/12/pdfs/GMD-1809-132.pdf#page=3","Abrir facsímil")</f>
        <v>Abrir facsímil</v>
      </c>
      <c r="K5605" s="3" t="s">
        <v>24</v>
      </c>
    </row>
    <row r="5606" spans="1:11" ht="42" customHeight="1">
      <c r="A5606" s="2" t="s">
        <v>13541</v>
      </c>
      <c r="B5606" s="2" t="s">
        <v>13542</v>
      </c>
      <c r="C5606" s="2" t="s">
        <v>369</v>
      </c>
      <c r="D5606" s="2" t="s">
        <v>18</v>
      </c>
      <c r="E5606" s="3" t="s">
        <v>599</v>
      </c>
      <c r="F5606" s="3" t="s">
        <v>600</v>
      </c>
      <c r="G5606" s="3" t="s">
        <v>601</v>
      </c>
      <c r="H5606" s="2" t="s">
        <v>22</v>
      </c>
      <c r="I5606" s="2" t="s">
        <v>13543</v>
      </c>
      <c r="J5606" s="3" t="str">
        <f t="shared" ref="J5606:J5611" si="0">HYPERLINK("https://www.boe.es/gazeta/dias/1809/01/19/pdfs/GMD-1809-19.pdf#page=4","Abrir facsímil")</f>
        <v>Abrir facsímil</v>
      </c>
      <c r="K5606" s="3" t="s">
        <v>24</v>
      </c>
    </row>
    <row r="5607" spans="1:11" ht="42" customHeight="1">
      <c r="A5607" s="2" t="s">
        <v>13544</v>
      </c>
      <c r="B5607" s="2" t="s">
        <v>13545</v>
      </c>
      <c r="C5607" s="2" t="s">
        <v>17</v>
      </c>
      <c r="D5607" s="2" t="s">
        <v>18</v>
      </c>
      <c r="E5607" s="3" t="s">
        <v>599</v>
      </c>
      <c r="F5607" s="3" t="s">
        <v>600</v>
      </c>
      <c r="G5607" s="3" t="s">
        <v>601</v>
      </c>
      <c r="H5607" s="2" t="s">
        <v>22</v>
      </c>
      <c r="I5607" s="2" t="s">
        <v>13546</v>
      </c>
      <c r="J5607" s="3" t="str">
        <f t="shared" si="0"/>
        <v>Abrir facsímil</v>
      </c>
      <c r="K5607" s="3" t="s">
        <v>24</v>
      </c>
    </row>
    <row r="5608" spans="1:11" ht="42" customHeight="1">
      <c r="A5608" s="2" t="s">
        <v>13547</v>
      </c>
      <c r="B5608" s="2" t="s">
        <v>13548</v>
      </c>
      <c r="C5608" s="2" t="s">
        <v>2176</v>
      </c>
      <c r="D5608" s="2" t="s">
        <v>40</v>
      </c>
      <c r="E5608" s="3" t="s">
        <v>599</v>
      </c>
      <c r="F5608" s="3" t="s">
        <v>600</v>
      </c>
      <c r="G5608" s="3" t="s">
        <v>601</v>
      </c>
      <c r="H5608" s="2" t="s">
        <v>22</v>
      </c>
      <c r="I5608" s="2" t="s">
        <v>13549</v>
      </c>
      <c r="J5608" s="3" t="str">
        <f t="shared" si="0"/>
        <v>Abrir facsímil</v>
      </c>
      <c r="K5608" s="3" t="s">
        <v>24</v>
      </c>
    </row>
    <row r="5609" spans="1:11" ht="42" customHeight="1">
      <c r="A5609" s="2" t="s">
        <v>13550</v>
      </c>
      <c r="B5609" s="2" t="s">
        <v>13551</v>
      </c>
      <c r="C5609" s="2" t="s">
        <v>288</v>
      </c>
      <c r="D5609" s="2" t="s">
        <v>18</v>
      </c>
      <c r="E5609" s="3" t="s">
        <v>599</v>
      </c>
      <c r="F5609" s="3" t="s">
        <v>600</v>
      </c>
      <c r="G5609" s="3" t="s">
        <v>601</v>
      </c>
      <c r="H5609" s="2" t="s">
        <v>22</v>
      </c>
      <c r="I5609" s="2" t="s">
        <v>13552</v>
      </c>
      <c r="J5609" s="3" t="str">
        <f t="shared" si="0"/>
        <v>Abrir facsímil</v>
      </c>
      <c r="K5609" s="3" t="s">
        <v>24</v>
      </c>
    </row>
    <row r="5610" spans="1:11" ht="42" customHeight="1">
      <c r="A5610" s="2" t="s">
        <v>13553</v>
      </c>
      <c r="B5610" s="2" t="s">
        <v>13554</v>
      </c>
      <c r="C5610" s="2" t="s">
        <v>17</v>
      </c>
      <c r="D5610" s="2" t="s">
        <v>18</v>
      </c>
      <c r="E5610" s="3" t="s">
        <v>599</v>
      </c>
      <c r="F5610" s="3" t="s">
        <v>600</v>
      </c>
      <c r="G5610" s="3" t="s">
        <v>601</v>
      </c>
      <c r="H5610" s="2" t="s">
        <v>22</v>
      </c>
      <c r="I5610" s="2" t="s">
        <v>13555</v>
      </c>
      <c r="J5610" s="3" t="str">
        <f t="shared" si="0"/>
        <v>Abrir facsímil</v>
      </c>
      <c r="K5610" s="3" t="s">
        <v>24</v>
      </c>
    </row>
    <row r="5611" spans="1:11" ht="42" customHeight="1">
      <c r="A5611" s="2" t="s">
        <v>13556</v>
      </c>
      <c r="B5611" s="2" t="s">
        <v>13557</v>
      </c>
      <c r="C5611" s="2" t="s">
        <v>288</v>
      </c>
      <c r="D5611" s="2" t="s">
        <v>18</v>
      </c>
      <c r="E5611" s="3" t="s">
        <v>599</v>
      </c>
      <c r="F5611" s="3" t="s">
        <v>600</v>
      </c>
      <c r="G5611" s="3" t="s">
        <v>601</v>
      </c>
      <c r="H5611" s="2" t="s">
        <v>22</v>
      </c>
      <c r="I5611" s="2" t="s">
        <v>13558</v>
      </c>
      <c r="J5611" s="3" t="str">
        <f t="shared" si="0"/>
        <v>Abrir facsímil</v>
      </c>
      <c r="K5611" s="3" t="s">
        <v>24</v>
      </c>
    </row>
    <row r="5612" spans="1:11" ht="42" customHeight="1">
      <c r="A5612" s="2" t="s">
        <v>13559</v>
      </c>
      <c r="B5612" s="2" t="s">
        <v>13560</v>
      </c>
      <c r="C5612" s="2" t="s">
        <v>17</v>
      </c>
      <c r="D5612" s="2" t="s">
        <v>80</v>
      </c>
      <c r="E5612" s="3" t="s">
        <v>248</v>
      </c>
      <c r="F5612" s="3" t="s">
        <v>249</v>
      </c>
      <c r="G5612" s="3" t="s">
        <v>169</v>
      </c>
      <c r="H5612" s="2" t="s">
        <v>22</v>
      </c>
      <c r="I5612" s="2" t="s">
        <v>13561</v>
      </c>
      <c r="J5612" s="3" t="str">
        <f>HYPERLINK("https://www.boe.es/gazeta/dias/1809/07/26/pdfs/GGB-1809-48E.pdf#page=11","Abrir facsímil")</f>
        <v>Abrir facsímil</v>
      </c>
      <c r="K5612" s="3" t="s">
        <v>24</v>
      </c>
    </row>
    <row r="5613" spans="1:11" ht="42" customHeight="1">
      <c r="A5613" s="2" t="s">
        <v>13562</v>
      </c>
      <c r="B5613" s="2" t="s">
        <v>13563</v>
      </c>
      <c r="C5613" s="2" t="s">
        <v>17</v>
      </c>
      <c r="D5613" s="2" t="s">
        <v>18</v>
      </c>
      <c r="E5613" s="3" t="s">
        <v>60</v>
      </c>
      <c r="F5613" s="3" t="s">
        <v>61</v>
      </c>
      <c r="G5613" s="3" t="s">
        <v>29</v>
      </c>
      <c r="H5613" s="2" t="s">
        <v>22</v>
      </c>
      <c r="I5613" s="2" t="s">
        <v>13564</v>
      </c>
      <c r="J5613" s="3" t="str">
        <f>HYPERLINK("https://www.boe.es/gazeta/dias/1809/02/07/pdfs/GMD-1809-38.pdf#page=3","Abrir facsímil")</f>
        <v>Abrir facsímil</v>
      </c>
      <c r="K5613" s="3" t="s">
        <v>24</v>
      </c>
    </row>
    <row r="5614" spans="1:11" ht="42" customHeight="1">
      <c r="A5614" s="2" t="s">
        <v>13565</v>
      </c>
      <c r="B5614" s="2" t="s">
        <v>13566</v>
      </c>
      <c r="C5614" s="2" t="s">
        <v>79</v>
      </c>
      <c r="D5614" s="2" t="s">
        <v>18</v>
      </c>
      <c r="E5614" s="3" t="s">
        <v>893</v>
      </c>
      <c r="F5614" s="3" t="s">
        <v>1348</v>
      </c>
      <c r="G5614" s="3" t="s">
        <v>1938</v>
      </c>
      <c r="H5614" s="2" t="s">
        <v>22</v>
      </c>
      <c r="I5614" s="2" t="s">
        <v>13567</v>
      </c>
      <c r="J5614" s="3" t="str">
        <f>HYPERLINK("https://www.boe.es/gazeta/dias/1809/11/02/pdfs/GGB-1809-402.pdf#page=6","Abrir facsímil")</f>
        <v>Abrir facsímil</v>
      </c>
      <c r="K5614" s="3" t="s">
        <v>24</v>
      </c>
    </row>
    <row r="5615" spans="1:11" ht="42" customHeight="1">
      <c r="A5615" s="2" t="s">
        <v>13568</v>
      </c>
      <c r="B5615" s="2" t="s">
        <v>13569</v>
      </c>
      <c r="C5615" s="2" t="s">
        <v>17</v>
      </c>
      <c r="D5615" s="2" t="s">
        <v>72</v>
      </c>
      <c r="E5615" s="3" t="s">
        <v>864</v>
      </c>
      <c r="F5615" s="3" t="s">
        <v>2291</v>
      </c>
      <c r="G5615" s="3" t="s">
        <v>2292</v>
      </c>
      <c r="H5615" s="2" t="s">
        <v>22</v>
      </c>
      <c r="I5615" s="2" t="s">
        <v>13570</v>
      </c>
      <c r="J5615" s="3" t="str">
        <f>HYPERLINK("https://www.boe.es/gazeta/dias/1809/08/31/pdfs/GGB-H-1809-132.pdf#page=3","Abrir facsímil")</f>
        <v>Abrir facsímil</v>
      </c>
      <c r="K5615" s="3" t="s">
        <v>24</v>
      </c>
    </row>
    <row r="5616" spans="1:11" ht="42" customHeight="1">
      <c r="A5616" s="2" t="s">
        <v>13571</v>
      </c>
      <c r="B5616" s="2" t="s">
        <v>13572</v>
      </c>
      <c r="C5616" s="2" t="s">
        <v>39</v>
      </c>
      <c r="D5616" s="2" t="s">
        <v>18</v>
      </c>
      <c r="E5616" s="3" t="s">
        <v>2060</v>
      </c>
      <c r="F5616" s="3" t="s">
        <v>2061</v>
      </c>
      <c r="G5616" s="3" t="s">
        <v>239</v>
      </c>
      <c r="H5616" s="2" t="s">
        <v>22</v>
      </c>
      <c r="I5616" s="2" t="s">
        <v>13573</v>
      </c>
      <c r="J5616" s="3" t="str">
        <f>HYPERLINK("https://www.boe.es/gazeta/dias/1809/07/18/pdfs/GGB-1809-46.pdf#page=11","Abrir facsímil")</f>
        <v>Abrir facsímil</v>
      </c>
      <c r="K5616" s="3" t="s">
        <v>24</v>
      </c>
    </row>
    <row r="5617" spans="1:11" ht="42" customHeight="1">
      <c r="A5617" s="2" t="s">
        <v>13574</v>
      </c>
      <c r="B5617" s="2" t="s">
        <v>13575</v>
      </c>
      <c r="C5617" s="2" t="s">
        <v>17</v>
      </c>
      <c r="D5617" s="2" t="s">
        <v>18</v>
      </c>
      <c r="E5617" s="3" t="s">
        <v>1468</v>
      </c>
      <c r="F5617" s="3" t="s">
        <v>1469</v>
      </c>
      <c r="G5617" s="3" t="s">
        <v>104</v>
      </c>
      <c r="H5617" s="2" t="s">
        <v>22</v>
      </c>
      <c r="I5617" s="2" t="s">
        <v>13576</v>
      </c>
      <c r="J5617" s="3" t="str">
        <f>HYPERLINK("https://www.boe.es/gazeta/dias/1809/02/12/pdfs/GMD-1809-43.pdf#page=6","Abrir facsímil")</f>
        <v>Abrir facsímil</v>
      </c>
      <c r="K5617" s="3" t="s">
        <v>24</v>
      </c>
    </row>
    <row r="5618" spans="1:11" ht="42" customHeight="1">
      <c r="A5618" s="2" t="s">
        <v>13577</v>
      </c>
      <c r="B5618" s="2" t="s">
        <v>13578</v>
      </c>
      <c r="C5618" s="2" t="s">
        <v>17</v>
      </c>
      <c r="D5618" s="2" t="s">
        <v>72</v>
      </c>
      <c r="E5618" s="3" t="s">
        <v>163</v>
      </c>
      <c r="F5618" s="3" t="s">
        <v>164</v>
      </c>
      <c r="G5618" s="3" t="s">
        <v>21</v>
      </c>
      <c r="H5618" s="2" t="s">
        <v>22</v>
      </c>
      <c r="I5618" s="2" t="s">
        <v>13579</v>
      </c>
      <c r="J5618" s="3" t="str">
        <f>HYPERLINK("https://www.boe.es/gazeta/dias/1809/03/10/pdfs/GGB-H-1809-11.pdf#page=8","Abrir facsímil")</f>
        <v>Abrir facsímil</v>
      </c>
      <c r="K5618" s="3" t="s">
        <v>24</v>
      </c>
    </row>
    <row r="5619" spans="1:11" ht="42" customHeight="1">
      <c r="A5619" s="2" t="s">
        <v>13580</v>
      </c>
      <c r="B5619" s="2" t="s">
        <v>13581</v>
      </c>
      <c r="C5619" s="2" t="s">
        <v>25</v>
      </c>
      <c r="D5619" s="2" t="s">
        <v>26</v>
      </c>
      <c r="E5619" s="3" t="s">
        <v>216</v>
      </c>
      <c r="F5619" s="3" t="s">
        <v>2440</v>
      </c>
      <c r="G5619" s="3" t="s">
        <v>110</v>
      </c>
      <c r="H5619" s="2" t="s">
        <v>22</v>
      </c>
      <c r="I5619" s="2" t="s">
        <v>13582</v>
      </c>
      <c r="J5619" s="3" t="str">
        <f>HYPERLINK("https://www.boe.es/gazeta/dias/1809/12/05/pdfs/GGB-1809-542.pdf#page=8","Abrir facsímil")</f>
        <v>Abrir facsímil</v>
      </c>
      <c r="K5619" s="3" t="s">
        <v>24</v>
      </c>
    </row>
    <row r="5620" spans="1:11" ht="42" customHeight="1">
      <c r="A5620" s="2" t="s">
        <v>13583</v>
      </c>
      <c r="B5620" s="2" t="s">
        <v>13584</v>
      </c>
      <c r="C5620" s="2" t="s">
        <v>17</v>
      </c>
      <c r="D5620" s="2" t="s">
        <v>18</v>
      </c>
      <c r="E5620" s="3" t="s">
        <v>60</v>
      </c>
      <c r="F5620" s="3" t="s">
        <v>61</v>
      </c>
      <c r="G5620" s="3" t="s">
        <v>29</v>
      </c>
      <c r="H5620" s="2" t="s">
        <v>22</v>
      </c>
      <c r="I5620" s="2" t="s">
        <v>13585</v>
      </c>
      <c r="J5620" s="3" t="str">
        <f>HYPERLINK("https://www.boe.es/gazeta/dias/1809/02/07/pdfs/GMD-1809-38.pdf#page=3","Abrir facsímil")</f>
        <v>Abrir facsímil</v>
      </c>
      <c r="K5620" s="3" t="s">
        <v>24</v>
      </c>
    </row>
    <row r="5621" spans="1:11" ht="42" customHeight="1">
      <c r="A5621" s="2" t="s">
        <v>13586</v>
      </c>
      <c r="B5621" s="2" t="s">
        <v>13587</v>
      </c>
      <c r="C5621" s="2" t="s">
        <v>17</v>
      </c>
      <c r="D5621" s="2" t="s">
        <v>18</v>
      </c>
      <c r="E5621" s="3" t="s">
        <v>1635</v>
      </c>
      <c r="F5621" s="3" t="s">
        <v>1636</v>
      </c>
      <c r="G5621" s="3" t="s">
        <v>29</v>
      </c>
      <c r="H5621" s="2" t="s">
        <v>22</v>
      </c>
      <c r="I5621" s="2" t="s">
        <v>13588</v>
      </c>
      <c r="J5621" s="3" t="str">
        <f>HYPERLINK("https://www.boe.es/gazeta/dias/1809/09/15/pdfs/GMD-1809-259.pdf#page=3","Abrir facsímil")</f>
        <v>Abrir facsímil</v>
      </c>
      <c r="K5621" s="3" t="s">
        <v>24</v>
      </c>
    </row>
    <row r="5622" spans="1:11" ht="42" customHeight="1">
      <c r="A5622" s="2" t="s">
        <v>13589</v>
      </c>
      <c r="B5622" s="2" t="s">
        <v>13590</v>
      </c>
      <c r="C5622" s="2" t="s">
        <v>17</v>
      </c>
      <c r="D5622" s="2" t="s">
        <v>18</v>
      </c>
      <c r="E5622" s="3" t="s">
        <v>357</v>
      </c>
      <c r="F5622" s="3" t="s">
        <v>358</v>
      </c>
      <c r="G5622" s="3" t="s">
        <v>225</v>
      </c>
      <c r="H5622" s="2" t="s">
        <v>22</v>
      </c>
      <c r="I5622" s="2" t="s">
        <v>13591</v>
      </c>
      <c r="J5622" s="3" t="str">
        <f>HYPERLINK("https://www.boe.es/gazeta/dias/1809/03/20/pdfs/GMD-1809-79.pdf#page=4","Abrir facsímil")</f>
        <v>Abrir facsímil</v>
      </c>
      <c r="K5622" s="3" t="s">
        <v>24</v>
      </c>
    </row>
    <row r="5623" spans="1:11" ht="42" customHeight="1">
      <c r="A5623" s="2" t="s">
        <v>13592</v>
      </c>
      <c r="B5623" s="2" t="s">
        <v>13593</v>
      </c>
      <c r="C5623" s="2" t="s">
        <v>47</v>
      </c>
      <c r="D5623" s="2" t="s">
        <v>18</v>
      </c>
      <c r="E5623" s="3" t="s">
        <v>925</v>
      </c>
      <c r="F5623" s="3" t="s">
        <v>926</v>
      </c>
      <c r="G5623" s="3" t="s">
        <v>62</v>
      </c>
      <c r="H5623" s="2" t="s">
        <v>55</v>
      </c>
      <c r="I5623" s="2" t="s">
        <v>13594</v>
      </c>
      <c r="J5623" s="3" t="str">
        <f>HYPERLINK("https://www.boe.es/gazeta/dias/1809/01/11/pdfs/GGB-1809-2.pdf#page=6","Abrir facsímil")</f>
        <v>Abrir facsímil</v>
      </c>
      <c r="K5623" s="3" t="s">
        <v>57</v>
      </c>
    </row>
    <row r="5624" spans="1:11" ht="42" customHeight="1">
      <c r="A5624" s="2" t="s">
        <v>13595</v>
      </c>
      <c r="B5624" s="2" t="s">
        <v>13596</v>
      </c>
      <c r="C5624" s="2" t="s">
        <v>17</v>
      </c>
      <c r="D5624" s="2" t="s">
        <v>18</v>
      </c>
      <c r="E5624" s="3" t="s">
        <v>243</v>
      </c>
      <c r="F5624" s="3" t="s">
        <v>735</v>
      </c>
      <c r="G5624" s="3" t="s">
        <v>736</v>
      </c>
      <c r="H5624" s="2" t="s">
        <v>55</v>
      </c>
      <c r="I5624" s="2" t="s">
        <v>13597</v>
      </c>
      <c r="J5624" s="3" t="str">
        <f>HYPERLINK("https://www.boe.es/gazeta/dias/1809/02/17/pdfs/GGB-1809-8.pdf#page=8","Abrir facsímil")</f>
        <v>Abrir facsímil</v>
      </c>
      <c r="K5624" s="3" t="s">
        <v>57</v>
      </c>
    </row>
    <row r="5625" spans="1:11" ht="42" customHeight="1">
      <c r="A5625" s="2" t="s">
        <v>13598</v>
      </c>
      <c r="B5625" s="2" t="s">
        <v>13599</v>
      </c>
      <c r="C5625" s="2" t="s">
        <v>17</v>
      </c>
      <c r="D5625" s="2" t="s">
        <v>18</v>
      </c>
      <c r="E5625" s="3" t="s">
        <v>33</v>
      </c>
      <c r="F5625" s="3" t="s">
        <v>34</v>
      </c>
      <c r="G5625" s="3" t="s">
        <v>493</v>
      </c>
      <c r="H5625" s="2" t="s">
        <v>55</v>
      </c>
      <c r="I5625" s="2" t="s">
        <v>13600</v>
      </c>
      <c r="J5625" s="3" t="str">
        <f>HYPERLINK("https://www.boe.es/gazeta/dias/1809/12/19/pdfs/GGB-1809-602.pdf#page=6","Abrir facsímil")</f>
        <v>Abrir facsímil</v>
      </c>
      <c r="K5625" s="3" t="s">
        <v>57</v>
      </c>
    </row>
    <row r="5626" spans="1:11" ht="42" customHeight="1">
      <c r="A5626" s="2" t="s">
        <v>13601</v>
      </c>
      <c r="B5626" s="2" t="s">
        <v>13602</v>
      </c>
      <c r="C5626" s="2" t="s">
        <v>17</v>
      </c>
      <c r="D5626" s="2" t="s">
        <v>40</v>
      </c>
      <c r="E5626" s="3" t="s">
        <v>102</v>
      </c>
      <c r="F5626" s="3" t="s">
        <v>1095</v>
      </c>
      <c r="G5626" s="3" t="s">
        <v>75</v>
      </c>
      <c r="H5626" s="2" t="s">
        <v>55</v>
      </c>
      <c r="I5626" s="2" t="s">
        <v>13603</v>
      </c>
      <c r="J5626" s="3" t="str">
        <f>HYPERLINK("https://www.boe.es/gazeta/dias/1809/09/28/pdfs/GMD-1809-272.pdf#page=2","Abrir facsímil")</f>
        <v>Abrir facsímil</v>
      </c>
      <c r="K5626" s="3" t="s">
        <v>57</v>
      </c>
    </row>
    <row r="5627" spans="1:11" ht="42" customHeight="1">
      <c r="A5627" s="2" t="s">
        <v>13604</v>
      </c>
      <c r="B5627" s="2" t="s">
        <v>13605</v>
      </c>
      <c r="C5627" s="2" t="s">
        <v>17</v>
      </c>
      <c r="D5627" s="2" t="s">
        <v>18</v>
      </c>
      <c r="E5627" s="3" t="s">
        <v>1640</v>
      </c>
      <c r="F5627" s="3" t="s">
        <v>3087</v>
      </c>
      <c r="G5627" s="3" t="s">
        <v>270</v>
      </c>
      <c r="H5627" s="2" t="s">
        <v>55</v>
      </c>
      <c r="I5627" s="2" t="s">
        <v>13606</v>
      </c>
      <c r="J5627" s="3" t="str">
        <f>HYPERLINK("https://www.boe.es/gazeta/dias/1809/01/06/pdfs/GGB-1809-1.pdf#page=7","Abrir facsímil")</f>
        <v>Abrir facsímil</v>
      </c>
      <c r="K5627" s="3" t="s">
        <v>57</v>
      </c>
    </row>
    <row r="5628" spans="1:11" ht="42" customHeight="1">
      <c r="A5628" s="2" t="s">
        <v>13604</v>
      </c>
      <c r="B5628" s="2" t="s">
        <v>13605</v>
      </c>
      <c r="C5628" s="2" t="s">
        <v>17</v>
      </c>
      <c r="D5628" s="2" t="s">
        <v>18</v>
      </c>
      <c r="E5628" s="3" t="s">
        <v>1123</v>
      </c>
      <c r="F5628" s="3" t="s">
        <v>3087</v>
      </c>
      <c r="G5628" s="3" t="s">
        <v>270</v>
      </c>
      <c r="H5628" s="2" t="s">
        <v>55</v>
      </c>
      <c r="I5628" s="2" t="s">
        <v>13606</v>
      </c>
      <c r="J5628" s="3" t="str">
        <f>HYPERLINK("https://www.boe.es/gazeta/dias/1809/01/08/pdfs/GGB-1809-1.pdf#page=7","Abrir facsímil")</f>
        <v>Abrir facsímil</v>
      </c>
      <c r="K5628" s="3" t="s">
        <v>57</v>
      </c>
    </row>
    <row r="5629" spans="1:11" ht="42" customHeight="1">
      <c r="A5629" s="2" t="s">
        <v>13607</v>
      </c>
      <c r="B5629" s="2" t="s">
        <v>13608</v>
      </c>
      <c r="C5629" s="2" t="s">
        <v>25</v>
      </c>
      <c r="D5629" s="2" t="s">
        <v>26</v>
      </c>
      <c r="E5629" s="3" t="s">
        <v>143</v>
      </c>
      <c r="F5629" s="3" t="s">
        <v>705</v>
      </c>
      <c r="G5629" s="3" t="s">
        <v>225</v>
      </c>
      <c r="H5629" s="2" t="s">
        <v>55</v>
      </c>
      <c r="I5629" s="2" t="s">
        <v>13609</v>
      </c>
      <c r="J5629" s="3" t="str">
        <f>HYPERLINK("https://www.boe.es/gazeta/dias/1809/11/16/pdfs/GGB-H-1809-462.pdf#page=4","Abrir facsímil")</f>
        <v>Abrir facsímil</v>
      </c>
      <c r="K5629" s="3" t="s">
        <v>57</v>
      </c>
    </row>
    <row r="5630" spans="1:11" ht="42" customHeight="1">
      <c r="A5630" s="2" t="s">
        <v>13610</v>
      </c>
      <c r="B5630" s="2" t="s">
        <v>13610</v>
      </c>
      <c r="C5630" s="2" t="s">
        <v>25</v>
      </c>
      <c r="D5630" s="2" t="s">
        <v>18</v>
      </c>
      <c r="E5630" s="3" t="s">
        <v>5350</v>
      </c>
      <c r="F5630" s="3" t="s">
        <v>5351</v>
      </c>
      <c r="G5630" s="3" t="s">
        <v>62</v>
      </c>
      <c r="H5630" s="2" t="s">
        <v>55</v>
      </c>
      <c r="I5630" s="2" t="s">
        <v>13611</v>
      </c>
      <c r="J5630" s="3" t="str">
        <f>HYPERLINK("https://www.boe.es/gazeta/dias/1809/05/25/pdfs/GMD-1809-145.pdf#page=1","Abrir facsímil")</f>
        <v>Abrir facsímil</v>
      </c>
      <c r="K5630" s="3" t="s">
        <v>57</v>
      </c>
    </row>
    <row r="5631" spans="1:11" ht="42" customHeight="1">
      <c r="A5631" s="2" t="s">
        <v>13612</v>
      </c>
      <c r="B5631" s="2" t="s">
        <v>13612</v>
      </c>
      <c r="C5631" s="2" t="s">
        <v>25</v>
      </c>
      <c r="D5631" s="2" t="s">
        <v>26</v>
      </c>
      <c r="E5631" s="3" t="s">
        <v>92</v>
      </c>
      <c r="F5631" s="3" t="s">
        <v>11754</v>
      </c>
      <c r="G5631" s="3" t="s">
        <v>129</v>
      </c>
      <c r="H5631" s="2" t="s">
        <v>55</v>
      </c>
      <c r="I5631" s="2" t="s">
        <v>13613</v>
      </c>
      <c r="J5631" s="3" t="str">
        <f>HYPERLINK("https://www.boe.es/gazeta/dias/1809/05/22/pdfs/GMD-1809-142.pdf#page=2","Abrir facsímil")</f>
        <v>Abrir facsímil</v>
      </c>
      <c r="K5631" s="3" t="s">
        <v>57</v>
      </c>
    </row>
    <row r="5632" spans="1:11" ht="42" customHeight="1">
      <c r="A5632" s="2" t="s">
        <v>13614</v>
      </c>
      <c r="B5632" s="2" t="s">
        <v>13614</v>
      </c>
      <c r="C5632" s="2" t="s">
        <v>25</v>
      </c>
      <c r="D5632" s="2" t="s">
        <v>26</v>
      </c>
      <c r="E5632" s="3" t="s">
        <v>838</v>
      </c>
      <c r="F5632" s="3" t="s">
        <v>839</v>
      </c>
      <c r="G5632" s="3" t="s">
        <v>94</v>
      </c>
      <c r="H5632" s="2" t="s">
        <v>55</v>
      </c>
      <c r="I5632" s="2" t="s">
        <v>13615</v>
      </c>
      <c r="J5632" s="3" t="str">
        <f>HYPERLINK("https://www.boe.es/gazeta/dias/1809/08/03/pdfs/GGB-1809-12.pdf#page=5","Abrir facsímil")</f>
        <v>Abrir facsímil</v>
      </c>
      <c r="K5632" s="3" t="s">
        <v>57</v>
      </c>
    </row>
    <row r="5633" spans="1:11" ht="42" customHeight="1">
      <c r="A5633" s="2" t="s">
        <v>13616</v>
      </c>
      <c r="B5633" s="2" t="s">
        <v>13617</v>
      </c>
      <c r="C5633" s="2" t="s">
        <v>17</v>
      </c>
      <c r="D5633" s="2" t="s">
        <v>72</v>
      </c>
      <c r="E5633" s="3" t="s">
        <v>163</v>
      </c>
      <c r="F5633" s="3" t="s">
        <v>164</v>
      </c>
      <c r="G5633" s="3" t="s">
        <v>239</v>
      </c>
      <c r="H5633" s="2" t="s">
        <v>22</v>
      </c>
      <c r="I5633" s="2" t="s">
        <v>13618</v>
      </c>
      <c r="J5633" s="3" t="str">
        <f>HYPERLINK("https://www.boe.es/gazeta/dias/1809/03/10/pdfs/GGB-H-1809-11.pdf#page=7","Abrir facsímil")</f>
        <v>Abrir facsímil</v>
      </c>
      <c r="K5633" s="3" t="s">
        <v>24</v>
      </c>
    </row>
    <row r="5634" spans="1:11" ht="42" customHeight="1">
      <c r="A5634" s="2" t="s">
        <v>13619</v>
      </c>
      <c r="B5634" s="2" t="s">
        <v>13620</v>
      </c>
      <c r="C5634" s="2" t="s">
        <v>25</v>
      </c>
      <c r="D5634" s="2" t="s">
        <v>72</v>
      </c>
      <c r="E5634" s="3" t="s">
        <v>143</v>
      </c>
      <c r="F5634" s="3" t="s">
        <v>705</v>
      </c>
      <c r="G5634" s="3" t="s">
        <v>225</v>
      </c>
      <c r="H5634" s="2" t="s">
        <v>55</v>
      </c>
      <c r="I5634" s="2" t="s">
        <v>13621</v>
      </c>
      <c r="J5634" s="3" t="str">
        <f>HYPERLINK("https://www.boe.es/gazeta/dias/1809/11/16/pdfs/GGB-H-1809-462.pdf#page=4","Abrir facsímil")</f>
        <v>Abrir facsímil</v>
      </c>
      <c r="K5634" s="3" t="s">
        <v>57</v>
      </c>
    </row>
    <row r="5635" spans="1:11" ht="42" customHeight="1">
      <c r="A5635" s="2" t="s">
        <v>13622</v>
      </c>
      <c r="B5635" s="2" t="s">
        <v>13622</v>
      </c>
      <c r="C5635" s="2" t="s">
        <v>25</v>
      </c>
      <c r="D5635" s="2" t="s">
        <v>26</v>
      </c>
      <c r="E5635" s="3" t="s">
        <v>278</v>
      </c>
      <c r="F5635" s="3" t="s">
        <v>279</v>
      </c>
      <c r="G5635" s="3" t="s">
        <v>280</v>
      </c>
      <c r="H5635" s="2" t="s">
        <v>55</v>
      </c>
      <c r="I5635" s="2" t="s">
        <v>13623</v>
      </c>
      <c r="J5635" s="3" t="str">
        <f>HYPERLINK("https://www.boe.es/gazeta/dias/1809/03/26/pdfs/GMD-1809-85.pdf#page=1","Abrir facsímil")</f>
        <v>Abrir facsímil</v>
      </c>
      <c r="K5635" s="3" t="s">
        <v>57</v>
      </c>
    </row>
    <row r="5636" spans="1:11" ht="42" customHeight="1">
      <c r="A5636" s="2" t="s">
        <v>13624</v>
      </c>
      <c r="B5636" s="2" t="s">
        <v>13624</v>
      </c>
      <c r="C5636" s="2" t="s">
        <v>25</v>
      </c>
      <c r="D5636" s="2" t="s">
        <v>26</v>
      </c>
      <c r="E5636" s="3" t="s">
        <v>10377</v>
      </c>
      <c r="F5636" s="3" t="s">
        <v>10378</v>
      </c>
      <c r="G5636" s="3" t="s">
        <v>120</v>
      </c>
      <c r="H5636" s="2" t="s">
        <v>55</v>
      </c>
      <c r="I5636" s="2" t="s">
        <v>13625</v>
      </c>
      <c r="J5636" s="3" t="str">
        <f>HYPERLINK("https://www.boe.es/gazeta/dias/1809/07/20/pdfs/GMD-1809-201.pdf#page=2","Abrir facsímil")</f>
        <v>Abrir facsímil</v>
      </c>
      <c r="K5636" s="3" t="s">
        <v>57</v>
      </c>
    </row>
    <row r="5637" spans="1:11" ht="42" customHeight="1">
      <c r="A5637" s="2" t="s">
        <v>13626</v>
      </c>
      <c r="B5637" s="2" t="s">
        <v>13626</v>
      </c>
      <c r="C5637" s="2" t="s">
        <v>25</v>
      </c>
      <c r="D5637" s="2" t="s">
        <v>18</v>
      </c>
      <c r="E5637" s="3" t="s">
        <v>152</v>
      </c>
      <c r="F5637" s="3" t="s">
        <v>153</v>
      </c>
      <c r="G5637" s="3" t="s">
        <v>362</v>
      </c>
      <c r="H5637" s="2" t="s">
        <v>55</v>
      </c>
      <c r="I5637" s="2" t="s">
        <v>13627</v>
      </c>
      <c r="J5637" s="3" t="str">
        <f>HYPERLINK("https://www.boe.es/gazeta/dias/1809/08/26/pdfs/GGB-1809-112.pdf#page=3","Abrir facsímil")</f>
        <v>Abrir facsímil</v>
      </c>
      <c r="K5637" s="3" t="s">
        <v>57</v>
      </c>
    </row>
    <row r="5638" spans="1:11" ht="42" customHeight="1">
      <c r="A5638" s="2" t="s">
        <v>13628</v>
      </c>
      <c r="B5638" s="2" t="s">
        <v>13628</v>
      </c>
      <c r="C5638" s="2" t="s">
        <v>25</v>
      </c>
      <c r="D5638" s="2" t="s">
        <v>18</v>
      </c>
      <c r="E5638" s="3" t="s">
        <v>4389</v>
      </c>
      <c r="F5638" s="3" t="s">
        <v>4390</v>
      </c>
      <c r="G5638" s="3" t="s">
        <v>3536</v>
      </c>
      <c r="H5638" s="2" t="s">
        <v>55</v>
      </c>
      <c r="I5638" s="2" t="s">
        <v>13629</v>
      </c>
      <c r="J5638" s="3" t="str">
        <f>HYPERLINK("https://www.boe.es/gazeta/dias/1809/02/06/pdfs/GMD-1809-37.pdf#page=2","Abrir facsímil")</f>
        <v>Abrir facsímil</v>
      </c>
      <c r="K5638" s="3" t="s">
        <v>57</v>
      </c>
    </row>
    <row r="5639" spans="1:11" ht="42" customHeight="1">
      <c r="A5639" s="2" t="s">
        <v>13630</v>
      </c>
      <c r="B5639" s="2" t="s">
        <v>13630</v>
      </c>
      <c r="C5639" s="2" t="s">
        <v>25</v>
      </c>
      <c r="D5639" s="2" t="s">
        <v>26</v>
      </c>
      <c r="E5639" s="3" t="s">
        <v>1555</v>
      </c>
      <c r="F5639" s="3" t="s">
        <v>1556</v>
      </c>
      <c r="G5639" s="3" t="s">
        <v>3305</v>
      </c>
      <c r="H5639" s="2" t="s">
        <v>55</v>
      </c>
      <c r="I5639" s="2" t="s">
        <v>13631</v>
      </c>
      <c r="J5639" s="3" t="str">
        <f>HYPERLINK("https://www.boe.es/gazeta/dias/1809/06/29/pdfs/GMD-1809-180.pdf#page=1","Abrir facsímil")</f>
        <v>Abrir facsímil</v>
      </c>
      <c r="K5639" s="3" t="s">
        <v>57</v>
      </c>
    </row>
    <row r="5640" spans="1:11" ht="42" customHeight="1">
      <c r="A5640" s="2" t="s">
        <v>13632</v>
      </c>
      <c r="B5640" s="2" t="s">
        <v>13633</v>
      </c>
      <c r="C5640" s="2" t="s">
        <v>25</v>
      </c>
      <c r="D5640" s="2" t="s">
        <v>72</v>
      </c>
      <c r="E5640" s="3" t="s">
        <v>147</v>
      </c>
      <c r="F5640" s="3" t="s">
        <v>562</v>
      </c>
      <c r="G5640" s="3" t="s">
        <v>563</v>
      </c>
      <c r="H5640" s="2" t="s">
        <v>55</v>
      </c>
      <c r="I5640" s="2" t="s">
        <v>13634</v>
      </c>
      <c r="J5640" s="3" t="str">
        <f>HYPERLINK("https://www.boe.es/gazeta/dias/1809/10/07/pdfs/GGB-H-1809-292.pdf#page=8","Abrir facsímil")</f>
        <v>Abrir facsímil</v>
      </c>
      <c r="K5640" s="3" t="s">
        <v>57</v>
      </c>
    </row>
    <row r="5641" spans="1:11" ht="42" customHeight="1">
      <c r="A5641" s="2" t="s">
        <v>13635</v>
      </c>
      <c r="B5641" s="2" t="s">
        <v>13636</v>
      </c>
      <c r="C5641" s="2" t="s">
        <v>17</v>
      </c>
      <c r="D5641" s="2" t="s">
        <v>18</v>
      </c>
      <c r="E5641" s="3" t="s">
        <v>1468</v>
      </c>
      <c r="F5641" s="3" t="s">
        <v>1469</v>
      </c>
      <c r="G5641" s="3" t="s">
        <v>595</v>
      </c>
      <c r="H5641" s="2" t="s">
        <v>55</v>
      </c>
      <c r="I5641" s="2" t="s">
        <v>13637</v>
      </c>
      <c r="J5641" s="3" t="str">
        <f>HYPERLINK("https://www.boe.es/gazeta/dias/1809/02/12/pdfs/GMD-1809-43.pdf#page=7","Abrir facsímil")</f>
        <v>Abrir facsímil</v>
      </c>
      <c r="K5641" s="3" t="s">
        <v>57</v>
      </c>
    </row>
    <row r="5642" spans="1:11" ht="42" customHeight="1">
      <c r="A5642" s="2" t="s">
        <v>13638</v>
      </c>
      <c r="B5642" s="2" t="s">
        <v>13639</v>
      </c>
      <c r="C5642" s="2" t="s">
        <v>17</v>
      </c>
      <c r="D5642" s="2" t="s">
        <v>18</v>
      </c>
      <c r="E5642" s="3" t="s">
        <v>5307</v>
      </c>
      <c r="F5642" s="3" t="s">
        <v>5308</v>
      </c>
      <c r="G5642" s="3" t="s">
        <v>29</v>
      </c>
      <c r="H5642" s="2" t="s">
        <v>55</v>
      </c>
      <c r="I5642" s="2" t="s">
        <v>13640</v>
      </c>
      <c r="J5642" s="3" t="str">
        <f>HYPERLINK("https://www.boe.es/gazeta/dias/1809/03/30/pdfs/GMD-1809-89.pdf#page=3","Abrir facsímil")</f>
        <v>Abrir facsímil</v>
      </c>
      <c r="K5642" s="3" t="s">
        <v>57</v>
      </c>
    </row>
    <row r="5643" spans="1:11" ht="42" customHeight="1">
      <c r="A5643" s="2" t="s">
        <v>13641</v>
      </c>
      <c r="B5643" s="2" t="s">
        <v>13642</v>
      </c>
      <c r="C5643" s="2" t="s">
        <v>25</v>
      </c>
      <c r="D5643" s="2" t="s">
        <v>72</v>
      </c>
      <c r="E5643" s="3" t="s">
        <v>118</v>
      </c>
      <c r="F5643" s="3" t="s">
        <v>819</v>
      </c>
      <c r="G5643" s="3" t="s">
        <v>2287</v>
      </c>
      <c r="H5643" s="2" t="s">
        <v>55</v>
      </c>
      <c r="I5643" s="2" t="s">
        <v>13643</v>
      </c>
      <c r="J5643" s="3" t="str">
        <f>HYPERLINK("https://www.boe.es/gazeta/dias/1809/09/07/pdfs/GGB-H-1809-162.pdf#page=7","Abrir facsímil")</f>
        <v>Abrir facsímil</v>
      </c>
      <c r="K5643" s="3" t="s">
        <v>57</v>
      </c>
    </row>
    <row r="5644" spans="1:11" ht="42" customHeight="1">
      <c r="A5644" s="2" t="s">
        <v>13644</v>
      </c>
      <c r="B5644" s="2" t="s">
        <v>13644</v>
      </c>
      <c r="C5644" s="2" t="s">
        <v>25</v>
      </c>
      <c r="D5644" s="2" t="s">
        <v>18</v>
      </c>
      <c r="E5644" s="3" t="s">
        <v>609</v>
      </c>
      <c r="F5644" s="3" t="s">
        <v>610</v>
      </c>
      <c r="G5644" s="3" t="s">
        <v>239</v>
      </c>
      <c r="H5644" s="2" t="s">
        <v>55</v>
      </c>
      <c r="I5644" s="2" t="s">
        <v>13645</v>
      </c>
      <c r="J5644" s="3" t="str">
        <f>HYPERLINK("https://www.boe.es/gazeta/dias/1809/11/25/pdfs/GGB-1809-502.pdf#page=2","Abrir facsímil")</f>
        <v>Abrir facsímil</v>
      </c>
      <c r="K5644" s="3" t="s">
        <v>57</v>
      </c>
    </row>
    <row r="5645" spans="1:11" ht="42" customHeight="1">
      <c r="A5645" s="2" t="s">
        <v>13646</v>
      </c>
      <c r="B5645" s="2" t="s">
        <v>13646</v>
      </c>
      <c r="C5645" s="2" t="s">
        <v>25</v>
      </c>
      <c r="D5645" s="2" t="s">
        <v>18</v>
      </c>
      <c r="E5645" s="3" t="s">
        <v>2166</v>
      </c>
      <c r="F5645" s="3" t="s">
        <v>5035</v>
      </c>
      <c r="G5645" s="3" t="s">
        <v>234</v>
      </c>
      <c r="H5645" s="2" t="s">
        <v>55</v>
      </c>
      <c r="I5645" s="2" t="s">
        <v>13647</v>
      </c>
      <c r="J5645" s="3" t="str">
        <f>HYPERLINK("https://www.boe.es/gazeta/dias/1809/01/20/pdfs/GMD-1809-20.pdf#page=2","Abrir facsímil")</f>
        <v>Abrir facsímil</v>
      </c>
      <c r="K5645" s="3" t="s">
        <v>57</v>
      </c>
    </row>
    <row r="5646" spans="1:11" ht="42" customHeight="1">
      <c r="A5646" s="2" t="s">
        <v>13648</v>
      </c>
      <c r="B5646" s="2" t="s">
        <v>13649</v>
      </c>
      <c r="C5646" s="2" t="s">
        <v>17</v>
      </c>
      <c r="D5646" s="2" t="s">
        <v>40</v>
      </c>
      <c r="E5646" s="3" t="s">
        <v>102</v>
      </c>
      <c r="F5646" s="3" t="s">
        <v>103</v>
      </c>
      <c r="G5646" s="3" t="s">
        <v>104</v>
      </c>
      <c r="H5646" s="2" t="s">
        <v>55</v>
      </c>
      <c r="I5646" s="2" t="s">
        <v>13650</v>
      </c>
      <c r="J5646" s="3" t="str">
        <f>HYPERLINK("https://www.boe.es/gazeta/dias/1809/09/28/pdfs/GGB-1809-252.pdf#page=8","Abrir facsímil")</f>
        <v>Abrir facsímil</v>
      </c>
      <c r="K5646" s="3" t="s">
        <v>57</v>
      </c>
    </row>
    <row r="5647" spans="1:11" ht="42" customHeight="1">
      <c r="A5647" s="2" t="s">
        <v>13651</v>
      </c>
      <c r="B5647" s="2" t="s">
        <v>13652</v>
      </c>
      <c r="C5647" s="2" t="s">
        <v>25</v>
      </c>
      <c r="D5647" s="2" t="s">
        <v>26</v>
      </c>
      <c r="E5647" s="3" t="s">
        <v>243</v>
      </c>
      <c r="F5647" s="3" t="s">
        <v>735</v>
      </c>
      <c r="G5647" s="3" t="s">
        <v>736</v>
      </c>
      <c r="H5647" s="2" t="s">
        <v>55</v>
      </c>
      <c r="I5647" s="2" t="s">
        <v>13653</v>
      </c>
      <c r="J5647" s="3" t="str">
        <f>HYPERLINK("https://www.boe.es/gazeta/dias/1809/02/17/pdfs/GGB-1809-8.pdf#page=8","Abrir facsímil")</f>
        <v>Abrir facsímil</v>
      </c>
      <c r="K5647" s="3" t="s">
        <v>57</v>
      </c>
    </row>
    <row r="5648" spans="1:11" ht="42" customHeight="1">
      <c r="A5648" s="2" t="s">
        <v>13654</v>
      </c>
      <c r="B5648" s="2" t="s">
        <v>13654</v>
      </c>
      <c r="C5648" s="2" t="s">
        <v>25</v>
      </c>
      <c r="D5648" s="2" t="s">
        <v>18</v>
      </c>
      <c r="E5648" s="3" t="s">
        <v>73</v>
      </c>
      <c r="F5648" s="3" t="s">
        <v>822</v>
      </c>
      <c r="G5648" s="3" t="s">
        <v>823</v>
      </c>
      <c r="H5648" s="2" t="s">
        <v>55</v>
      </c>
      <c r="I5648" s="2" t="s">
        <v>13655</v>
      </c>
      <c r="J5648" s="3" t="str">
        <f>HYPERLINK("https://www.boe.es/gazeta/dias/1809/09/21/pdfs/GGB-1809-222.pdf#page=4","Abrir facsímil")</f>
        <v>Abrir facsímil</v>
      </c>
      <c r="K5648" s="3" t="s">
        <v>57</v>
      </c>
    </row>
    <row r="5649" spans="1:11" ht="42" customHeight="1">
      <c r="A5649" s="2" t="s">
        <v>13654</v>
      </c>
      <c r="B5649" s="2" t="s">
        <v>13654</v>
      </c>
      <c r="C5649" s="2" t="s">
        <v>25</v>
      </c>
      <c r="D5649" s="2" t="s">
        <v>26</v>
      </c>
      <c r="E5649" s="3" t="s">
        <v>1206</v>
      </c>
      <c r="F5649" s="3" t="s">
        <v>1207</v>
      </c>
      <c r="G5649" s="3" t="s">
        <v>4236</v>
      </c>
      <c r="H5649" s="2" t="s">
        <v>55</v>
      </c>
      <c r="I5649" s="2" t="s">
        <v>13656</v>
      </c>
      <c r="J5649" s="3" t="str">
        <f>HYPERLINK("https://www.boe.es/gazeta/dias/1809/09/23/pdfs/GGB-H-1809-232.pdf#page=4","Abrir facsímil")</f>
        <v>Abrir facsímil</v>
      </c>
      <c r="K5649" s="3" t="s">
        <v>57</v>
      </c>
    </row>
    <row r="5650" spans="1:11" ht="42" customHeight="1">
      <c r="A5650" s="2" t="s">
        <v>13657</v>
      </c>
      <c r="B5650" s="2" t="s">
        <v>13658</v>
      </c>
      <c r="C5650" s="2" t="s">
        <v>39</v>
      </c>
      <c r="D5650" s="2" t="s">
        <v>18</v>
      </c>
      <c r="E5650" s="3" t="s">
        <v>102</v>
      </c>
      <c r="F5650" s="3" t="s">
        <v>103</v>
      </c>
      <c r="G5650" s="3" t="s">
        <v>1706</v>
      </c>
      <c r="H5650" s="2" t="s">
        <v>55</v>
      </c>
      <c r="I5650" s="2" t="s">
        <v>13659</v>
      </c>
      <c r="J5650" s="3" t="str">
        <f>HYPERLINK("https://www.boe.es/gazeta/dias/1809/09/28/pdfs/GGB-1809-252.pdf#page=5","Abrir facsímil")</f>
        <v>Abrir facsímil</v>
      </c>
      <c r="K5650" s="3" t="s">
        <v>57</v>
      </c>
    </row>
    <row r="5651" spans="1:11" ht="42" customHeight="1">
      <c r="A5651" s="2" t="s">
        <v>13660</v>
      </c>
      <c r="B5651" s="2" t="s">
        <v>13660</v>
      </c>
      <c r="C5651" s="2" t="s">
        <v>25</v>
      </c>
      <c r="D5651" s="2" t="s">
        <v>18</v>
      </c>
      <c r="E5651" s="3" t="s">
        <v>864</v>
      </c>
      <c r="F5651" s="3" t="s">
        <v>2684</v>
      </c>
      <c r="G5651" s="3" t="s">
        <v>13661</v>
      </c>
      <c r="H5651" s="2" t="s">
        <v>55</v>
      </c>
      <c r="I5651" s="2" t="s">
        <v>13662</v>
      </c>
      <c r="J5651" s="3" t="str">
        <f>HYPERLINK("https://www.boe.es/gazeta/dias/1809/08/31/pdfs/GGB-1809-132.pdf#page=3","Abrir facsímil")</f>
        <v>Abrir facsímil</v>
      </c>
      <c r="K5651" s="3" t="s">
        <v>57</v>
      </c>
    </row>
    <row r="5652" spans="1:11" ht="42" customHeight="1">
      <c r="A5652" s="2" t="s">
        <v>13663</v>
      </c>
      <c r="B5652" s="2" t="s">
        <v>13664</v>
      </c>
      <c r="C5652" s="2" t="s">
        <v>17</v>
      </c>
      <c r="D5652" s="2" t="s">
        <v>18</v>
      </c>
      <c r="E5652" s="3" t="s">
        <v>864</v>
      </c>
      <c r="F5652" s="3" t="s">
        <v>2684</v>
      </c>
      <c r="G5652" s="3" t="s">
        <v>6436</v>
      </c>
      <c r="H5652" s="2" t="s">
        <v>55</v>
      </c>
      <c r="I5652" s="2" t="s">
        <v>13665</v>
      </c>
      <c r="J5652" s="3" t="str">
        <f>HYPERLINK("https://www.boe.es/gazeta/dias/1809/08/31/pdfs/GGB-1809-132.pdf#page=4","Abrir facsímil")</f>
        <v>Abrir facsímil</v>
      </c>
      <c r="K5652" s="3" t="s">
        <v>57</v>
      </c>
    </row>
    <row r="5653" spans="1:11" ht="42" customHeight="1">
      <c r="A5653" s="2" t="s">
        <v>13666</v>
      </c>
      <c r="B5653" s="2" t="s">
        <v>13666</v>
      </c>
      <c r="C5653" s="2" t="s">
        <v>25</v>
      </c>
      <c r="D5653" s="2" t="s">
        <v>26</v>
      </c>
      <c r="E5653" s="3" t="s">
        <v>48</v>
      </c>
      <c r="F5653" s="3" t="s">
        <v>49</v>
      </c>
      <c r="G5653" s="3" t="s">
        <v>75</v>
      </c>
      <c r="H5653" s="2" t="s">
        <v>55</v>
      </c>
      <c r="I5653" s="2" t="s">
        <v>13667</v>
      </c>
      <c r="J5653" s="3" t="str">
        <f>HYPERLINK("https://www.boe.es/gazeta/dias/1809/10/03/pdfs/GMD-1809-277.pdf#page=2","Abrir facsímil")</f>
        <v>Abrir facsímil</v>
      </c>
      <c r="K5653" s="3" t="s">
        <v>57</v>
      </c>
    </row>
    <row r="5654" spans="1:11" ht="42" customHeight="1">
      <c r="A5654" s="2" t="s">
        <v>13666</v>
      </c>
      <c r="B5654" s="2" t="s">
        <v>13666</v>
      </c>
      <c r="C5654" s="2" t="s">
        <v>25</v>
      </c>
      <c r="D5654" s="2" t="s">
        <v>18</v>
      </c>
      <c r="E5654" s="3" t="s">
        <v>394</v>
      </c>
      <c r="F5654" s="3" t="s">
        <v>2563</v>
      </c>
      <c r="G5654" s="3" t="s">
        <v>5622</v>
      </c>
      <c r="H5654" s="2" t="s">
        <v>55</v>
      </c>
      <c r="I5654" s="2" t="s">
        <v>13668</v>
      </c>
      <c r="J5654" s="3" t="str">
        <f>HYPERLINK("https://www.boe.es/gazeta/dias/1809/12/14/pdfs/GMD-1809-349.pdf#page=1","Abrir facsímil")</f>
        <v>Abrir facsímil</v>
      </c>
      <c r="K5654" s="3" t="s">
        <v>57</v>
      </c>
    </row>
    <row r="5655" spans="1:11" ht="42" customHeight="1">
      <c r="A5655" s="2" t="s">
        <v>13669</v>
      </c>
      <c r="B5655" s="2" t="s">
        <v>13669</v>
      </c>
      <c r="C5655" s="2" t="s">
        <v>25</v>
      </c>
      <c r="D5655" s="2" t="s">
        <v>26</v>
      </c>
      <c r="E5655" s="3" t="s">
        <v>248</v>
      </c>
      <c r="F5655" s="3" t="s">
        <v>2399</v>
      </c>
      <c r="G5655" s="3" t="s">
        <v>141</v>
      </c>
      <c r="H5655" s="2" t="s">
        <v>55</v>
      </c>
      <c r="I5655" s="2" t="s">
        <v>13670</v>
      </c>
      <c r="J5655" s="3" t="str">
        <f>HYPERLINK("https://www.boe.es/gazeta/dias/1809/07/26/pdfs/GMD-1809-207.pdf#page=2","Abrir facsímil")</f>
        <v>Abrir facsímil</v>
      </c>
      <c r="K5655" s="3" t="s">
        <v>57</v>
      </c>
    </row>
    <row r="5656" spans="1:11" ht="42" customHeight="1">
      <c r="A5656" s="2" t="s">
        <v>13671</v>
      </c>
      <c r="B5656" s="2" t="s">
        <v>13671</v>
      </c>
      <c r="C5656" s="2" t="s">
        <v>17</v>
      </c>
      <c r="D5656" s="2" t="s">
        <v>107</v>
      </c>
      <c r="E5656" s="3" t="s">
        <v>814</v>
      </c>
      <c r="F5656" s="3" t="s">
        <v>2095</v>
      </c>
      <c r="G5656" s="3" t="s">
        <v>129</v>
      </c>
      <c r="H5656" s="2" t="s">
        <v>55</v>
      </c>
      <c r="I5656" s="2" t="s">
        <v>13672</v>
      </c>
      <c r="J5656" s="3" t="str">
        <f>HYPERLINK("https://www.boe.es/gazeta/dias/1809/12/09/pdfs/GMD-1809-344.pdf#page=2","Abrir facsímil")</f>
        <v>Abrir facsímil</v>
      </c>
      <c r="K5656" s="3" t="s">
        <v>57</v>
      </c>
    </row>
    <row r="5657" spans="1:11" ht="42" customHeight="1">
      <c r="A5657" s="2" t="s">
        <v>13673</v>
      </c>
      <c r="B5657" s="2" t="s">
        <v>13674</v>
      </c>
      <c r="C5657" s="2" t="s">
        <v>25</v>
      </c>
      <c r="D5657" s="2" t="s">
        <v>26</v>
      </c>
      <c r="E5657" s="3" t="s">
        <v>1206</v>
      </c>
      <c r="F5657" s="3" t="s">
        <v>1207</v>
      </c>
      <c r="G5657" s="3" t="s">
        <v>2545</v>
      </c>
      <c r="H5657" s="2" t="s">
        <v>55</v>
      </c>
      <c r="I5657" s="2" t="s">
        <v>13675</v>
      </c>
      <c r="J5657" s="3" t="str">
        <f>HYPERLINK("https://www.boe.es/gazeta/dias/1809/09/23/pdfs/GGB-H-1809-232.pdf#page=6","Abrir facsímil")</f>
        <v>Abrir facsímil</v>
      </c>
      <c r="K5657" s="3" t="s">
        <v>57</v>
      </c>
    </row>
    <row r="5658" spans="1:11" ht="42" customHeight="1">
      <c r="A5658" s="2" t="s">
        <v>13676</v>
      </c>
      <c r="B5658" s="2" t="s">
        <v>13677</v>
      </c>
      <c r="C5658" s="2" t="s">
        <v>17</v>
      </c>
      <c r="D5658" s="2" t="s">
        <v>18</v>
      </c>
      <c r="E5658" s="3" t="s">
        <v>730</v>
      </c>
      <c r="F5658" s="3" t="s">
        <v>731</v>
      </c>
      <c r="G5658" s="3" t="s">
        <v>62</v>
      </c>
      <c r="H5658" s="2" t="s">
        <v>55</v>
      </c>
      <c r="I5658" s="2" t="s">
        <v>13678</v>
      </c>
      <c r="J5658" s="3" t="str">
        <f>HYPERLINK("https://www.boe.es/gazeta/dias/1809/06/23/pdfs/GMD-1809-174.pdf#page=3","Abrir facsímil")</f>
        <v>Abrir facsímil</v>
      </c>
      <c r="K5658" s="3" t="s">
        <v>57</v>
      </c>
    </row>
    <row r="5659" spans="1:11" ht="42" customHeight="1">
      <c r="A5659" s="2" t="s">
        <v>13679</v>
      </c>
      <c r="B5659" s="2" t="s">
        <v>13680</v>
      </c>
      <c r="C5659" s="2" t="s">
        <v>79</v>
      </c>
      <c r="D5659" s="2" t="s">
        <v>18</v>
      </c>
      <c r="E5659" s="3" t="s">
        <v>327</v>
      </c>
      <c r="F5659" s="3" t="s">
        <v>328</v>
      </c>
      <c r="G5659" s="3" t="s">
        <v>329</v>
      </c>
      <c r="H5659" s="2" t="s">
        <v>55</v>
      </c>
      <c r="I5659" s="2" t="s">
        <v>13681</v>
      </c>
      <c r="J5659" s="3" t="str">
        <f>HYPERLINK("https://www.boe.es/gazeta/dias/1809/09/14/pdfs/GGB-1809-192.pdf#page=8","Abrir facsímil")</f>
        <v>Abrir facsímil</v>
      </c>
      <c r="K5659" s="3" t="s">
        <v>57</v>
      </c>
    </row>
    <row r="5660" spans="1:11" ht="42" customHeight="1">
      <c r="A5660" s="2" t="s">
        <v>13682</v>
      </c>
      <c r="B5660" s="2" t="s">
        <v>13683</v>
      </c>
      <c r="C5660" s="2" t="s">
        <v>17</v>
      </c>
      <c r="D5660" s="2" t="s">
        <v>18</v>
      </c>
      <c r="E5660" s="3" t="s">
        <v>102</v>
      </c>
      <c r="F5660" s="3" t="s">
        <v>103</v>
      </c>
      <c r="G5660" s="3" t="s">
        <v>104</v>
      </c>
      <c r="H5660" s="2" t="s">
        <v>55</v>
      </c>
      <c r="I5660" s="2" t="s">
        <v>13684</v>
      </c>
      <c r="J5660" s="3" t="str">
        <f>HYPERLINK("https://www.boe.es/gazeta/dias/1809/09/28/pdfs/GGB-1809-252.pdf#page=8","Abrir facsímil")</f>
        <v>Abrir facsímil</v>
      </c>
      <c r="K5660" s="3" t="s">
        <v>57</v>
      </c>
    </row>
  </sheetData>
  <mergeCells count="4">
    <mergeCell ref="A1:K1"/>
    <mergeCell ref="A2:K2"/>
    <mergeCell ref="A3:K3"/>
    <mergeCell ref="A4:K4"/>
  </mergeCells>
  <conditionalFormatting sqref="K7:K5660">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607"/>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5" t="s">
        <v>13685</v>
      </c>
      <c r="B1" s="5"/>
      <c r="C1" s="5"/>
      <c r="D1" s="5"/>
      <c r="E1" s="5"/>
      <c r="F1" s="5"/>
    </row>
    <row r="2" spans="1:6" ht="21.95" customHeight="1">
      <c r="A2" s="9" t="s">
        <v>13686</v>
      </c>
      <c r="B2" s="9"/>
      <c r="C2" s="9"/>
      <c r="D2" s="9"/>
      <c r="E2" s="9"/>
      <c r="F2" s="9"/>
    </row>
    <row r="4" spans="1:6" ht="30" customHeight="1">
      <c r="A4" s="1" t="s">
        <v>8</v>
      </c>
      <c r="B4" s="1" t="s">
        <v>9</v>
      </c>
      <c r="C4" s="1" t="s">
        <v>13687</v>
      </c>
      <c r="D4" s="1" t="s">
        <v>13688</v>
      </c>
      <c r="E4" s="1" t="s">
        <v>13689</v>
      </c>
      <c r="F4" s="1" t="s">
        <v>13690</v>
      </c>
    </row>
    <row r="5" spans="1:6" ht="30.95" customHeight="1">
      <c r="A5" s="2" t="s">
        <v>1084</v>
      </c>
      <c r="B5" s="2" t="s">
        <v>1085</v>
      </c>
      <c r="C5" s="2" t="s">
        <v>13691</v>
      </c>
      <c r="D5" s="3">
        <v>4</v>
      </c>
      <c r="E5" s="3">
        <v>1</v>
      </c>
      <c r="F5" s="3" t="str">
        <f>HYPERLINK("https://www.boe.es/gazeta/dias/1809/01/01/pdfs/GMD-1809-1.pdf","Abrir PDF")</f>
        <v>Abrir PDF</v>
      </c>
    </row>
    <row r="6" spans="1:6" ht="30.95" customHeight="1">
      <c r="A6" s="2" t="s">
        <v>1084</v>
      </c>
      <c r="B6" s="2" t="s">
        <v>2086</v>
      </c>
      <c r="C6" s="2" t="s">
        <v>13692</v>
      </c>
      <c r="D6" s="3">
        <v>4</v>
      </c>
      <c r="E6" s="3">
        <v>2</v>
      </c>
      <c r="F6" s="3" t="str">
        <f>HYPERLINK("https://www.boe.es/gazeta/dias/1809/01/01/pdfs/GMD-E-1809-1.pdf","Abrir PDF")</f>
        <v>Abrir PDF</v>
      </c>
    </row>
    <row r="7" spans="1:6" ht="30.95" customHeight="1">
      <c r="A7" s="2" t="s">
        <v>13693</v>
      </c>
      <c r="B7" s="2" t="s">
        <v>13694</v>
      </c>
      <c r="C7" s="2" t="s">
        <v>13695</v>
      </c>
      <c r="D7" s="3">
        <v>4</v>
      </c>
      <c r="E7" s="3">
        <v>0</v>
      </c>
      <c r="F7" s="3" t="str">
        <f>HYPERLINK("https://www.boe.es/gazeta/dias/1809/01/02/pdfs/GMD-1809-2.pdf","Abrir PDF")</f>
        <v>Abrir PDF</v>
      </c>
    </row>
    <row r="8" spans="1:6" ht="30.95" customHeight="1">
      <c r="A8" s="2" t="s">
        <v>1276</v>
      </c>
      <c r="B8" s="2" t="s">
        <v>2088</v>
      </c>
      <c r="C8" s="2" t="s">
        <v>13696</v>
      </c>
      <c r="D8" s="3">
        <v>8</v>
      </c>
      <c r="E8" s="3">
        <v>13</v>
      </c>
      <c r="F8" s="3" t="str">
        <f>HYPERLINK("https://www.boe.es/gazeta/dias/1809/01/03/pdfs/GMD-1809-3.pdf","Abrir PDF")</f>
        <v>Abrir PDF</v>
      </c>
    </row>
    <row r="9" spans="1:6" ht="30.95" customHeight="1">
      <c r="A9" s="2" t="s">
        <v>1276</v>
      </c>
      <c r="B9" s="2" t="s">
        <v>1277</v>
      </c>
      <c r="C9" s="2" t="s">
        <v>13697</v>
      </c>
      <c r="D9" s="3">
        <v>8</v>
      </c>
      <c r="E9" s="3">
        <v>9</v>
      </c>
      <c r="F9" s="3" t="str">
        <f>HYPERLINK("https://www.boe.es/gazeta/dias/1809/01/03/pdfs/GMS-1809-63.pdf","Abrir PDF")</f>
        <v>Abrir PDF</v>
      </c>
    </row>
    <row r="10" spans="1:6" ht="30.95" customHeight="1">
      <c r="A10" s="2" t="s">
        <v>3084</v>
      </c>
      <c r="B10" s="2" t="s">
        <v>13698</v>
      </c>
      <c r="C10" s="2" t="s">
        <v>13699</v>
      </c>
      <c r="D10" s="3">
        <v>4</v>
      </c>
      <c r="E10" s="3">
        <v>0</v>
      </c>
      <c r="F10" s="3" t="str">
        <f>HYPERLINK("https://www.boe.es/gazeta/dias/1809/01/04/pdfs/GMD-1809-4.pdf","Abrir PDF")</f>
        <v>Abrir PDF</v>
      </c>
    </row>
    <row r="11" spans="1:6" ht="30.95" customHeight="1">
      <c r="A11" s="2" t="s">
        <v>3084</v>
      </c>
      <c r="B11" s="2" t="s">
        <v>13700</v>
      </c>
      <c r="C11" s="2" t="s">
        <v>13701</v>
      </c>
      <c r="D11" s="3">
        <v>4</v>
      </c>
      <c r="E11" s="3">
        <v>0</v>
      </c>
      <c r="F11" s="3" t="str">
        <f>HYPERLINK("https://www.boe.es/gazeta/dias/1809/01/04/pdfs/GMD-E-1809-4.pdf","Abrir PDF")</f>
        <v>Abrir PDF</v>
      </c>
    </row>
    <row r="12" spans="1:6" ht="30.95" customHeight="1">
      <c r="A12" s="2" t="s">
        <v>3084</v>
      </c>
      <c r="B12" s="2" t="s">
        <v>3085</v>
      </c>
      <c r="C12" s="2" t="s">
        <v>13702</v>
      </c>
      <c r="D12" s="3">
        <v>4</v>
      </c>
      <c r="E12" s="3">
        <v>3</v>
      </c>
      <c r="F12" s="3" t="str">
        <f>HYPERLINK("https://www.boe.es/gazeta/dias/1809/01/04/pdfs/GMS-1809-63E.pdf","Abrir PDF")</f>
        <v>Abrir PDF</v>
      </c>
    </row>
    <row r="13" spans="1:6" ht="30.95" customHeight="1">
      <c r="A13" s="2" t="s">
        <v>833</v>
      </c>
      <c r="B13" s="2" t="s">
        <v>834</v>
      </c>
      <c r="C13" s="2" t="s">
        <v>13703</v>
      </c>
      <c r="D13" s="3">
        <v>4</v>
      </c>
      <c r="E13" s="3">
        <v>6</v>
      </c>
      <c r="F13" s="3" t="str">
        <f>HYPERLINK("https://www.boe.es/gazeta/dias/1809/01/05/pdfs/GMD-1809-5.pdf","Abrir PDF")</f>
        <v>Abrir PDF</v>
      </c>
    </row>
    <row r="14" spans="1:6" ht="30.95" customHeight="1">
      <c r="A14" s="2" t="s">
        <v>1640</v>
      </c>
      <c r="B14" s="2" t="s">
        <v>3725</v>
      </c>
      <c r="C14" s="2" t="s">
        <v>13704</v>
      </c>
      <c r="D14" s="3">
        <v>4</v>
      </c>
      <c r="E14" s="3">
        <v>6</v>
      </c>
      <c r="F14" s="3" t="str">
        <f>HYPERLINK("https://www.boe.es/gazeta/dias/1809/01/06/pdfs/GMD-1809-6.pdf","Abrir PDF")</f>
        <v>Abrir PDF</v>
      </c>
    </row>
    <row r="15" spans="1:6" ht="30.95" customHeight="1">
      <c r="A15" s="2" t="s">
        <v>1640</v>
      </c>
      <c r="B15" s="2" t="s">
        <v>13705</v>
      </c>
      <c r="C15" s="2" t="s">
        <v>13706</v>
      </c>
      <c r="D15" s="3">
        <v>4</v>
      </c>
      <c r="E15" s="3">
        <v>0</v>
      </c>
      <c r="F15" s="3" t="str">
        <f>HYPERLINK("https://www.boe.es/gazeta/dias/1809/01/06/pdfs/GMD-E-1809-6.pdf","Abrir PDF")</f>
        <v>Abrir PDF</v>
      </c>
    </row>
    <row r="16" spans="1:6" ht="30.95" customHeight="1">
      <c r="A16" s="2" t="s">
        <v>1640</v>
      </c>
      <c r="B16" s="2" t="s">
        <v>2064</v>
      </c>
      <c r="C16" s="2" t="s">
        <v>13707</v>
      </c>
      <c r="D16" s="3">
        <v>8</v>
      </c>
      <c r="E16" s="3">
        <v>6</v>
      </c>
      <c r="F16" s="3" t="str">
        <f>HYPERLINK("https://www.boe.es/gazeta/dias/1809/01/06/pdfs/GMS-1809-64.pdf","Abrir PDF")</f>
        <v>Abrir PDF</v>
      </c>
    </row>
    <row r="17" spans="1:6" ht="30.95" customHeight="1">
      <c r="A17" s="2" t="s">
        <v>1640</v>
      </c>
      <c r="B17" s="2" t="s">
        <v>3087</v>
      </c>
      <c r="C17" s="2" t="s">
        <v>13708</v>
      </c>
      <c r="D17" s="3">
        <v>8</v>
      </c>
      <c r="E17" s="3">
        <v>2</v>
      </c>
      <c r="F17" s="3" t="str">
        <f>HYPERLINK("https://www.boe.es/gazeta/dias/1809/01/06/pdfs/GGB-1809-1.pdf","Abrir PDF")</f>
        <v>Abrir PDF</v>
      </c>
    </row>
    <row r="18" spans="1:6" ht="30.95" customHeight="1">
      <c r="A18" s="2" t="s">
        <v>1640</v>
      </c>
      <c r="B18" s="2" t="s">
        <v>1641</v>
      </c>
      <c r="C18" s="2" t="s">
        <v>13709</v>
      </c>
      <c r="D18" s="3">
        <v>4</v>
      </c>
      <c r="E18" s="3">
        <v>6</v>
      </c>
      <c r="F18" s="3" t="str">
        <f>HYPERLINK("https://www.boe.es/gazeta/dias/1809/01/06/pdfs/GGB-G-1809-1.pdf","Abrir PDF")</f>
        <v>Abrir PDF</v>
      </c>
    </row>
    <row r="19" spans="1:6" ht="30.95" customHeight="1">
      <c r="A19" s="2" t="s">
        <v>184</v>
      </c>
      <c r="B19" s="2" t="s">
        <v>7090</v>
      </c>
      <c r="C19" s="2" t="s">
        <v>13710</v>
      </c>
      <c r="D19" s="3">
        <v>4</v>
      </c>
      <c r="E19" s="3">
        <v>4</v>
      </c>
      <c r="F19" s="3" t="str">
        <f>HYPERLINK("https://www.boe.es/gazeta/dias/1809/01/07/pdfs/GMD-1809-7.pdf","Abrir PDF")</f>
        <v>Abrir PDF</v>
      </c>
    </row>
    <row r="20" spans="1:6" ht="30.95" customHeight="1">
      <c r="A20" s="2" t="s">
        <v>184</v>
      </c>
      <c r="B20" s="2" t="s">
        <v>185</v>
      </c>
      <c r="C20" s="2" t="s">
        <v>13711</v>
      </c>
      <c r="D20" s="3">
        <v>4</v>
      </c>
      <c r="E20" s="3">
        <v>4</v>
      </c>
      <c r="F20" s="3" t="str">
        <f>HYPERLINK("https://www.boe.es/gazeta/dias/1809/01/07/pdfs/GMD-E-1809-7.pdf","Abrir PDF")</f>
        <v>Abrir PDF</v>
      </c>
    </row>
    <row r="21" spans="1:6" ht="30.95" customHeight="1">
      <c r="A21" s="2" t="s">
        <v>1123</v>
      </c>
      <c r="B21" s="2" t="s">
        <v>1124</v>
      </c>
      <c r="C21" s="2" t="s">
        <v>13712</v>
      </c>
      <c r="D21" s="3">
        <v>8</v>
      </c>
      <c r="E21" s="3">
        <v>21</v>
      </c>
      <c r="F21" s="3" t="str">
        <f>HYPERLINK("https://www.boe.es/gazeta/dias/1809/01/08/pdfs/GMD-1809-8.pdf","Abrir PDF")</f>
        <v>Abrir PDF</v>
      </c>
    </row>
    <row r="22" spans="1:6" ht="30.95" customHeight="1">
      <c r="A22" s="2" t="s">
        <v>1123</v>
      </c>
      <c r="B22" s="2" t="s">
        <v>3087</v>
      </c>
      <c r="C22" s="2" t="s">
        <v>13708</v>
      </c>
      <c r="D22" s="3">
        <v>8</v>
      </c>
      <c r="E22" s="3">
        <v>2</v>
      </c>
      <c r="F22" s="3" t="str">
        <f>HYPERLINK("https://www.boe.es/gazeta/dias/1809/01/08/pdfs/GGB-1809-1.pdf","Abrir PDF")</f>
        <v>Abrir PDF</v>
      </c>
    </row>
    <row r="23" spans="1:6" ht="30.95" customHeight="1">
      <c r="A23" s="2" t="s">
        <v>1123</v>
      </c>
      <c r="B23" s="2" t="s">
        <v>1641</v>
      </c>
      <c r="C23" s="2" t="s">
        <v>13709</v>
      </c>
      <c r="D23" s="3">
        <v>4</v>
      </c>
      <c r="E23" s="3">
        <v>6</v>
      </c>
      <c r="F23" s="3" t="str">
        <f>HYPERLINK("https://www.boe.es/gazeta/dias/1809/01/08/pdfs/GGB-G-1809-1.pdf","Abrir PDF")</f>
        <v>Abrir PDF</v>
      </c>
    </row>
    <row r="24" spans="1:6" ht="30.95" customHeight="1">
      <c r="A24" s="2" t="s">
        <v>585</v>
      </c>
      <c r="B24" s="2" t="s">
        <v>586</v>
      </c>
      <c r="C24" s="2" t="s">
        <v>13713</v>
      </c>
      <c r="D24" s="3">
        <v>4</v>
      </c>
      <c r="E24" s="3">
        <v>9</v>
      </c>
      <c r="F24" s="3" t="str">
        <f>HYPERLINK("https://www.boe.es/gazeta/dias/1809/01/09/pdfs/GMD-1809-9.pdf","Abrir PDF")</f>
        <v>Abrir PDF</v>
      </c>
    </row>
    <row r="25" spans="1:6" ht="30.95" customHeight="1">
      <c r="A25" s="2" t="s">
        <v>585</v>
      </c>
      <c r="B25" s="2" t="s">
        <v>13714</v>
      </c>
      <c r="C25" s="2" t="s">
        <v>13715</v>
      </c>
      <c r="D25" s="3">
        <v>4</v>
      </c>
      <c r="E25" s="3">
        <v>0</v>
      </c>
      <c r="F25" s="3" t="str">
        <f>HYPERLINK("https://www.boe.es/gazeta/dias/1809/01/09/pdfs/GMD-E-1809-9.pdf","Abrir PDF")</f>
        <v>Abrir PDF</v>
      </c>
    </row>
    <row r="26" spans="1:6" ht="30.95" customHeight="1">
      <c r="A26" s="2" t="s">
        <v>1598</v>
      </c>
      <c r="B26" s="2" t="s">
        <v>7529</v>
      </c>
      <c r="C26" s="2" t="s">
        <v>13716</v>
      </c>
      <c r="D26" s="3">
        <v>4</v>
      </c>
      <c r="E26" s="3">
        <v>3</v>
      </c>
      <c r="F26" s="3" t="str">
        <f>HYPERLINK("https://www.boe.es/gazeta/dias/1809/01/10/pdfs/GMD-1809-10.pdf","Abrir PDF")</f>
        <v>Abrir PDF</v>
      </c>
    </row>
    <row r="27" spans="1:6" ht="30.95" customHeight="1">
      <c r="A27" s="2" t="s">
        <v>1598</v>
      </c>
      <c r="B27" s="2" t="s">
        <v>1599</v>
      </c>
      <c r="C27" s="2" t="s">
        <v>13717</v>
      </c>
      <c r="D27" s="3">
        <v>8</v>
      </c>
      <c r="E27" s="3">
        <v>10</v>
      </c>
      <c r="F27" s="3" t="str">
        <f>HYPERLINK("https://www.boe.es/gazeta/dias/1809/01/10/pdfs/GMS-1809-65.pdf","Abrir PDF")</f>
        <v>Abrir PDF</v>
      </c>
    </row>
    <row r="28" spans="1:6" ht="30.95" customHeight="1">
      <c r="A28" s="2" t="s">
        <v>925</v>
      </c>
      <c r="B28" s="2" t="s">
        <v>1451</v>
      </c>
      <c r="C28" s="2" t="s">
        <v>13718</v>
      </c>
      <c r="D28" s="3">
        <v>4</v>
      </c>
      <c r="E28" s="3">
        <v>6</v>
      </c>
      <c r="F28" s="3" t="str">
        <f>HYPERLINK("https://www.boe.es/gazeta/dias/1809/01/11/pdfs/GMD-1809-11.pdf","Abrir PDF")</f>
        <v>Abrir PDF</v>
      </c>
    </row>
    <row r="29" spans="1:6" ht="30.95" customHeight="1">
      <c r="A29" s="2" t="s">
        <v>925</v>
      </c>
      <c r="B29" s="2" t="s">
        <v>13719</v>
      </c>
      <c r="C29" s="2" t="s">
        <v>13720</v>
      </c>
      <c r="D29" s="3">
        <v>4</v>
      </c>
      <c r="E29" s="3">
        <v>0</v>
      </c>
      <c r="F29" s="3" t="str">
        <f>HYPERLINK("https://www.boe.es/gazeta/dias/1809/01/11/pdfs/GMD-E-1809-11.pdf","Abrir PDF")</f>
        <v>Abrir PDF</v>
      </c>
    </row>
    <row r="30" spans="1:6" ht="30.95" customHeight="1">
      <c r="A30" s="2" t="s">
        <v>925</v>
      </c>
      <c r="B30" s="2" t="s">
        <v>926</v>
      </c>
      <c r="C30" s="2" t="s">
        <v>13721</v>
      </c>
      <c r="D30" s="3">
        <v>8</v>
      </c>
      <c r="E30" s="3">
        <v>45</v>
      </c>
      <c r="F30" s="3" t="str">
        <f>HYPERLINK("https://www.boe.es/gazeta/dias/1809/01/11/pdfs/GGB-1809-2.pdf","Abrir PDF")</f>
        <v>Abrir PDF</v>
      </c>
    </row>
    <row r="31" spans="1:6" ht="30.95" customHeight="1">
      <c r="A31" s="2" t="s">
        <v>925</v>
      </c>
      <c r="B31" s="2" t="s">
        <v>3924</v>
      </c>
      <c r="C31" s="2" t="s">
        <v>13722</v>
      </c>
      <c r="D31" s="3">
        <v>3</v>
      </c>
      <c r="E31" s="3">
        <v>3</v>
      </c>
      <c r="F31" s="3" t="str">
        <f>HYPERLINK("https://www.boe.es/gazeta/dias/1809/01/11/pdfs/GGB-1809-2E.pdf","Abrir PDF")</f>
        <v>Abrir PDF</v>
      </c>
    </row>
    <row r="32" spans="1:6" ht="30.95" customHeight="1">
      <c r="A32" s="2" t="s">
        <v>1245</v>
      </c>
      <c r="B32" s="2" t="s">
        <v>1246</v>
      </c>
      <c r="C32" s="2" t="s">
        <v>13723</v>
      </c>
      <c r="D32" s="3">
        <v>4</v>
      </c>
      <c r="E32" s="3">
        <v>2</v>
      </c>
      <c r="F32" s="3" t="str">
        <f>HYPERLINK("https://www.boe.es/gazeta/dias/1809/01/12/pdfs/GMD-1809-12.pdf","Abrir PDF")</f>
        <v>Abrir PDF</v>
      </c>
    </row>
    <row r="33" spans="1:6" ht="30.95" customHeight="1">
      <c r="A33" s="2" t="s">
        <v>1245</v>
      </c>
      <c r="B33" s="2" t="s">
        <v>13724</v>
      </c>
      <c r="C33" s="2" t="s">
        <v>13725</v>
      </c>
      <c r="D33" s="3">
        <v>4</v>
      </c>
      <c r="E33" s="3">
        <v>0</v>
      </c>
      <c r="F33" s="3" t="str">
        <f>HYPERLINK("https://www.boe.es/gazeta/dias/1809/01/12/pdfs/GMD-E-1809-12.pdf","Abrir PDF")</f>
        <v>Abrir PDF</v>
      </c>
    </row>
    <row r="34" spans="1:6" ht="30.95" customHeight="1">
      <c r="A34" s="2" t="s">
        <v>1073</v>
      </c>
      <c r="B34" s="2" t="s">
        <v>1074</v>
      </c>
      <c r="C34" s="2" t="s">
        <v>13726</v>
      </c>
      <c r="D34" s="3">
        <v>4</v>
      </c>
      <c r="E34" s="3">
        <v>7</v>
      </c>
      <c r="F34" s="3" t="str">
        <f>HYPERLINK("https://www.boe.es/gazeta/dias/1809/01/13/pdfs/GMD-1809-13.pdf","Abrir PDF")</f>
        <v>Abrir PDF</v>
      </c>
    </row>
    <row r="35" spans="1:6" ht="30.95" customHeight="1">
      <c r="A35" s="2" t="s">
        <v>1073</v>
      </c>
      <c r="B35" s="2" t="s">
        <v>3003</v>
      </c>
      <c r="C35" s="2" t="s">
        <v>13727</v>
      </c>
      <c r="D35" s="3">
        <v>3</v>
      </c>
      <c r="E35" s="3">
        <v>1</v>
      </c>
      <c r="F35" s="3" t="str">
        <f>HYPERLINK("https://www.boe.es/gazeta/dias/1809/01/13/pdfs/GMD-E-1809-13.pdf","Abrir PDF")</f>
        <v>Abrir PDF</v>
      </c>
    </row>
    <row r="36" spans="1:6" ht="30.95" customHeight="1">
      <c r="A36" s="2" t="s">
        <v>1616</v>
      </c>
      <c r="B36" s="2" t="s">
        <v>2656</v>
      </c>
      <c r="C36" s="2" t="s">
        <v>13728</v>
      </c>
      <c r="D36" s="3">
        <v>4</v>
      </c>
      <c r="E36" s="3">
        <v>4</v>
      </c>
      <c r="F36" s="3" t="str">
        <f>HYPERLINK("https://www.boe.es/gazeta/dias/1809/01/14/pdfs/GMD-1809-14.pdf","Abrir PDF")</f>
        <v>Abrir PDF</v>
      </c>
    </row>
    <row r="37" spans="1:6" ht="30.95" customHeight="1">
      <c r="A37" s="2" t="s">
        <v>1616</v>
      </c>
      <c r="B37" s="2" t="s">
        <v>13729</v>
      </c>
      <c r="C37" s="2" t="s">
        <v>13730</v>
      </c>
      <c r="D37" s="3">
        <v>5</v>
      </c>
      <c r="E37" s="3">
        <v>0</v>
      </c>
      <c r="F37" s="3" t="str">
        <f>HYPERLINK("https://www.boe.es/gazeta/dias/1809/01/14/pdfs/GMD-E-1809-14.pdf","Abrir PDF")</f>
        <v>Abrir PDF</v>
      </c>
    </row>
    <row r="38" spans="1:6" ht="30.95" customHeight="1">
      <c r="A38" s="2" t="s">
        <v>1616</v>
      </c>
      <c r="B38" s="2" t="s">
        <v>1617</v>
      </c>
      <c r="C38" s="2" t="s">
        <v>13731</v>
      </c>
      <c r="D38" s="3">
        <v>8</v>
      </c>
      <c r="E38" s="3">
        <v>7</v>
      </c>
      <c r="F38" s="3" t="str">
        <f>HYPERLINK("https://www.boe.es/gazeta/dias/1809/01/14/pdfs/GGB-1809-3.pdf","Abrir PDF")</f>
        <v>Abrir PDF</v>
      </c>
    </row>
    <row r="39" spans="1:6" ht="30.95" customHeight="1">
      <c r="A39" s="2" t="s">
        <v>4993</v>
      </c>
      <c r="B39" s="2" t="s">
        <v>4994</v>
      </c>
      <c r="C39" s="2" t="s">
        <v>13732</v>
      </c>
      <c r="D39" s="3">
        <v>4</v>
      </c>
      <c r="E39" s="3">
        <v>8</v>
      </c>
      <c r="F39" s="3" t="str">
        <f>HYPERLINK("https://www.boe.es/gazeta/dias/1809/01/15/pdfs/GMD-1809-15.pdf","Abrir PDF")</f>
        <v>Abrir PDF</v>
      </c>
    </row>
    <row r="40" spans="1:6" ht="30.95" customHeight="1">
      <c r="A40" s="2" t="s">
        <v>4993</v>
      </c>
      <c r="B40" s="2" t="s">
        <v>13733</v>
      </c>
      <c r="C40" s="2" t="s">
        <v>13734</v>
      </c>
      <c r="D40" s="3">
        <v>3</v>
      </c>
      <c r="E40" s="3">
        <v>0</v>
      </c>
      <c r="F40" s="3" t="str">
        <f>HYPERLINK("https://www.boe.es/gazeta/dias/1809/01/15/pdfs/GMD-E-1809-15.pdf","Abrir PDF")</f>
        <v>Abrir PDF</v>
      </c>
    </row>
    <row r="41" spans="1:6" ht="30.95" customHeight="1">
      <c r="A41" s="2" t="s">
        <v>1700</v>
      </c>
      <c r="B41" s="2" t="s">
        <v>5404</v>
      </c>
      <c r="C41" s="2" t="s">
        <v>13735</v>
      </c>
      <c r="D41" s="3">
        <v>4</v>
      </c>
      <c r="E41" s="3">
        <v>2</v>
      </c>
      <c r="F41" s="3" t="str">
        <f>HYPERLINK("https://www.boe.es/gazeta/dias/1809/01/16/pdfs/GMD-1809-16.pdf","Abrir PDF")</f>
        <v>Abrir PDF</v>
      </c>
    </row>
    <row r="42" spans="1:6" ht="30.95" customHeight="1">
      <c r="A42" s="2" t="s">
        <v>1700</v>
      </c>
      <c r="B42" s="2" t="s">
        <v>1701</v>
      </c>
      <c r="C42" s="2" t="s">
        <v>13736</v>
      </c>
      <c r="D42" s="3">
        <v>8</v>
      </c>
      <c r="E42" s="3">
        <v>18</v>
      </c>
      <c r="F42" s="3" t="str">
        <f>HYPERLINK("https://www.boe.es/gazeta/dias/1809/01/16/pdfs/GGB-1809-3E.pdf","Abrir PDF")</f>
        <v>Abrir PDF</v>
      </c>
    </row>
    <row r="43" spans="1:6" ht="30.95" customHeight="1">
      <c r="A43" s="2" t="s">
        <v>6946</v>
      </c>
      <c r="B43" s="2" t="s">
        <v>6947</v>
      </c>
      <c r="C43" s="2" t="s">
        <v>13737</v>
      </c>
      <c r="D43" s="3">
        <v>4</v>
      </c>
      <c r="E43" s="3">
        <v>3</v>
      </c>
      <c r="F43" s="3" t="str">
        <f>HYPERLINK("https://www.boe.es/gazeta/dias/1809/01/17/pdfs/GMD-1809-17.pdf","Abrir PDF")</f>
        <v>Abrir PDF</v>
      </c>
    </row>
    <row r="44" spans="1:6" ht="30.95" customHeight="1">
      <c r="A44" s="2" t="s">
        <v>7384</v>
      </c>
      <c r="B44" s="2" t="s">
        <v>7385</v>
      </c>
      <c r="C44" s="2" t="s">
        <v>13738</v>
      </c>
      <c r="D44" s="3">
        <v>8</v>
      </c>
      <c r="E44" s="3">
        <v>1</v>
      </c>
      <c r="F44" s="3" t="str">
        <f>HYPERLINK("https://www.boe.es/gazeta/dias/1809/01/18/pdfs/GMD-1809-18.pdf","Abrir PDF")</f>
        <v>Abrir PDF</v>
      </c>
    </row>
    <row r="45" spans="1:6" ht="30.95" customHeight="1">
      <c r="A45" s="2" t="s">
        <v>599</v>
      </c>
      <c r="B45" s="2" t="s">
        <v>600</v>
      </c>
      <c r="C45" s="2" t="s">
        <v>13739</v>
      </c>
      <c r="D45" s="3">
        <v>4</v>
      </c>
      <c r="E45" s="3">
        <v>25</v>
      </c>
      <c r="F45" s="3" t="str">
        <f>HYPERLINK("https://www.boe.es/gazeta/dias/1809/01/19/pdfs/GMD-1809-19.pdf","Abrir PDF")</f>
        <v>Abrir PDF</v>
      </c>
    </row>
    <row r="46" spans="1:6" ht="30.95" customHeight="1">
      <c r="A46" s="2" t="s">
        <v>599</v>
      </c>
      <c r="B46" s="2" t="s">
        <v>3926</v>
      </c>
      <c r="C46" s="2" t="s">
        <v>13740</v>
      </c>
      <c r="D46" s="3">
        <v>8</v>
      </c>
      <c r="E46" s="3">
        <v>3</v>
      </c>
      <c r="F46" s="3" t="str">
        <f>HYPERLINK("https://www.boe.es/gazeta/dias/1809/01/19/pdfs/GGB-1809-3E2.pdf","Abrir PDF")</f>
        <v>Abrir PDF</v>
      </c>
    </row>
    <row r="47" spans="1:6" ht="30.95" customHeight="1">
      <c r="A47" s="2" t="s">
        <v>2166</v>
      </c>
      <c r="B47" s="2" t="s">
        <v>5035</v>
      </c>
      <c r="C47" s="2" t="s">
        <v>13741</v>
      </c>
      <c r="D47" s="3">
        <v>4</v>
      </c>
      <c r="E47" s="3">
        <v>3</v>
      </c>
      <c r="F47" s="3" t="str">
        <f>HYPERLINK("https://www.boe.es/gazeta/dias/1809/01/20/pdfs/GMD-1809-20.pdf","Abrir PDF")</f>
        <v>Abrir PDF</v>
      </c>
    </row>
    <row r="48" spans="1:6" ht="30.95" customHeight="1">
      <c r="A48" s="2" t="s">
        <v>2166</v>
      </c>
      <c r="B48" s="2" t="s">
        <v>2167</v>
      </c>
      <c r="C48" s="2" t="s">
        <v>13742</v>
      </c>
      <c r="D48" s="3">
        <v>8</v>
      </c>
      <c r="E48" s="3">
        <v>5</v>
      </c>
      <c r="F48" s="3" t="str">
        <f>HYPERLINK("https://www.boe.es/gazeta/dias/1809/01/20/pdfs/GGB-1809-4.pdf","Abrir PDF")</f>
        <v>Abrir PDF</v>
      </c>
    </row>
    <row r="49" spans="1:6" ht="30.95" customHeight="1">
      <c r="A49" s="2" t="s">
        <v>6100</v>
      </c>
      <c r="B49" s="2" t="s">
        <v>6101</v>
      </c>
      <c r="C49" s="2" t="s">
        <v>13743</v>
      </c>
      <c r="D49" s="3">
        <v>4</v>
      </c>
      <c r="E49" s="3">
        <v>4</v>
      </c>
      <c r="F49" s="3" t="str">
        <f>HYPERLINK("https://www.boe.es/gazeta/dias/1809/01/21/pdfs/GMD-1809-21.pdf","Abrir PDF")</f>
        <v>Abrir PDF</v>
      </c>
    </row>
    <row r="50" spans="1:6" ht="30.95" customHeight="1">
      <c r="A50" s="2" t="s">
        <v>1807</v>
      </c>
      <c r="B50" s="2" t="s">
        <v>1808</v>
      </c>
      <c r="C50" s="2" t="s">
        <v>13744</v>
      </c>
      <c r="D50" s="3">
        <v>4</v>
      </c>
      <c r="E50" s="3">
        <v>11</v>
      </c>
      <c r="F50" s="3" t="str">
        <f>HYPERLINK("https://www.boe.es/gazeta/dias/1809/01/22/pdfs/GMD-1809-22.pdf","Abrir PDF")</f>
        <v>Abrir PDF</v>
      </c>
    </row>
    <row r="51" spans="1:6" ht="30.95" customHeight="1">
      <c r="A51" s="2" t="s">
        <v>5751</v>
      </c>
      <c r="B51" s="2" t="s">
        <v>13745</v>
      </c>
      <c r="C51" s="2" t="s">
        <v>13746</v>
      </c>
      <c r="D51" s="3">
        <v>4</v>
      </c>
      <c r="E51" s="3">
        <v>0</v>
      </c>
      <c r="F51" s="3" t="str">
        <f>HYPERLINK("https://www.boe.es/gazeta/dias/1809/01/23/pdfs/GMD-1809-23.pdf","Abrir PDF")</f>
        <v>Abrir PDF</v>
      </c>
    </row>
    <row r="52" spans="1:6" ht="30.95" customHeight="1">
      <c r="A52" s="2" t="s">
        <v>5751</v>
      </c>
      <c r="B52" s="2" t="s">
        <v>5752</v>
      </c>
      <c r="C52" s="2" t="s">
        <v>13747</v>
      </c>
      <c r="D52" s="3">
        <v>8</v>
      </c>
      <c r="E52" s="3">
        <v>9</v>
      </c>
      <c r="F52" s="3" t="str">
        <f>HYPERLINK("https://www.boe.es/gazeta/dias/1809/01/23/pdfs/GGB-1809-4E.pdf","Abrir PDF")</f>
        <v>Abrir PDF</v>
      </c>
    </row>
    <row r="53" spans="1:6" ht="30.95" customHeight="1">
      <c r="A53" s="2" t="s">
        <v>7139</v>
      </c>
      <c r="B53" s="2" t="s">
        <v>7140</v>
      </c>
      <c r="C53" s="2" t="s">
        <v>13748</v>
      </c>
      <c r="D53" s="3">
        <v>4</v>
      </c>
      <c r="E53" s="3">
        <v>5</v>
      </c>
      <c r="F53" s="3" t="str">
        <f>HYPERLINK("https://www.boe.es/gazeta/dias/1809/01/24/pdfs/GMD-1809-24.pdf","Abrir PDF")</f>
        <v>Abrir PDF</v>
      </c>
    </row>
    <row r="54" spans="1:6" ht="30.95" customHeight="1">
      <c r="A54" s="2" t="s">
        <v>5247</v>
      </c>
      <c r="B54" s="2" t="s">
        <v>5248</v>
      </c>
      <c r="C54" s="2" t="s">
        <v>13749</v>
      </c>
      <c r="D54" s="3">
        <v>4</v>
      </c>
      <c r="E54" s="3">
        <v>3</v>
      </c>
      <c r="F54" s="3" t="str">
        <f>HYPERLINK("https://www.boe.es/gazeta/dias/1809/01/25/pdfs/GMD-1809-25.pdf","Abrir PDF")</f>
        <v>Abrir PDF</v>
      </c>
    </row>
    <row r="55" spans="1:6" ht="30.95" customHeight="1">
      <c r="A55" s="2" t="s">
        <v>3195</v>
      </c>
      <c r="B55" s="2" t="s">
        <v>3196</v>
      </c>
      <c r="C55" s="2" t="s">
        <v>13750</v>
      </c>
      <c r="D55" s="3">
        <v>4</v>
      </c>
      <c r="E55" s="3">
        <v>5</v>
      </c>
      <c r="F55" s="3" t="str">
        <f>HYPERLINK("https://www.boe.es/gazeta/dias/1809/01/26/pdfs/GMD-1809-26.pdf","Abrir PDF")</f>
        <v>Abrir PDF</v>
      </c>
    </row>
    <row r="56" spans="1:6" ht="30.95" customHeight="1">
      <c r="A56" s="2" t="s">
        <v>720</v>
      </c>
      <c r="B56" s="2" t="s">
        <v>2154</v>
      </c>
      <c r="C56" s="2" t="s">
        <v>13751</v>
      </c>
      <c r="D56" s="3">
        <v>8</v>
      </c>
      <c r="E56" s="3">
        <v>5</v>
      </c>
      <c r="F56" s="3" t="str">
        <f>HYPERLINK("https://www.boe.es/gazeta/dias/1809/01/27/pdfs/GMD-1809-27.pdf","Abrir PDF")</f>
        <v>Abrir PDF</v>
      </c>
    </row>
    <row r="57" spans="1:6" ht="30.95" customHeight="1">
      <c r="A57" s="2" t="s">
        <v>720</v>
      </c>
      <c r="B57" s="2" t="s">
        <v>2177</v>
      </c>
      <c r="C57" s="2" t="s">
        <v>13752</v>
      </c>
      <c r="D57" s="3">
        <v>8</v>
      </c>
      <c r="E57" s="3">
        <v>4</v>
      </c>
      <c r="F57" s="3" t="str">
        <f>HYPERLINK("https://www.boe.es/gazeta/dias/1809/01/27/pdfs/GGB-1809-5.pdf","Abrir PDF")</f>
        <v>Abrir PDF</v>
      </c>
    </row>
    <row r="58" spans="1:6" ht="30.95" customHeight="1">
      <c r="A58" s="2" t="s">
        <v>720</v>
      </c>
      <c r="B58" s="2" t="s">
        <v>721</v>
      </c>
      <c r="C58" s="2" t="s">
        <v>13753</v>
      </c>
      <c r="D58" s="3">
        <v>8</v>
      </c>
      <c r="E58" s="3">
        <v>21</v>
      </c>
      <c r="F58" s="3" t="str">
        <f>HYPERLINK("https://www.boe.es/gazeta/dias/1809/01/27/pdfs/GGB-G-1809-5.pdf","Abrir PDF")</f>
        <v>Abrir PDF</v>
      </c>
    </row>
    <row r="59" spans="1:6" ht="30.95" customHeight="1">
      <c r="A59" s="2" t="s">
        <v>4361</v>
      </c>
      <c r="B59" s="2" t="s">
        <v>4362</v>
      </c>
      <c r="C59" s="2" t="s">
        <v>13754</v>
      </c>
      <c r="D59" s="3">
        <v>4</v>
      </c>
      <c r="E59" s="3">
        <v>12</v>
      </c>
      <c r="F59" s="3" t="str">
        <f>HYPERLINK("https://www.boe.es/gazeta/dias/1809/01/28/pdfs/GMD-1809-28.pdf","Abrir PDF")</f>
        <v>Abrir PDF</v>
      </c>
    </row>
    <row r="60" spans="1:6" ht="30.95" customHeight="1">
      <c r="A60" s="2" t="s">
        <v>3321</v>
      </c>
      <c r="B60" s="2" t="s">
        <v>3322</v>
      </c>
      <c r="C60" s="2" t="s">
        <v>13755</v>
      </c>
      <c r="D60" s="3">
        <v>4</v>
      </c>
      <c r="E60" s="3">
        <v>2</v>
      </c>
      <c r="F60" s="3" t="str">
        <f>HYPERLINK("https://www.boe.es/gazeta/dias/1809/01/29/pdfs/GMD-1809-29.pdf","Abrir PDF")</f>
        <v>Abrir PDF</v>
      </c>
    </row>
    <row r="61" spans="1:6" ht="30.95" customHeight="1">
      <c r="A61" s="2" t="s">
        <v>4170</v>
      </c>
      <c r="B61" s="2" t="s">
        <v>4171</v>
      </c>
      <c r="C61" s="2" t="s">
        <v>13756</v>
      </c>
      <c r="D61" s="3">
        <v>4</v>
      </c>
      <c r="E61" s="3">
        <v>3</v>
      </c>
      <c r="F61" s="3" t="str">
        <f>HYPERLINK("https://www.boe.es/gazeta/dias/1809/01/30/pdfs/GMD-1809-30.pdf","Abrir PDF")</f>
        <v>Abrir PDF</v>
      </c>
    </row>
    <row r="62" spans="1:6" ht="30.95" customHeight="1">
      <c r="A62" s="2" t="s">
        <v>4624</v>
      </c>
      <c r="B62" s="2" t="s">
        <v>4625</v>
      </c>
      <c r="C62" s="2" t="s">
        <v>13757</v>
      </c>
      <c r="D62" s="3">
        <v>4</v>
      </c>
      <c r="E62" s="3">
        <v>11</v>
      </c>
      <c r="F62" s="3" t="str">
        <f>HYPERLINK("https://www.boe.es/gazeta/dias/1809/01/31/pdfs/GMD-1809-31.pdf","Abrir PDF")</f>
        <v>Abrir PDF</v>
      </c>
    </row>
    <row r="63" spans="1:6" ht="30.95" customHeight="1">
      <c r="A63" s="2" t="s">
        <v>6812</v>
      </c>
      <c r="B63" s="2" t="s">
        <v>6813</v>
      </c>
      <c r="C63" s="2" t="s">
        <v>13758</v>
      </c>
      <c r="D63" s="3">
        <v>4</v>
      </c>
      <c r="E63" s="3">
        <v>1</v>
      </c>
      <c r="F63" s="3" t="str">
        <f>HYPERLINK("https://www.boe.es/gazeta/dias/1809/02/01/pdfs/GMD-1809-32.pdf","Abrir PDF")</f>
        <v>Abrir PDF</v>
      </c>
    </row>
    <row r="64" spans="1:6" ht="30.95" customHeight="1">
      <c r="A64" s="2" t="s">
        <v>406</v>
      </c>
      <c r="B64" s="2" t="s">
        <v>407</v>
      </c>
      <c r="C64" s="2" t="s">
        <v>13759</v>
      </c>
      <c r="D64" s="3">
        <v>4</v>
      </c>
      <c r="E64" s="3">
        <v>2</v>
      </c>
      <c r="F64" s="3" t="str">
        <f>HYPERLINK("https://www.boe.es/gazeta/dias/1809/02/02/pdfs/GMD-1809-33.pdf","Abrir PDF")</f>
        <v>Abrir PDF</v>
      </c>
    </row>
    <row r="65" spans="1:6" ht="30.95" customHeight="1">
      <c r="A65" s="2" t="s">
        <v>2818</v>
      </c>
      <c r="B65" s="2" t="s">
        <v>2819</v>
      </c>
      <c r="C65" s="2" t="s">
        <v>13760</v>
      </c>
      <c r="D65" s="3">
        <v>4</v>
      </c>
      <c r="E65" s="3">
        <v>7</v>
      </c>
      <c r="F65" s="3" t="str">
        <f>HYPERLINK("https://www.boe.es/gazeta/dias/1809/02/03/pdfs/GMD-1809-34.pdf","Abrir PDF")</f>
        <v>Abrir PDF</v>
      </c>
    </row>
    <row r="66" spans="1:6" ht="30.95" customHeight="1">
      <c r="A66" s="2" t="s">
        <v>2818</v>
      </c>
      <c r="B66" s="2" t="s">
        <v>4438</v>
      </c>
      <c r="C66" s="2" t="s">
        <v>13761</v>
      </c>
      <c r="D66" s="3">
        <v>8</v>
      </c>
      <c r="E66" s="3">
        <v>2</v>
      </c>
      <c r="F66" s="3" t="str">
        <f>HYPERLINK("https://www.boe.es/gazeta/dias/1809/02/03/pdfs/GGB-1809-6.pdf","Abrir PDF")</f>
        <v>Abrir PDF</v>
      </c>
    </row>
    <row r="67" spans="1:6" ht="30.95" customHeight="1">
      <c r="A67" s="2" t="s">
        <v>2818</v>
      </c>
      <c r="B67" s="2" t="s">
        <v>4265</v>
      </c>
      <c r="C67" s="2" t="s">
        <v>13762</v>
      </c>
      <c r="D67" s="3">
        <v>12</v>
      </c>
      <c r="E67" s="3">
        <v>14</v>
      </c>
      <c r="F67" s="3" t="str">
        <f>HYPERLINK("https://www.boe.es/gazeta/dias/1809/02/03/pdfs/GGB-G-1809-6.pdf","Abrir PDF")</f>
        <v>Abrir PDF</v>
      </c>
    </row>
    <row r="68" spans="1:6" ht="30.95" customHeight="1">
      <c r="A68" s="2" t="s">
        <v>11265</v>
      </c>
      <c r="B68" s="2" t="s">
        <v>11266</v>
      </c>
      <c r="C68" s="2" t="s">
        <v>13763</v>
      </c>
      <c r="D68" s="3">
        <v>4</v>
      </c>
      <c r="E68" s="3">
        <v>3</v>
      </c>
      <c r="F68" s="3" t="str">
        <f>HYPERLINK("https://www.boe.es/gazeta/dias/1809/02/04/pdfs/GMD-1809-35.pdf","Abrir PDF")</f>
        <v>Abrir PDF</v>
      </c>
    </row>
    <row r="69" spans="1:6" ht="30.95" customHeight="1">
      <c r="A69" s="2" t="s">
        <v>2673</v>
      </c>
      <c r="B69" s="2" t="s">
        <v>2674</v>
      </c>
      <c r="C69" s="2" t="s">
        <v>13764</v>
      </c>
      <c r="D69" s="3">
        <v>4</v>
      </c>
      <c r="E69" s="3">
        <v>6</v>
      </c>
      <c r="F69" s="3" t="str">
        <f>HYPERLINK("https://www.boe.es/gazeta/dias/1809/02/05/pdfs/GMD-1809-36.pdf","Abrir PDF")</f>
        <v>Abrir PDF</v>
      </c>
    </row>
    <row r="70" spans="1:6" ht="30.95" customHeight="1">
      <c r="A70" s="2" t="s">
        <v>4389</v>
      </c>
      <c r="B70" s="2" t="s">
        <v>4390</v>
      </c>
      <c r="C70" s="2" t="s">
        <v>13765</v>
      </c>
      <c r="D70" s="3">
        <v>4</v>
      </c>
      <c r="E70" s="3">
        <v>19</v>
      </c>
      <c r="F70" s="3" t="str">
        <f>HYPERLINK("https://www.boe.es/gazeta/dias/1809/02/06/pdfs/GMD-1809-37.pdf","Abrir PDF")</f>
        <v>Abrir PDF</v>
      </c>
    </row>
    <row r="71" spans="1:6" ht="30.95" customHeight="1">
      <c r="A71" s="2" t="s">
        <v>60</v>
      </c>
      <c r="B71" s="2" t="s">
        <v>61</v>
      </c>
      <c r="C71" s="2" t="s">
        <v>13766</v>
      </c>
      <c r="D71" s="3">
        <v>4</v>
      </c>
      <c r="E71" s="3">
        <v>46</v>
      </c>
      <c r="F71" s="3" t="str">
        <f>HYPERLINK("https://www.boe.es/gazeta/dias/1809/02/07/pdfs/GMD-1809-38.pdf","Abrir PDF")</f>
        <v>Abrir PDF</v>
      </c>
    </row>
    <row r="72" spans="1:6" ht="30.95" customHeight="1">
      <c r="A72" s="2" t="s">
        <v>3397</v>
      </c>
      <c r="B72" s="2" t="s">
        <v>3398</v>
      </c>
      <c r="C72" s="2" t="s">
        <v>13767</v>
      </c>
      <c r="D72" s="3">
        <v>4</v>
      </c>
      <c r="E72" s="3">
        <v>16</v>
      </c>
      <c r="F72" s="3" t="str">
        <f>HYPERLINK("https://www.boe.es/gazeta/dias/1809/02/08/pdfs/GMD-1809-39.pdf","Abrir PDF")</f>
        <v>Abrir PDF</v>
      </c>
    </row>
    <row r="73" spans="1:6" ht="30.95" customHeight="1">
      <c r="A73" s="2" t="s">
        <v>283</v>
      </c>
      <c r="B73" s="2" t="s">
        <v>284</v>
      </c>
      <c r="C73" s="2" t="s">
        <v>13768</v>
      </c>
      <c r="D73" s="3">
        <v>4</v>
      </c>
      <c r="E73" s="3">
        <v>20</v>
      </c>
      <c r="F73" s="3" t="str">
        <f>HYPERLINK("https://www.boe.es/gazeta/dias/1809/02/09/pdfs/GMD-1809-40.pdf","Abrir PDF")</f>
        <v>Abrir PDF</v>
      </c>
    </row>
    <row r="74" spans="1:6" ht="30.95" customHeight="1">
      <c r="A74" s="2" t="s">
        <v>158</v>
      </c>
      <c r="B74" s="2" t="s">
        <v>7342</v>
      </c>
      <c r="C74" s="2" t="s">
        <v>13769</v>
      </c>
      <c r="D74" s="3">
        <v>8</v>
      </c>
      <c r="E74" s="3">
        <v>4</v>
      </c>
      <c r="F74" s="3" t="str">
        <f>HYPERLINK("https://www.boe.es/gazeta/dias/1809/02/10/pdfs/GMD-1809-41.pdf","Abrir PDF")</f>
        <v>Abrir PDF</v>
      </c>
    </row>
    <row r="75" spans="1:6" ht="30.95" customHeight="1">
      <c r="A75" s="2" t="s">
        <v>158</v>
      </c>
      <c r="B75" s="2" t="s">
        <v>159</v>
      </c>
      <c r="C75" s="2" t="s">
        <v>13770</v>
      </c>
      <c r="D75" s="3">
        <v>12</v>
      </c>
      <c r="E75" s="3">
        <v>24</v>
      </c>
      <c r="F75" s="3" t="str">
        <f>HYPERLINK("https://www.boe.es/gazeta/dias/1809/02/10/pdfs/GGB-1809-7.pdf","Abrir PDF")</f>
        <v>Abrir PDF</v>
      </c>
    </row>
    <row r="76" spans="1:6" ht="30.95" customHeight="1">
      <c r="A76" s="2" t="s">
        <v>158</v>
      </c>
      <c r="B76" s="2" t="s">
        <v>1794</v>
      </c>
      <c r="C76" s="2" t="s">
        <v>13771</v>
      </c>
      <c r="D76" s="3">
        <v>8</v>
      </c>
      <c r="E76" s="3">
        <v>3</v>
      </c>
      <c r="F76" s="3" t="str">
        <f>HYPERLINK("https://www.boe.es/gazeta/dias/1809/02/10/pdfs/GGB-G-1809-7.pdf","Abrir PDF")</f>
        <v>Abrir PDF</v>
      </c>
    </row>
    <row r="77" spans="1:6" ht="30.95" customHeight="1">
      <c r="A77" s="2" t="s">
        <v>19</v>
      </c>
      <c r="B77" s="2" t="s">
        <v>20</v>
      </c>
      <c r="C77" s="2" t="s">
        <v>13772</v>
      </c>
      <c r="D77" s="3">
        <v>4</v>
      </c>
      <c r="E77" s="3">
        <v>4</v>
      </c>
      <c r="F77" s="3" t="str">
        <f>HYPERLINK("https://www.boe.es/gazeta/dias/1809/02/11/pdfs/GMD-1809-42.pdf","Abrir PDF")</f>
        <v>Abrir PDF</v>
      </c>
    </row>
    <row r="78" spans="1:6" ht="30.95" customHeight="1">
      <c r="A78" s="2" t="s">
        <v>1468</v>
      </c>
      <c r="B78" s="2" t="s">
        <v>1469</v>
      </c>
      <c r="C78" s="2" t="s">
        <v>13773</v>
      </c>
      <c r="D78" s="3">
        <v>8</v>
      </c>
      <c r="E78" s="3">
        <v>39</v>
      </c>
      <c r="F78" s="3" t="str">
        <f>HYPERLINK("https://www.boe.es/gazeta/dias/1809/02/12/pdfs/GMD-1809-43.pdf","Abrir PDF")</f>
        <v>Abrir PDF</v>
      </c>
    </row>
    <row r="79" spans="1:6" ht="30.95" customHeight="1">
      <c r="A79" s="2" t="s">
        <v>13774</v>
      </c>
      <c r="B79" s="2" t="s">
        <v>13775</v>
      </c>
      <c r="C79" s="2" t="s">
        <v>13776</v>
      </c>
      <c r="D79" s="3">
        <v>4</v>
      </c>
      <c r="E79" s="3">
        <v>0</v>
      </c>
      <c r="F79" s="3" t="str">
        <f>HYPERLINK("https://www.boe.es/gazeta/dias/1809/02/13/pdfs/GMD-1809-44.pdf","Abrir PDF")</f>
        <v>Abrir PDF</v>
      </c>
    </row>
    <row r="80" spans="1:6" ht="30.95" customHeight="1">
      <c r="A80" s="2" t="s">
        <v>523</v>
      </c>
      <c r="B80" s="2" t="s">
        <v>524</v>
      </c>
      <c r="C80" s="2" t="s">
        <v>13777</v>
      </c>
      <c r="D80" s="3">
        <v>4</v>
      </c>
      <c r="E80" s="3">
        <v>21</v>
      </c>
      <c r="F80" s="3" t="str">
        <f>HYPERLINK("https://www.boe.es/gazeta/dias/1809/02/14/pdfs/GMD-1809-45.pdf","Abrir PDF")</f>
        <v>Abrir PDF</v>
      </c>
    </row>
    <row r="81" spans="1:6" ht="30.95" customHeight="1">
      <c r="A81" s="2" t="s">
        <v>87</v>
      </c>
      <c r="B81" s="2" t="s">
        <v>88</v>
      </c>
      <c r="C81" s="2" t="s">
        <v>13778</v>
      </c>
      <c r="D81" s="3">
        <v>4</v>
      </c>
      <c r="E81" s="3">
        <v>13</v>
      </c>
      <c r="F81" s="3" t="str">
        <f>HYPERLINK("https://www.boe.es/gazeta/dias/1809/02/15/pdfs/GMD-1809-46.pdf","Abrir PDF")</f>
        <v>Abrir PDF</v>
      </c>
    </row>
    <row r="82" spans="1:6" ht="30.95" customHeight="1">
      <c r="A82" s="2" t="s">
        <v>2473</v>
      </c>
      <c r="B82" s="2" t="s">
        <v>2474</v>
      </c>
      <c r="C82" s="2" t="s">
        <v>13779</v>
      </c>
      <c r="D82" s="3">
        <v>4</v>
      </c>
      <c r="E82" s="3">
        <v>25</v>
      </c>
      <c r="F82" s="3" t="str">
        <f>HYPERLINK("https://www.boe.es/gazeta/dias/1809/02/16/pdfs/GMD-1809-47.pdf","Abrir PDF")</f>
        <v>Abrir PDF</v>
      </c>
    </row>
    <row r="83" spans="1:6" ht="30.95" customHeight="1">
      <c r="A83" s="2" t="s">
        <v>243</v>
      </c>
      <c r="B83" s="2" t="s">
        <v>352</v>
      </c>
      <c r="C83" s="2" t="s">
        <v>13780</v>
      </c>
      <c r="D83" s="3">
        <v>8</v>
      </c>
      <c r="E83" s="3">
        <v>17</v>
      </c>
      <c r="F83" s="3" t="str">
        <f>HYPERLINK("https://www.boe.es/gazeta/dias/1809/02/17/pdfs/GMD-1809-48.pdf","Abrir PDF")</f>
        <v>Abrir PDF</v>
      </c>
    </row>
    <row r="84" spans="1:6" ht="30.95" customHeight="1">
      <c r="A84" s="2" t="s">
        <v>243</v>
      </c>
      <c r="B84" s="2" t="s">
        <v>735</v>
      </c>
      <c r="C84" s="2" t="s">
        <v>13781</v>
      </c>
      <c r="D84" s="3">
        <v>8</v>
      </c>
      <c r="E84" s="3">
        <v>36</v>
      </c>
      <c r="F84" s="3" t="str">
        <f>HYPERLINK("https://www.boe.es/gazeta/dias/1809/02/17/pdfs/GGB-1809-8.pdf","Abrir PDF")</f>
        <v>Abrir PDF</v>
      </c>
    </row>
    <row r="85" spans="1:6" ht="30.95" customHeight="1">
      <c r="A85" s="2" t="s">
        <v>243</v>
      </c>
      <c r="B85" s="2" t="s">
        <v>244</v>
      </c>
      <c r="C85" s="2" t="s">
        <v>13782</v>
      </c>
      <c r="D85" s="3">
        <v>8</v>
      </c>
      <c r="E85" s="3">
        <v>147</v>
      </c>
      <c r="F85" s="3" t="str">
        <f>HYPERLINK("https://www.boe.es/gazeta/dias/1809/02/17/pdfs/GGB-G-1809-8.pdf","Abrir PDF")</f>
        <v>Abrir PDF</v>
      </c>
    </row>
    <row r="86" spans="1:6" ht="30.95" customHeight="1">
      <c r="A86" s="2" t="s">
        <v>3796</v>
      </c>
      <c r="B86" s="2" t="s">
        <v>11718</v>
      </c>
      <c r="C86" s="2" t="s">
        <v>13783</v>
      </c>
      <c r="D86" s="3">
        <v>4</v>
      </c>
      <c r="E86" s="3">
        <v>1</v>
      </c>
      <c r="F86" s="3" t="str">
        <f>HYPERLINK("https://www.boe.es/gazeta/dias/1809/02/18/pdfs/GMD-1809-49.pdf","Abrir PDF")</f>
        <v>Abrir PDF</v>
      </c>
    </row>
    <row r="87" spans="1:6" ht="30.95" customHeight="1">
      <c r="A87" s="2" t="s">
        <v>3796</v>
      </c>
      <c r="B87" s="2" t="s">
        <v>3797</v>
      </c>
      <c r="C87" s="2" t="s">
        <v>13784</v>
      </c>
      <c r="D87" s="3">
        <v>8</v>
      </c>
      <c r="E87" s="3">
        <v>7</v>
      </c>
      <c r="F87" s="3" t="str">
        <f>HYPERLINK("https://www.boe.es/gazeta/dias/1809/02/18/pdfs/GGB-1809-8E.pdf","Abrir PDF")</f>
        <v>Abrir PDF</v>
      </c>
    </row>
    <row r="88" spans="1:6" ht="30.95" customHeight="1">
      <c r="A88" s="2" t="s">
        <v>2278</v>
      </c>
      <c r="B88" s="2" t="s">
        <v>2279</v>
      </c>
      <c r="C88" s="2" t="s">
        <v>13785</v>
      </c>
      <c r="D88" s="3">
        <v>8</v>
      </c>
      <c r="E88" s="3">
        <v>2</v>
      </c>
      <c r="F88" s="3" t="str">
        <f>HYPERLINK("https://www.boe.es/gazeta/dias/1809/02/19/pdfs/GMD-1809-50.pdf","Abrir PDF")</f>
        <v>Abrir PDF</v>
      </c>
    </row>
    <row r="89" spans="1:6" ht="30.95" customHeight="1">
      <c r="A89" s="2" t="s">
        <v>1586</v>
      </c>
      <c r="B89" s="2" t="s">
        <v>1587</v>
      </c>
      <c r="C89" s="2" t="s">
        <v>13786</v>
      </c>
      <c r="D89" s="3">
        <v>4</v>
      </c>
      <c r="E89" s="3">
        <v>16</v>
      </c>
      <c r="F89" s="3" t="str">
        <f>HYPERLINK("https://www.boe.es/gazeta/dias/1809/02/20/pdfs/GMD-1809-51.pdf","Abrir PDF")</f>
        <v>Abrir PDF</v>
      </c>
    </row>
    <row r="90" spans="1:6" ht="30.95" customHeight="1">
      <c r="A90" s="2" t="s">
        <v>1586</v>
      </c>
      <c r="B90" s="2" t="s">
        <v>13787</v>
      </c>
      <c r="C90" s="2" t="s">
        <v>13788</v>
      </c>
      <c r="D90" s="3">
        <v>12</v>
      </c>
      <c r="E90" s="3">
        <v>0</v>
      </c>
      <c r="F90" s="3" t="str">
        <f>HYPERLINK("https://www.boe.es/gazeta/dias/1809/02/20/pdfs/GMD-E-1809-51.pdf","Abrir PDF")</f>
        <v>Abrir PDF</v>
      </c>
    </row>
    <row r="91" spans="1:6" ht="30.95" customHeight="1">
      <c r="A91" s="2" t="s">
        <v>1667</v>
      </c>
      <c r="B91" s="2" t="s">
        <v>1668</v>
      </c>
      <c r="C91" s="2" t="s">
        <v>13789</v>
      </c>
      <c r="D91" s="3">
        <v>8</v>
      </c>
      <c r="E91" s="3">
        <v>14</v>
      </c>
      <c r="F91" s="3" t="str">
        <f>HYPERLINK("https://www.boe.es/gazeta/dias/1809/02/21/pdfs/GMD-1809-52.pdf","Abrir PDF")</f>
        <v>Abrir PDF</v>
      </c>
    </row>
    <row r="92" spans="1:6" ht="30.95" customHeight="1">
      <c r="A92" s="2" t="s">
        <v>1667</v>
      </c>
      <c r="B92" s="2" t="s">
        <v>7700</v>
      </c>
      <c r="C92" s="2" t="s">
        <v>13790</v>
      </c>
      <c r="D92" s="3">
        <v>3</v>
      </c>
      <c r="E92" s="3">
        <v>1</v>
      </c>
      <c r="F92" s="3" t="str">
        <f>HYPERLINK("https://www.boe.es/gazeta/dias/1809/02/21/pdfs/GGB-1809-8E2.pdf","Abrir PDF")</f>
        <v>Abrir PDF</v>
      </c>
    </row>
    <row r="93" spans="1:6" ht="30.95" customHeight="1">
      <c r="A93" s="2" t="s">
        <v>1670</v>
      </c>
      <c r="B93" s="2" t="s">
        <v>1671</v>
      </c>
      <c r="C93" s="2" t="s">
        <v>13791</v>
      </c>
      <c r="D93" s="3">
        <v>4</v>
      </c>
      <c r="E93" s="3">
        <v>3</v>
      </c>
      <c r="F93" s="3" t="str">
        <f>HYPERLINK("https://www.boe.es/gazeta/dias/1809/02/22/pdfs/GMD-1809-53.pdf","Abrir PDF")</f>
        <v>Abrir PDF</v>
      </c>
    </row>
    <row r="94" spans="1:6" ht="30.95" customHeight="1">
      <c r="A94" s="2" t="s">
        <v>332</v>
      </c>
      <c r="B94" s="2" t="s">
        <v>333</v>
      </c>
      <c r="C94" s="2" t="s">
        <v>13792</v>
      </c>
      <c r="D94" s="3">
        <v>4</v>
      </c>
      <c r="E94" s="3">
        <v>12</v>
      </c>
      <c r="F94" s="3" t="str">
        <f>HYPERLINK("https://www.boe.es/gazeta/dias/1809/02/23/pdfs/GMD-1809-54.pdf","Abrir PDF")</f>
        <v>Abrir PDF</v>
      </c>
    </row>
    <row r="95" spans="1:6" ht="30.95" customHeight="1">
      <c r="A95" s="2" t="s">
        <v>3521</v>
      </c>
      <c r="B95" s="2" t="s">
        <v>7311</v>
      </c>
      <c r="C95" s="2" t="s">
        <v>13793</v>
      </c>
      <c r="D95" s="3">
        <v>4</v>
      </c>
      <c r="E95" s="3">
        <v>3</v>
      </c>
      <c r="F95" s="3" t="str">
        <f>HYPERLINK("https://www.boe.es/gazeta/dias/1809/02/24/pdfs/GMD-1809-55.pdf","Abrir PDF")</f>
        <v>Abrir PDF</v>
      </c>
    </row>
    <row r="96" spans="1:6" ht="30.95" customHeight="1">
      <c r="A96" s="2" t="s">
        <v>3521</v>
      </c>
      <c r="B96" s="2" t="s">
        <v>3522</v>
      </c>
      <c r="C96" s="2" t="s">
        <v>13794</v>
      </c>
      <c r="D96" s="3">
        <v>8</v>
      </c>
      <c r="E96" s="3">
        <v>8</v>
      </c>
      <c r="F96" s="3" t="str">
        <f>HYPERLINK("https://www.boe.es/gazeta/dias/1809/02/24/pdfs/GGB-1809-9.pdf","Abrir PDF")</f>
        <v>Abrir PDF</v>
      </c>
    </row>
    <row r="97" spans="1:6" ht="30.95" customHeight="1">
      <c r="A97" s="2" t="s">
        <v>3521</v>
      </c>
      <c r="B97" s="2" t="s">
        <v>5399</v>
      </c>
      <c r="C97" s="2" t="s">
        <v>13795</v>
      </c>
      <c r="D97" s="3">
        <v>8</v>
      </c>
      <c r="E97" s="3">
        <v>6</v>
      </c>
      <c r="F97" s="3" t="str">
        <f>HYPERLINK("https://www.boe.es/gazeta/dias/1809/02/24/pdfs/GGB-G-1809-9.pdf","Abrir PDF")</f>
        <v>Abrir PDF</v>
      </c>
    </row>
    <row r="98" spans="1:6" ht="30.95" customHeight="1">
      <c r="A98" s="2" t="s">
        <v>1687</v>
      </c>
      <c r="B98" s="2" t="s">
        <v>1688</v>
      </c>
      <c r="C98" s="2" t="s">
        <v>13796</v>
      </c>
      <c r="D98" s="3">
        <v>4</v>
      </c>
      <c r="E98" s="3">
        <v>5</v>
      </c>
      <c r="F98" s="3" t="str">
        <f>HYPERLINK("https://www.boe.es/gazeta/dias/1809/02/25/pdfs/GMD-1809-56.pdf","Abrir PDF")</f>
        <v>Abrir PDF</v>
      </c>
    </row>
    <row r="99" spans="1:6" ht="30.95" customHeight="1">
      <c r="A99" s="2" t="s">
        <v>229</v>
      </c>
      <c r="B99" s="2" t="s">
        <v>230</v>
      </c>
      <c r="C99" s="2" t="s">
        <v>13797</v>
      </c>
      <c r="D99" s="3">
        <v>4</v>
      </c>
      <c r="E99" s="3">
        <v>9</v>
      </c>
      <c r="F99" s="3" t="str">
        <f>HYPERLINK("https://www.boe.es/gazeta/dias/1809/02/26/pdfs/GMD-1809-57.pdf","Abrir PDF")</f>
        <v>Abrir PDF</v>
      </c>
    </row>
    <row r="100" spans="1:6" ht="30.95" customHeight="1">
      <c r="A100" s="2" t="s">
        <v>957</v>
      </c>
      <c r="B100" s="2" t="s">
        <v>958</v>
      </c>
      <c r="C100" s="2" t="s">
        <v>13798</v>
      </c>
      <c r="D100" s="3">
        <v>4</v>
      </c>
      <c r="E100" s="3">
        <v>2</v>
      </c>
      <c r="F100" s="3" t="str">
        <f>HYPERLINK("https://www.boe.es/gazeta/dias/1809/02/27/pdfs/GMD-1809-58.pdf","Abrir PDF")</f>
        <v>Abrir PDF</v>
      </c>
    </row>
    <row r="101" spans="1:6" ht="30.95" customHeight="1">
      <c r="A101" s="2" t="s">
        <v>1736</v>
      </c>
      <c r="B101" s="2" t="s">
        <v>1737</v>
      </c>
      <c r="C101" s="2" t="s">
        <v>13799</v>
      </c>
      <c r="D101" s="3">
        <v>4</v>
      </c>
      <c r="E101" s="3">
        <v>11</v>
      </c>
      <c r="F101" s="3" t="str">
        <f>HYPERLINK("https://www.boe.es/gazeta/dias/1809/02/28/pdfs/GMD-1809-59.pdf","Abrir PDF")</f>
        <v>Abrir PDF</v>
      </c>
    </row>
    <row r="102" spans="1:6" ht="30.95" customHeight="1">
      <c r="A102" s="2" t="s">
        <v>1736</v>
      </c>
      <c r="B102" s="2" t="s">
        <v>7218</v>
      </c>
      <c r="C102" s="2" t="s">
        <v>13800</v>
      </c>
      <c r="D102" s="3">
        <v>4</v>
      </c>
      <c r="E102" s="3">
        <v>3</v>
      </c>
      <c r="F102" s="3" t="str">
        <f>HYPERLINK("https://www.boe.es/gazeta/dias/1809/02/28/pdfs/GGB-1809-9E.pdf","Abrir PDF")</f>
        <v>Abrir PDF</v>
      </c>
    </row>
    <row r="103" spans="1:6" ht="30.95" customHeight="1">
      <c r="A103" s="2" t="s">
        <v>343</v>
      </c>
      <c r="B103" s="2" t="s">
        <v>13801</v>
      </c>
      <c r="C103" s="2" t="s">
        <v>13802</v>
      </c>
      <c r="D103" s="3">
        <v>4</v>
      </c>
      <c r="E103" s="3">
        <v>0</v>
      </c>
      <c r="F103" s="3" t="str">
        <f>HYPERLINK("https://www.boe.es/gazeta/dias/1809/03/01/pdfs/GMD-1809-60.pdf","Abrir PDF")</f>
        <v>Abrir PDF</v>
      </c>
    </row>
    <row r="104" spans="1:6" ht="30.95" customHeight="1">
      <c r="A104" s="2" t="s">
        <v>343</v>
      </c>
      <c r="B104" s="2" t="s">
        <v>344</v>
      </c>
      <c r="C104" s="2" t="s">
        <v>13803</v>
      </c>
      <c r="D104" s="3">
        <v>4</v>
      </c>
      <c r="E104" s="3">
        <v>4</v>
      </c>
      <c r="F104" s="3" t="str">
        <f>HYPERLINK("https://www.boe.es/gazeta/dias/1809/03/01/pdfs/GGB-1809-9E2.pdf","Abrir PDF")</f>
        <v>Abrir PDF</v>
      </c>
    </row>
    <row r="105" spans="1:6" ht="30.95" customHeight="1">
      <c r="A105" s="2" t="s">
        <v>1141</v>
      </c>
      <c r="B105" s="2" t="s">
        <v>1142</v>
      </c>
      <c r="C105" s="2" t="s">
        <v>13804</v>
      </c>
      <c r="D105" s="3">
        <v>4</v>
      </c>
      <c r="E105" s="3">
        <v>9</v>
      </c>
      <c r="F105" s="3" t="str">
        <f>HYPERLINK("https://www.boe.es/gazeta/dias/1809/03/02/pdfs/GMD-1809-61.pdf","Abrir PDF")</f>
        <v>Abrir PDF</v>
      </c>
    </row>
    <row r="106" spans="1:6" ht="30.95" customHeight="1">
      <c r="A106" s="2" t="s">
        <v>53</v>
      </c>
      <c r="B106" s="2" t="s">
        <v>54</v>
      </c>
      <c r="C106" s="2" t="s">
        <v>13805</v>
      </c>
      <c r="D106" s="3">
        <v>4</v>
      </c>
      <c r="E106" s="3">
        <v>14</v>
      </c>
      <c r="F106" s="3" t="str">
        <f>HYPERLINK("https://www.boe.es/gazeta/dias/1809/03/03/pdfs/GMD-1809-62.pdf","Abrir PDF")</f>
        <v>Abrir PDF</v>
      </c>
    </row>
    <row r="107" spans="1:6" ht="30.95" customHeight="1">
      <c r="A107" s="2" t="s">
        <v>53</v>
      </c>
      <c r="B107" s="2" t="s">
        <v>3411</v>
      </c>
      <c r="C107" s="2" t="s">
        <v>13806</v>
      </c>
      <c r="D107" s="3">
        <v>12</v>
      </c>
      <c r="E107" s="3">
        <v>8</v>
      </c>
      <c r="F107" s="3" t="str">
        <f>HYPERLINK("https://www.boe.es/gazeta/dias/1809/03/03/pdfs/GGB-1809-10.pdf","Abrir PDF")</f>
        <v>Abrir PDF</v>
      </c>
    </row>
    <row r="108" spans="1:6" ht="30.95" customHeight="1">
      <c r="A108" s="2" t="s">
        <v>53</v>
      </c>
      <c r="B108" s="2" t="s">
        <v>1456</v>
      </c>
      <c r="C108" s="2" t="s">
        <v>13807</v>
      </c>
      <c r="D108" s="3">
        <v>8</v>
      </c>
      <c r="E108" s="3">
        <v>7</v>
      </c>
      <c r="F108" s="3" t="str">
        <f>HYPERLINK("https://www.boe.es/gazeta/dias/1809/03/03/pdfs/GGB-G-1809-10.pdf","Abrir PDF")</f>
        <v>Abrir PDF</v>
      </c>
    </row>
    <row r="109" spans="1:6" ht="30.95" customHeight="1">
      <c r="A109" s="2" t="s">
        <v>410</v>
      </c>
      <c r="B109" s="2" t="s">
        <v>411</v>
      </c>
      <c r="C109" s="2" t="s">
        <v>13808</v>
      </c>
      <c r="D109" s="3">
        <v>4</v>
      </c>
      <c r="E109" s="3">
        <v>9</v>
      </c>
      <c r="F109" s="3" t="str">
        <f>HYPERLINK("https://www.boe.es/gazeta/dias/1809/03/04/pdfs/GMD-1809-63.pdf","Abrir PDF")</f>
        <v>Abrir PDF</v>
      </c>
    </row>
    <row r="110" spans="1:6" ht="30.95" customHeight="1">
      <c r="A110" s="2" t="s">
        <v>2111</v>
      </c>
      <c r="B110" s="2" t="s">
        <v>2112</v>
      </c>
      <c r="C110" s="2" t="s">
        <v>13809</v>
      </c>
      <c r="D110" s="3">
        <v>4</v>
      </c>
      <c r="E110" s="3">
        <v>4</v>
      </c>
      <c r="F110" s="3" t="str">
        <f>HYPERLINK("https://www.boe.es/gazeta/dias/1809/03/05/pdfs/GMD-1809-64.pdf","Abrir PDF")</f>
        <v>Abrir PDF</v>
      </c>
    </row>
    <row r="111" spans="1:6" ht="30.95" customHeight="1">
      <c r="A111" s="2" t="s">
        <v>5172</v>
      </c>
      <c r="B111" s="2" t="s">
        <v>5173</v>
      </c>
      <c r="C111" s="2" t="s">
        <v>13810</v>
      </c>
      <c r="D111" s="3">
        <v>4</v>
      </c>
      <c r="E111" s="3">
        <v>8</v>
      </c>
      <c r="F111" s="3" t="str">
        <f>HYPERLINK("https://www.boe.es/gazeta/dias/1809/03/06/pdfs/GMD-1809-65.pdf","Abrir PDF")</f>
        <v>Abrir PDF</v>
      </c>
    </row>
    <row r="112" spans="1:6" ht="30.95" customHeight="1">
      <c r="A112" s="2" t="s">
        <v>347</v>
      </c>
      <c r="B112" s="2" t="s">
        <v>348</v>
      </c>
      <c r="C112" s="2" t="s">
        <v>13811</v>
      </c>
      <c r="D112" s="3">
        <v>4</v>
      </c>
      <c r="E112" s="3">
        <v>17</v>
      </c>
      <c r="F112" s="3" t="str">
        <f>HYPERLINK("https://www.boe.es/gazeta/dias/1809/03/07/pdfs/GMD-1809-66.pdf","Abrir PDF")</f>
        <v>Abrir PDF</v>
      </c>
    </row>
    <row r="113" spans="1:6" ht="30.95" customHeight="1">
      <c r="A113" s="2" t="s">
        <v>804</v>
      </c>
      <c r="B113" s="2" t="s">
        <v>805</v>
      </c>
      <c r="C113" s="2" t="s">
        <v>13812</v>
      </c>
      <c r="D113" s="3">
        <v>4</v>
      </c>
      <c r="E113" s="3">
        <v>4</v>
      </c>
      <c r="F113" s="3" t="str">
        <f>HYPERLINK("https://www.boe.es/gazeta/dias/1809/03/08/pdfs/GMD-1809-67.pdf","Abrir PDF")</f>
        <v>Abrir PDF</v>
      </c>
    </row>
    <row r="114" spans="1:6" ht="30.95" customHeight="1">
      <c r="A114" s="2" t="s">
        <v>2341</v>
      </c>
      <c r="B114" s="2" t="s">
        <v>2342</v>
      </c>
      <c r="C114" s="2" t="s">
        <v>13813</v>
      </c>
      <c r="D114" s="3">
        <v>4</v>
      </c>
      <c r="E114" s="3">
        <v>5</v>
      </c>
      <c r="F114" s="3" t="str">
        <f>HYPERLINK("https://www.boe.es/gazeta/dias/1809/03/09/pdfs/GMD-1809-68.pdf","Abrir PDF")</f>
        <v>Abrir PDF</v>
      </c>
    </row>
    <row r="115" spans="1:6" ht="30.95" customHeight="1">
      <c r="A115" s="2" t="s">
        <v>163</v>
      </c>
      <c r="B115" s="2" t="s">
        <v>7818</v>
      </c>
      <c r="C115" s="2" t="s">
        <v>13814</v>
      </c>
      <c r="D115" s="3">
        <v>4</v>
      </c>
      <c r="E115" s="3">
        <v>4</v>
      </c>
      <c r="F115" s="3" t="str">
        <f>HYPERLINK("https://www.boe.es/gazeta/dias/1809/03/10/pdfs/GMD-1809-69.pdf","Abrir PDF")</f>
        <v>Abrir PDF</v>
      </c>
    </row>
    <row r="116" spans="1:6" ht="30.95" customHeight="1">
      <c r="A116" s="2" t="s">
        <v>163</v>
      </c>
      <c r="B116" s="2" t="s">
        <v>478</v>
      </c>
      <c r="C116" s="2" t="s">
        <v>13815</v>
      </c>
      <c r="D116" s="3">
        <v>16</v>
      </c>
      <c r="E116" s="3">
        <v>26</v>
      </c>
      <c r="F116" s="3" t="str">
        <f>HYPERLINK("https://www.boe.es/gazeta/dias/1809/03/10/pdfs/GGB-1809-11.pdf","Abrir PDF")</f>
        <v>Abrir PDF</v>
      </c>
    </row>
    <row r="117" spans="1:6" ht="30.95" customHeight="1">
      <c r="A117" s="2" t="s">
        <v>163</v>
      </c>
      <c r="B117" s="2" t="s">
        <v>164</v>
      </c>
      <c r="C117" s="2" t="s">
        <v>13816</v>
      </c>
      <c r="D117" s="3">
        <v>8</v>
      </c>
      <c r="E117" s="3">
        <v>27</v>
      </c>
      <c r="F117" s="3" t="str">
        <f>HYPERLINK("https://www.boe.es/gazeta/dias/1809/03/10/pdfs/GGB-H-1809-11.pdf","Abrir PDF")</f>
        <v>Abrir PDF</v>
      </c>
    </row>
    <row r="118" spans="1:6" ht="30.95" customHeight="1">
      <c r="A118" s="2" t="s">
        <v>163</v>
      </c>
      <c r="B118" s="2" t="s">
        <v>9738</v>
      </c>
      <c r="C118" s="2" t="s">
        <v>13817</v>
      </c>
      <c r="D118" s="3">
        <v>4</v>
      </c>
      <c r="E118" s="3">
        <v>2</v>
      </c>
      <c r="F118" s="3" t="str">
        <f>HYPERLINK("https://www.boe.es/gazeta/dias/1809/03/10/pdfs/GGB-G-1809-11.pdf","Abrir PDF")</f>
        <v>Abrir PDF</v>
      </c>
    </row>
    <row r="119" spans="1:6" ht="30.95" customHeight="1">
      <c r="A119" s="2" t="s">
        <v>41</v>
      </c>
      <c r="B119" s="2" t="s">
        <v>42</v>
      </c>
      <c r="C119" s="2" t="s">
        <v>13818</v>
      </c>
      <c r="D119" s="3">
        <v>4</v>
      </c>
      <c r="E119" s="3">
        <v>9</v>
      </c>
      <c r="F119" s="3" t="str">
        <f>HYPERLINK("https://www.boe.es/gazeta/dias/1809/03/11/pdfs/GMD-1809-70.pdf","Abrir PDF")</f>
        <v>Abrir PDF</v>
      </c>
    </row>
    <row r="120" spans="1:6" ht="30.95" customHeight="1">
      <c r="A120" s="2" t="s">
        <v>548</v>
      </c>
      <c r="B120" s="2" t="s">
        <v>549</v>
      </c>
      <c r="C120" s="2" t="s">
        <v>13819</v>
      </c>
      <c r="D120" s="3">
        <v>4</v>
      </c>
      <c r="E120" s="3">
        <v>29</v>
      </c>
      <c r="F120" s="3" t="str">
        <f>HYPERLINK("https://www.boe.es/gazeta/dias/1809/03/12/pdfs/GMD-1809-71.pdf","Abrir PDF")</f>
        <v>Abrir PDF</v>
      </c>
    </row>
    <row r="121" spans="1:6" ht="30.95" customHeight="1">
      <c r="A121" s="2" t="s">
        <v>496</v>
      </c>
      <c r="B121" s="2" t="s">
        <v>497</v>
      </c>
      <c r="C121" s="2" t="s">
        <v>13820</v>
      </c>
      <c r="D121" s="3">
        <v>4</v>
      </c>
      <c r="E121" s="3">
        <v>6</v>
      </c>
      <c r="F121" s="3" t="str">
        <f>HYPERLINK("https://www.boe.es/gazeta/dias/1809/03/13/pdfs/GMD-1809-72.pdf","Abrir PDF")</f>
        <v>Abrir PDF</v>
      </c>
    </row>
    <row r="122" spans="1:6" ht="30.95" customHeight="1">
      <c r="A122" s="2" t="s">
        <v>458</v>
      </c>
      <c r="B122" s="2" t="s">
        <v>459</v>
      </c>
      <c r="C122" s="2" t="s">
        <v>13821</v>
      </c>
      <c r="D122" s="3">
        <v>4</v>
      </c>
      <c r="E122" s="3">
        <v>6</v>
      </c>
      <c r="F122" s="3" t="str">
        <f>HYPERLINK("https://www.boe.es/gazeta/dias/1809/03/14/pdfs/GMD-1809-73.pdf","Abrir PDF")</f>
        <v>Abrir PDF</v>
      </c>
    </row>
    <row r="123" spans="1:6" ht="30.95" customHeight="1">
      <c r="A123" s="2" t="s">
        <v>6250</v>
      </c>
      <c r="B123" s="2" t="s">
        <v>6251</v>
      </c>
      <c r="C123" s="2" t="s">
        <v>13822</v>
      </c>
      <c r="D123" s="3">
        <v>4</v>
      </c>
      <c r="E123" s="3">
        <v>5</v>
      </c>
      <c r="F123" s="3" t="str">
        <f>HYPERLINK("https://www.boe.es/gazeta/dias/1809/03/15/pdfs/GMD-1809-74.pdf","Abrir PDF")</f>
        <v>Abrir PDF</v>
      </c>
    </row>
    <row r="124" spans="1:6" ht="30.95" customHeight="1">
      <c r="A124" s="2" t="s">
        <v>2142</v>
      </c>
      <c r="B124" s="2" t="s">
        <v>2143</v>
      </c>
      <c r="C124" s="2" t="s">
        <v>13823</v>
      </c>
      <c r="D124" s="3">
        <v>4</v>
      </c>
      <c r="E124" s="3">
        <v>11</v>
      </c>
      <c r="F124" s="3" t="str">
        <f>HYPERLINK("https://www.boe.es/gazeta/dias/1809/03/16/pdfs/GMD-1809-75.pdf","Abrir PDF")</f>
        <v>Abrir PDF</v>
      </c>
    </row>
    <row r="125" spans="1:6" ht="30.95" customHeight="1">
      <c r="A125" s="2" t="s">
        <v>258</v>
      </c>
      <c r="B125" s="2" t="s">
        <v>259</v>
      </c>
      <c r="C125" s="2" t="s">
        <v>13824</v>
      </c>
      <c r="D125" s="3">
        <v>4</v>
      </c>
      <c r="E125" s="3">
        <v>8</v>
      </c>
      <c r="F125" s="3" t="str">
        <f>HYPERLINK("https://www.boe.es/gazeta/dias/1809/03/17/pdfs/GMD-1809-76.pdf","Abrir PDF")</f>
        <v>Abrir PDF</v>
      </c>
    </row>
    <row r="126" spans="1:6" ht="30.95" customHeight="1">
      <c r="A126" s="2" t="s">
        <v>258</v>
      </c>
      <c r="B126" s="2" t="s">
        <v>910</v>
      </c>
      <c r="C126" s="2" t="s">
        <v>13825</v>
      </c>
      <c r="D126" s="3">
        <v>12</v>
      </c>
      <c r="E126" s="3">
        <v>29</v>
      </c>
      <c r="F126" s="3" t="str">
        <f>HYPERLINK("https://www.boe.es/gazeta/dias/1809/03/17/pdfs/GGB-1809-12.pdf","Abrir PDF")</f>
        <v>Abrir PDF</v>
      </c>
    </row>
    <row r="127" spans="1:6" ht="30.95" customHeight="1">
      <c r="A127" s="2" t="s">
        <v>258</v>
      </c>
      <c r="B127" s="2" t="s">
        <v>2612</v>
      </c>
      <c r="C127" s="2" t="s">
        <v>13826</v>
      </c>
      <c r="D127" s="3">
        <v>8</v>
      </c>
      <c r="E127" s="3">
        <v>8</v>
      </c>
      <c r="F127" s="3" t="str">
        <f>HYPERLINK("https://www.boe.es/gazeta/dias/1809/03/17/pdfs/GGB-H-1809-12.pdf","Abrir PDF")</f>
        <v>Abrir PDF</v>
      </c>
    </row>
    <row r="128" spans="1:6" ht="30.95" customHeight="1">
      <c r="A128" s="2" t="s">
        <v>258</v>
      </c>
      <c r="B128" s="2" t="s">
        <v>1673</v>
      </c>
      <c r="C128" s="2" t="s">
        <v>13827</v>
      </c>
      <c r="D128" s="3">
        <v>8</v>
      </c>
      <c r="E128" s="3">
        <v>15</v>
      </c>
      <c r="F128" s="3" t="str">
        <f>HYPERLINK("https://www.boe.es/gazeta/dias/1809/03/17/pdfs/GGB-G-1809-12.pdf","Abrir PDF")</f>
        <v>Abrir PDF</v>
      </c>
    </row>
    <row r="129" spans="1:6" ht="30.95" customHeight="1">
      <c r="A129" s="2" t="s">
        <v>9593</v>
      </c>
      <c r="B129" s="2" t="s">
        <v>9594</v>
      </c>
      <c r="C129" s="2" t="s">
        <v>13828</v>
      </c>
      <c r="D129" s="3">
        <v>4</v>
      </c>
      <c r="E129" s="3">
        <v>2</v>
      </c>
      <c r="F129" s="3" t="str">
        <f>HYPERLINK("https://www.boe.es/gazeta/dias/1809/03/18/pdfs/GMD-1809-77.pdf","Abrir PDF")</f>
        <v>Abrir PDF</v>
      </c>
    </row>
    <row r="130" spans="1:6" ht="30.95" customHeight="1">
      <c r="A130" s="2" t="s">
        <v>377</v>
      </c>
      <c r="B130" s="2" t="s">
        <v>378</v>
      </c>
      <c r="C130" s="2" t="s">
        <v>13829</v>
      </c>
      <c r="D130" s="3">
        <v>4</v>
      </c>
      <c r="E130" s="3">
        <v>3</v>
      </c>
      <c r="F130" s="3" t="str">
        <f>HYPERLINK("https://www.boe.es/gazeta/dias/1809/03/19/pdfs/GMD-1809-78.pdf","Abrir PDF")</f>
        <v>Abrir PDF</v>
      </c>
    </row>
    <row r="131" spans="1:6" ht="30.95" customHeight="1">
      <c r="A131" s="2" t="s">
        <v>357</v>
      </c>
      <c r="B131" s="2" t="s">
        <v>358</v>
      </c>
      <c r="C131" s="2" t="s">
        <v>13830</v>
      </c>
      <c r="D131" s="3">
        <v>4</v>
      </c>
      <c r="E131" s="3">
        <v>12</v>
      </c>
      <c r="F131" s="3" t="str">
        <f>HYPERLINK("https://www.boe.es/gazeta/dias/1809/03/20/pdfs/GMD-1809-79.pdf","Abrir PDF")</f>
        <v>Abrir PDF</v>
      </c>
    </row>
    <row r="132" spans="1:6" ht="30.95" customHeight="1">
      <c r="A132" s="2" t="s">
        <v>414</v>
      </c>
      <c r="B132" s="2" t="s">
        <v>415</v>
      </c>
      <c r="C132" s="2" t="s">
        <v>13831</v>
      </c>
      <c r="D132" s="3">
        <v>4</v>
      </c>
      <c r="E132" s="3">
        <v>4</v>
      </c>
      <c r="F132" s="3" t="str">
        <f>HYPERLINK("https://www.boe.es/gazeta/dias/1809/03/21/pdfs/GMD-1809-80.pdf","Abrir PDF")</f>
        <v>Abrir PDF</v>
      </c>
    </row>
    <row r="133" spans="1:6" ht="30.95" customHeight="1">
      <c r="A133" s="2" t="s">
        <v>2331</v>
      </c>
      <c r="B133" s="2" t="s">
        <v>2332</v>
      </c>
      <c r="C133" s="2" t="s">
        <v>13832</v>
      </c>
      <c r="D133" s="3">
        <v>4</v>
      </c>
      <c r="E133" s="3">
        <v>9</v>
      </c>
      <c r="F133" s="3" t="str">
        <f>HYPERLINK("https://www.boe.es/gazeta/dias/1809/03/22/pdfs/GMD-1809-81.pdf","Abrir PDF")</f>
        <v>Abrir PDF</v>
      </c>
    </row>
    <row r="134" spans="1:6" ht="30.95" customHeight="1">
      <c r="A134" s="2" t="s">
        <v>1098</v>
      </c>
      <c r="B134" s="2" t="s">
        <v>1099</v>
      </c>
      <c r="C134" s="2" t="s">
        <v>13833</v>
      </c>
      <c r="D134" s="3">
        <v>4</v>
      </c>
      <c r="E134" s="3">
        <v>4</v>
      </c>
      <c r="F134" s="3" t="str">
        <f>HYPERLINK("https://www.boe.es/gazeta/dias/1809/03/23/pdfs/GMD-1809-82.pdf","Abrir PDF")</f>
        <v>Abrir PDF</v>
      </c>
    </row>
    <row r="135" spans="1:6" ht="30.95" customHeight="1">
      <c r="A135" s="2" t="s">
        <v>500</v>
      </c>
      <c r="B135" s="2" t="s">
        <v>501</v>
      </c>
      <c r="C135" s="2" t="s">
        <v>13834</v>
      </c>
      <c r="D135" s="3">
        <v>4</v>
      </c>
      <c r="E135" s="3">
        <v>1</v>
      </c>
      <c r="F135" s="3" t="str">
        <f>HYPERLINK("https://www.boe.es/gazeta/dias/1809/03/24/pdfs/GMD-1809-83.pdf","Abrir PDF")</f>
        <v>Abrir PDF</v>
      </c>
    </row>
    <row r="136" spans="1:6" ht="30.95" customHeight="1">
      <c r="A136" s="2" t="s">
        <v>500</v>
      </c>
      <c r="B136" s="2" t="s">
        <v>2357</v>
      </c>
      <c r="C136" s="2" t="s">
        <v>13835</v>
      </c>
      <c r="D136" s="3">
        <v>8</v>
      </c>
      <c r="E136" s="3">
        <v>16</v>
      </c>
      <c r="F136" s="3" t="str">
        <f>HYPERLINK("https://www.boe.es/gazeta/dias/1809/03/24/pdfs/GGB-1809-13.pdf","Abrir PDF")</f>
        <v>Abrir PDF</v>
      </c>
    </row>
    <row r="137" spans="1:6" ht="30.95" customHeight="1">
      <c r="A137" s="2" t="s">
        <v>3880</v>
      </c>
      <c r="B137" s="2" t="s">
        <v>5444</v>
      </c>
      <c r="C137" s="2" t="s">
        <v>13836</v>
      </c>
      <c r="D137" s="3">
        <v>4</v>
      </c>
      <c r="E137" s="3">
        <v>7</v>
      </c>
      <c r="F137" s="3" t="str">
        <f>HYPERLINK("https://www.boe.es/gazeta/dias/1809/03/25/pdfs/GMD-1809-84.pdf","Abrir PDF")</f>
        <v>Abrir PDF</v>
      </c>
    </row>
    <row r="138" spans="1:6" ht="30.95" customHeight="1">
      <c r="A138" s="2" t="s">
        <v>3880</v>
      </c>
      <c r="B138" s="2" t="s">
        <v>3881</v>
      </c>
      <c r="C138" s="2" t="s">
        <v>13837</v>
      </c>
      <c r="D138" s="3">
        <v>8</v>
      </c>
      <c r="E138" s="3">
        <v>3</v>
      </c>
      <c r="F138" s="3" t="str">
        <f>HYPERLINK("https://www.boe.es/gazeta/dias/1809/03/25/pdfs/GGB-1809-13E.pdf","Abrir PDF")</f>
        <v>Abrir PDF</v>
      </c>
    </row>
    <row r="139" spans="1:6" ht="30.95" customHeight="1">
      <c r="A139" s="2" t="s">
        <v>278</v>
      </c>
      <c r="B139" s="2" t="s">
        <v>279</v>
      </c>
      <c r="C139" s="2" t="s">
        <v>13838</v>
      </c>
      <c r="D139" s="3">
        <v>4</v>
      </c>
      <c r="E139" s="3">
        <v>16</v>
      </c>
      <c r="F139" s="3" t="str">
        <f>HYPERLINK("https://www.boe.es/gazeta/dias/1809/03/26/pdfs/GMD-1809-85.pdf","Abrir PDF")</f>
        <v>Abrir PDF</v>
      </c>
    </row>
    <row r="140" spans="1:6" ht="30.95" customHeight="1">
      <c r="A140" s="2" t="s">
        <v>2244</v>
      </c>
      <c r="B140" s="2" t="s">
        <v>7822</v>
      </c>
      <c r="C140" s="2" t="s">
        <v>13839</v>
      </c>
      <c r="D140" s="3">
        <v>4</v>
      </c>
      <c r="E140" s="3">
        <v>3</v>
      </c>
      <c r="F140" s="3" t="str">
        <f>HYPERLINK("https://www.boe.es/gazeta/dias/1809/03/27/pdfs/GMD-1809-86.pdf","Abrir PDF")</f>
        <v>Abrir PDF</v>
      </c>
    </row>
    <row r="141" spans="1:6" ht="30.95" customHeight="1">
      <c r="A141" s="2" t="s">
        <v>2244</v>
      </c>
      <c r="B141" s="2" t="s">
        <v>2245</v>
      </c>
      <c r="C141" s="2" t="s">
        <v>13840</v>
      </c>
      <c r="D141" s="3">
        <v>8</v>
      </c>
      <c r="E141" s="3">
        <v>12</v>
      </c>
      <c r="F141" s="3" t="str">
        <f>HYPERLINK("https://www.boe.es/gazeta/dias/1809/03/27/pdfs/GGB-1809-13B.pdf","Abrir PDF")</f>
        <v>Abrir PDF</v>
      </c>
    </row>
    <row r="142" spans="1:6" ht="30.95" customHeight="1">
      <c r="A142" s="2" t="s">
        <v>2244</v>
      </c>
      <c r="B142" s="2" t="s">
        <v>2871</v>
      </c>
      <c r="C142" s="2" t="s">
        <v>13841</v>
      </c>
      <c r="D142" s="3">
        <v>8</v>
      </c>
      <c r="E142" s="3">
        <v>8</v>
      </c>
      <c r="F142" s="3" t="str">
        <f>HYPERLINK("https://www.boe.es/gazeta/dias/1809/03/27/pdfs/GGB-G-1809-13B.pdf","Abrir PDF")</f>
        <v>Abrir PDF</v>
      </c>
    </row>
    <row r="143" spans="1:6" ht="30.95" customHeight="1">
      <c r="A143" s="2" t="s">
        <v>3764</v>
      </c>
      <c r="B143" s="2" t="s">
        <v>3765</v>
      </c>
      <c r="C143" s="2" t="s">
        <v>13842</v>
      </c>
      <c r="D143" s="3">
        <v>4</v>
      </c>
      <c r="E143" s="3">
        <v>6</v>
      </c>
      <c r="F143" s="3" t="str">
        <f>HYPERLINK("https://www.boe.es/gazeta/dias/1809/03/28/pdfs/GMD-1809-87.pdf","Abrir PDF")</f>
        <v>Abrir PDF</v>
      </c>
    </row>
    <row r="144" spans="1:6" ht="30.95" customHeight="1">
      <c r="A144" s="2" t="s">
        <v>418</v>
      </c>
      <c r="B144" s="2" t="s">
        <v>419</v>
      </c>
      <c r="C144" s="2" t="s">
        <v>13843</v>
      </c>
      <c r="D144" s="3">
        <v>4</v>
      </c>
      <c r="E144" s="3">
        <v>7</v>
      </c>
      <c r="F144" s="3" t="str">
        <f>HYPERLINK("https://www.boe.es/gazeta/dias/1809/03/29/pdfs/GMD-1809-88.pdf","Abrir PDF")</f>
        <v>Abrir PDF</v>
      </c>
    </row>
    <row r="145" spans="1:6" ht="30.95" customHeight="1">
      <c r="A145" s="2" t="s">
        <v>5307</v>
      </c>
      <c r="B145" s="2" t="s">
        <v>5308</v>
      </c>
      <c r="C145" s="2" t="s">
        <v>13844</v>
      </c>
      <c r="D145" s="3">
        <v>4</v>
      </c>
      <c r="E145" s="3">
        <v>8</v>
      </c>
      <c r="F145" s="3" t="str">
        <f>HYPERLINK("https://www.boe.es/gazeta/dias/1809/03/30/pdfs/GMD-1809-89.pdf","Abrir PDF")</f>
        <v>Abrir PDF</v>
      </c>
    </row>
    <row r="146" spans="1:6" ht="30.95" customHeight="1">
      <c r="A146" s="2" t="s">
        <v>1603</v>
      </c>
      <c r="B146" s="2" t="s">
        <v>2120</v>
      </c>
      <c r="C146" s="2" t="s">
        <v>13845</v>
      </c>
      <c r="D146" s="3">
        <v>4</v>
      </c>
      <c r="E146" s="3">
        <v>9</v>
      </c>
      <c r="F146" s="3" t="str">
        <f>HYPERLINK("https://www.boe.es/gazeta/dias/1809/03/31/pdfs/GMD-1809-90.pdf","Abrir PDF")</f>
        <v>Abrir PDF</v>
      </c>
    </row>
    <row r="147" spans="1:6" ht="30.95" customHeight="1">
      <c r="A147" s="2" t="s">
        <v>1603</v>
      </c>
      <c r="B147" s="2" t="s">
        <v>1604</v>
      </c>
      <c r="C147" s="2" t="s">
        <v>13846</v>
      </c>
      <c r="D147" s="3">
        <v>8</v>
      </c>
      <c r="E147" s="3">
        <v>11</v>
      </c>
      <c r="F147" s="3" t="str">
        <f>HYPERLINK("https://www.boe.es/gazeta/dias/1809/03/31/pdfs/GGB-1809-14.pdf","Abrir PDF")</f>
        <v>Abrir PDF</v>
      </c>
    </row>
    <row r="148" spans="1:6" ht="30.95" customHeight="1">
      <c r="A148" s="2" t="s">
        <v>13847</v>
      </c>
      <c r="B148" s="2" t="s">
        <v>13848</v>
      </c>
      <c r="C148" s="2" t="s">
        <v>13849</v>
      </c>
      <c r="D148" s="3">
        <v>4</v>
      </c>
      <c r="E148" s="3">
        <v>0</v>
      </c>
      <c r="F148" s="3" t="str">
        <f>HYPERLINK("https://www.boe.es/gazeta/dias/1809/04/01/pdfs/GMD-1809-91.pdf","Abrir PDF")</f>
        <v>Abrir PDF</v>
      </c>
    </row>
    <row r="149" spans="1:6" ht="30.95" customHeight="1">
      <c r="A149" s="2" t="s">
        <v>13847</v>
      </c>
      <c r="B149" s="2" t="s">
        <v>13850</v>
      </c>
      <c r="C149" s="2" t="s">
        <v>13851</v>
      </c>
      <c r="D149" s="3">
        <v>4</v>
      </c>
      <c r="E149" s="3">
        <v>0</v>
      </c>
      <c r="F149" s="3" t="str">
        <f>HYPERLINK("https://www.boe.es/gazeta/dias/1809/04/01/pdfs/GGB-1809-14E.pdf","Abrir PDF")</f>
        <v>Abrir PDF</v>
      </c>
    </row>
    <row r="150" spans="1:6" ht="30.95" customHeight="1">
      <c r="A150" s="2" t="s">
        <v>1460</v>
      </c>
      <c r="B150" s="2" t="s">
        <v>1461</v>
      </c>
      <c r="C150" s="2" t="s">
        <v>13852</v>
      </c>
      <c r="D150" s="3">
        <v>4</v>
      </c>
      <c r="E150" s="3">
        <v>5</v>
      </c>
      <c r="F150" s="3" t="str">
        <f>HYPERLINK("https://www.boe.es/gazeta/dias/1809/04/02/pdfs/GMD-1809-92.pdf","Abrir PDF")</f>
        <v>Abrir PDF</v>
      </c>
    </row>
    <row r="151" spans="1:6" ht="30.95" customHeight="1">
      <c r="A151" s="2" t="s">
        <v>1460</v>
      </c>
      <c r="B151" s="2" t="s">
        <v>2666</v>
      </c>
      <c r="C151" s="2" t="s">
        <v>13853</v>
      </c>
      <c r="D151" s="3">
        <v>1</v>
      </c>
      <c r="E151" s="3">
        <v>1</v>
      </c>
      <c r="F151" s="3" t="str">
        <f>HYPERLINK("https://www.boe.es/gazeta/dias/1809/04/02/pdfs/GGB-1809-14E2.pdf","Abrir PDF")</f>
        <v>Abrir PDF</v>
      </c>
    </row>
    <row r="152" spans="1:6" ht="30.95" customHeight="1">
      <c r="A152" s="2" t="s">
        <v>3258</v>
      </c>
      <c r="B152" s="2" t="s">
        <v>3259</v>
      </c>
      <c r="C152" s="2" t="s">
        <v>13854</v>
      </c>
      <c r="D152" s="3">
        <v>4</v>
      </c>
      <c r="E152" s="3">
        <v>3</v>
      </c>
      <c r="F152" s="3" t="str">
        <f>HYPERLINK("https://www.boe.es/gazeta/dias/1809/04/03/pdfs/GMD-1809-93.pdf","Abrir PDF")</f>
        <v>Abrir PDF</v>
      </c>
    </row>
    <row r="153" spans="1:6" ht="30.95" customHeight="1">
      <c r="A153" s="2" t="s">
        <v>3258</v>
      </c>
      <c r="B153" s="2" t="s">
        <v>3529</v>
      </c>
      <c r="C153" s="2" t="s">
        <v>13855</v>
      </c>
      <c r="D153" s="3">
        <v>8</v>
      </c>
      <c r="E153" s="3">
        <v>12</v>
      </c>
      <c r="F153" s="3" t="str">
        <f>HYPERLINK("https://www.boe.es/gazeta/dias/1809/04/03/pdfs/GGB-1809-14B.pdf","Abrir PDF")</f>
        <v>Abrir PDF</v>
      </c>
    </row>
    <row r="154" spans="1:6" ht="30.95" customHeight="1">
      <c r="A154" s="2" t="s">
        <v>689</v>
      </c>
      <c r="B154" s="2" t="s">
        <v>690</v>
      </c>
      <c r="C154" s="2" t="s">
        <v>13856</v>
      </c>
      <c r="D154" s="3">
        <v>4</v>
      </c>
      <c r="E154" s="3">
        <v>3</v>
      </c>
      <c r="F154" s="3" t="str">
        <f>HYPERLINK("https://www.boe.es/gazeta/dias/1809/04/04/pdfs/GMD-1809-94.pdf","Abrir PDF")</f>
        <v>Abrir PDF</v>
      </c>
    </row>
    <row r="155" spans="1:6" ht="30.95" customHeight="1">
      <c r="A155" s="2" t="s">
        <v>13857</v>
      </c>
      <c r="B155" s="2" t="s">
        <v>13858</v>
      </c>
      <c r="C155" s="2" t="s">
        <v>13859</v>
      </c>
      <c r="D155" s="3">
        <v>4</v>
      </c>
      <c r="E155" s="3">
        <v>0</v>
      </c>
      <c r="F155" s="3" t="str">
        <f>HYPERLINK("https://www.boe.es/gazeta/dias/1809/04/05/pdfs/GMD-1809-95.pdf","Abrir PDF")</f>
        <v>Abrir PDF</v>
      </c>
    </row>
    <row r="156" spans="1:6" ht="30.95" customHeight="1">
      <c r="A156" s="2" t="s">
        <v>985</v>
      </c>
      <c r="B156" s="2" t="s">
        <v>986</v>
      </c>
      <c r="C156" s="2" t="s">
        <v>13860</v>
      </c>
      <c r="D156" s="3">
        <v>4</v>
      </c>
      <c r="E156" s="3">
        <v>1</v>
      </c>
      <c r="F156" s="3" t="str">
        <f>HYPERLINK("https://www.boe.es/gazeta/dias/1809/04/06/pdfs/GMD-1809-96.pdf","Abrir PDF")</f>
        <v>Abrir PDF</v>
      </c>
    </row>
    <row r="157" spans="1:6" ht="30.95" customHeight="1">
      <c r="A157" s="2" t="s">
        <v>985</v>
      </c>
      <c r="B157" s="2" t="s">
        <v>13861</v>
      </c>
      <c r="C157" s="2" t="s">
        <v>13862</v>
      </c>
      <c r="D157" s="3">
        <v>4</v>
      </c>
      <c r="E157" s="3">
        <v>0</v>
      </c>
      <c r="F157" s="3" t="str">
        <f>HYPERLINK("https://www.boe.es/gazeta/dias/1809/04/06/pdfs/GGB-1809-14E3.pdf","Abrir PDF")</f>
        <v>Abrir PDF</v>
      </c>
    </row>
    <row r="158" spans="1:6" ht="30.95" customHeight="1">
      <c r="A158" s="2" t="s">
        <v>3167</v>
      </c>
      <c r="B158" s="2" t="s">
        <v>5463</v>
      </c>
      <c r="C158" s="2" t="s">
        <v>13863</v>
      </c>
      <c r="D158" s="3">
        <v>4</v>
      </c>
      <c r="E158" s="3">
        <v>4</v>
      </c>
      <c r="F158" s="3" t="str">
        <f>HYPERLINK("https://www.boe.es/gazeta/dias/1809/04/07/pdfs/GMD-1809-97.pdf","Abrir PDF")</f>
        <v>Abrir PDF</v>
      </c>
    </row>
    <row r="159" spans="1:6" ht="30.95" customHeight="1">
      <c r="A159" s="2" t="s">
        <v>3167</v>
      </c>
      <c r="B159" s="2" t="s">
        <v>3168</v>
      </c>
      <c r="C159" s="2" t="s">
        <v>13864</v>
      </c>
      <c r="D159" s="3">
        <v>8</v>
      </c>
      <c r="E159" s="3">
        <v>3</v>
      </c>
      <c r="F159" s="3" t="str">
        <f>HYPERLINK("https://www.boe.es/gazeta/dias/1809/04/07/pdfs/GGB-1809-15.pdf","Abrir PDF")</f>
        <v>Abrir PDF</v>
      </c>
    </row>
    <row r="160" spans="1:6" ht="30.95" customHeight="1">
      <c r="A160" s="2" t="s">
        <v>3167</v>
      </c>
      <c r="B160" s="2" t="s">
        <v>6394</v>
      </c>
      <c r="C160" s="2" t="s">
        <v>13865</v>
      </c>
      <c r="D160" s="3">
        <v>4</v>
      </c>
      <c r="E160" s="3">
        <v>1</v>
      </c>
      <c r="F160" s="3" t="str">
        <f>HYPERLINK("https://www.boe.es/gazeta/dias/1809/04/07/pdfs/GGB-1809-15E.pdf","Abrir PDF")</f>
        <v>Abrir PDF</v>
      </c>
    </row>
    <row r="161" spans="1:6" ht="30.95" customHeight="1">
      <c r="A161" s="2" t="s">
        <v>11882</v>
      </c>
      <c r="B161" s="2" t="s">
        <v>11883</v>
      </c>
      <c r="C161" s="2" t="s">
        <v>13866</v>
      </c>
      <c r="D161" s="3">
        <v>4</v>
      </c>
      <c r="E161" s="3">
        <v>2</v>
      </c>
      <c r="F161" s="3" t="str">
        <f>HYPERLINK("https://www.boe.es/gazeta/dias/1809/04/08/pdfs/GMD-1809-98.pdf","Abrir PDF")</f>
        <v>Abrir PDF</v>
      </c>
    </row>
    <row r="162" spans="1:6" ht="30.95" customHeight="1">
      <c r="A162" s="2" t="s">
        <v>2159</v>
      </c>
      <c r="B162" s="2" t="s">
        <v>2160</v>
      </c>
      <c r="C162" s="2" t="s">
        <v>13867</v>
      </c>
      <c r="D162" s="3">
        <v>4</v>
      </c>
      <c r="E162" s="3">
        <v>5</v>
      </c>
      <c r="F162" s="3" t="str">
        <f>HYPERLINK("https://www.boe.es/gazeta/dias/1809/04/09/pdfs/GMD-1809-99.pdf","Abrir PDF")</f>
        <v>Abrir PDF</v>
      </c>
    </row>
    <row r="163" spans="1:6" ht="30.95" customHeight="1">
      <c r="A163" s="2" t="s">
        <v>3366</v>
      </c>
      <c r="B163" s="2" t="s">
        <v>8835</v>
      </c>
      <c r="C163" s="2" t="s">
        <v>13868</v>
      </c>
      <c r="D163" s="3">
        <v>4</v>
      </c>
      <c r="E163" s="3">
        <v>3</v>
      </c>
      <c r="F163" s="3" t="str">
        <f>HYPERLINK("https://www.boe.es/gazeta/dias/1809/04/10/pdfs/GMD-1809-100.pdf","Abrir PDF")</f>
        <v>Abrir PDF</v>
      </c>
    </row>
    <row r="164" spans="1:6" ht="30.95" customHeight="1">
      <c r="A164" s="2" t="s">
        <v>3366</v>
      </c>
      <c r="B164" s="2" t="s">
        <v>3367</v>
      </c>
      <c r="C164" s="2" t="s">
        <v>13869</v>
      </c>
      <c r="D164" s="3">
        <v>8</v>
      </c>
      <c r="E164" s="3">
        <v>2</v>
      </c>
      <c r="F164" s="3" t="str">
        <f>HYPERLINK("https://www.boe.es/gazeta/dias/1809/04/10/pdfs/GGB-1809-16.pdf","Abrir PDF")</f>
        <v>Abrir PDF</v>
      </c>
    </row>
    <row r="165" spans="1:6" ht="30.95" customHeight="1">
      <c r="A165" s="2" t="s">
        <v>81</v>
      </c>
      <c r="B165" s="2" t="s">
        <v>1251</v>
      </c>
      <c r="C165" s="2" t="s">
        <v>13870</v>
      </c>
      <c r="D165" s="3">
        <v>4</v>
      </c>
      <c r="E165" s="3">
        <v>9</v>
      </c>
      <c r="F165" s="3" t="str">
        <f>HYPERLINK("https://www.boe.es/gazeta/dias/1809/04/11/pdfs/GMD-1809-101.pdf","Abrir PDF")</f>
        <v>Abrir PDF</v>
      </c>
    </row>
    <row r="166" spans="1:6" ht="30.95" customHeight="1">
      <c r="A166" s="2" t="s">
        <v>81</v>
      </c>
      <c r="B166" s="2" t="s">
        <v>82</v>
      </c>
      <c r="C166" s="2" t="s">
        <v>13871</v>
      </c>
      <c r="D166" s="3">
        <v>8</v>
      </c>
      <c r="E166" s="3">
        <v>42</v>
      </c>
      <c r="F166" s="3" t="str">
        <f>HYPERLINK("https://www.boe.es/gazeta/dias/1809/04/11/pdfs/GGB-1809-16E.pdf","Abrir PDF")</f>
        <v>Abrir PDF</v>
      </c>
    </row>
    <row r="167" spans="1:6" ht="30.95" customHeight="1">
      <c r="A167" s="2" t="s">
        <v>2269</v>
      </c>
      <c r="B167" s="2" t="s">
        <v>2270</v>
      </c>
      <c r="C167" s="2" t="s">
        <v>13872</v>
      </c>
      <c r="D167" s="3">
        <v>4</v>
      </c>
      <c r="E167" s="3">
        <v>5</v>
      </c>
      <c r="F167" s="3" t="str">
        <f>HYPERLINK("https://www.boe.es/gazeta/dias/1809/04/12/pdfs/GMD-1809-102.pdf","Abrir PDF")</f>
        <v>Abrir PDF</v>
      </c>
    </row>
    <row r="168" spans="1:6" ht="30.95" customHeight="1">
      <c r="A168" s="2" t="s">
        <v>1076</v>
      </c>
      <c r="B168" s="2" t="s">
        <v>1645</v>
      </c>
      <c r="C168" s="2" t="s">
        <v>13873</v>
      </c>
      <c r="D168" s="3">
        <v>4</v>
      </c>
      <c r="E168" s="3">
        <v>6</v>
      </c>
      <c r="F168" s="3" t="str">
        <f>HYPERLINK("https://www.boe.es/gazeta/dias/1809/04/13/pdfs/GMD-1809-103.pdf","Abrir PDF")</f>
        <v>Abrir PDF</v>
      </c>
    </row>
    <row r="169" spans="1:6" ht="30.95" customHeight="1">
      <c r="A169" s="2" t="s">
        <v>1076</v>
      </c>
      <c r="B169" s="2" t="s">
        <v>1074</v>
      </c>
      <c r="C169" s="2" t="s">
        <v>13726</v>
      </c>
      <c r="D169" s="3">
        <v>4</v>
      </c>
      <c r="E169" s="3">
        <v>7</v>
      </c>
      <c r="F169" s="3" t="str">
        <f>HYPERLINK("https://www.boe.es/gazeta/dias/1809/04/13/pdfs/GMD-1809-13.pdf","Abrir PDF")</f>
        <v>Abrir PDF</v>
      </c>
    </row>
    <row r="170" spans="1:6" ht="30.95" customHeight="1">
      <c r="A170" s="2" t="s">
        <v>1076</v>
      </c>
      <c r="B170" s="2" t="s">
        <v>3003</v>
      </c>
      <c r="C170" s="2" t="s">
        <v>13727</v>
      </c>
      <c r="D170" s="3">
        <v>3</v>
      </c>
      <c r="E170" s="3">
        <v>1</v>
      </c>
      <c r="F170" s="3" t="str">
        <f>HYPERLINK("https://www.boe.es/gazeta/dias/1809/04/13/pdfs/GMD-E-1809-13.pdf","Abrir PDF")</f>
        <v>Abrir PDF</v>
      </c>
    </row>
    <row r="171" spans="1:6" ht="30.95" customHeight="1">
      <c r="A171" s="2" t="s">
        <v>1007</v>
      </c>
      <c r="B171" s="2" t="s">
        <v>1008</v>
      </c>
      <c r="C171" s="2" t="s">
        <v>13874</v>
      </c>
      <c r="D171" s="3">
        <v>4</v>
      </c>
      <c r="E171" s="3">
        <v>5</v>
      </c>
      <c r="F171" s="3" t="str">
        <f>HYPERLINK("https://www.boe.es/gazeta/dias/1809/04/14/pdfs/GMD-1809-104.pdf","Abrir PDF")</f>
        <v>Abrir PDF</v>
      </c>
    </row>
    <row r="172" spans="1:6" ht="30.95" customHeight="1">
      <c r="A172" s="2" t="s">
        <v>1007</v>
      </c>
      <c r="B172" s="2" t="s">
        <v>3043</v>
      </c>
      <c r="C172" s="2" t="s">
        <v>13875</v>
      </c>
      <c r="D172" s="3">
        <v>8</v>
      </c>
      <c r="E172" s="3">
        <v>8</v>
      </c>
      <c r="F172" s="3" t="str">
        <f>HYPERLINK("https://www.boe.es/gazeta/dias/1809/04/14/pdfs/GGB-1809-17.pdf","Abrir PDF")</f>
        <v>Abrir PDF</v>
      </c>
    </row>
    <row r="173" spans="1:6" ht="30.95" customHeight="1">
      <c r="A173" s="2" t="s">
        <v>1007</v>
      </c>
      <c r="B173" s="2" t="s">
        <v>13876</v>
      </c>
      <c r="C173" s="2" t="s">
        <v>13877</v>
      </c>
      <c r="D173" s="3">
        <v>1</v>
      </c>
      <c r="E173" s="3">
        <v>0</v>
      </c>
      <c r="F173" s="3" t="str">
        <f>HYPERLINK("https://www.boe.es/gazeta/dias/1809/04/14/pdfs/GGB-1809-17E.pdf","Abrir PDF")</f>
        <v>Abrir PDF</v>
      </c>
    </row>
    <row r="174" spans="1:6" ht="30.95" customHeight="1">
      <c r="A174" s="2" t="s">
        <v>1608</v>
      </c>
      <c r="B174" s="2" t="s">
        <v>2350</v>
      </c>
      <c r="C174" s="2" t="s">
        <v>13878</v>
      </c>
      <c r="D174" s="3">
        <v>4</v>
      </c>
      <c r="E174" s="3">
        <v>6</v>
      </c>
      <c r="F174" s="3" t="str">
        <f>HYPERLINK("https://www.boe.es/gazeta/dias/1809/04/15/pdfs/GMD-1809-105.pdf","Abrir PDF")</f>
        <v>Abrir PDF</v>
      </c>
    </row>
    <row r="175" spans="1:6" ht="30.95" customHeight="1">
      <c r="A175" s="2" t="s">
        <v>1608</v>
      </c>
      <c r="B175" s="2" t="s">
        <v>1609</v>
      </c>
      <c r="C175" s="2" t="s">
        <v>13879</v>
      </c>
      <c r="D175" s="3">
        <v>8</v>
      </c>
      <c r="E175" s="3">
        <v>15</v>
      </c>
      <c r="F175" s="3" t="str">
        <f>HYPERLINK("https://www.boe.es/gazeta/dias/1809/04/15/pdfs/GGB-1809-18E.pdf","Abrir PDF")</f>
        <v>Abrir PDF</v>
      </c>
    </row>
    <row r="176" spans="1:6" ht="30.95" customHeight="1">
      <c r="A176" s="2" t="s">
        <v>8242</v>
      </c>
      <c r="B176" s="2" t="s">
        <v>8243</v>
      </c>
      <c r="C176" s="2" t="s">
        <v>13880</v>
      </c>
      <c r="D176" s="3">
        <v>4</v>
      </c>
      <c r="E176" s="3">
        <v>1</v>
      </c>
      <c r="F176" s="3" t="str">
        <f>HYPERLINK("https://www.boe.es/gazeta/dias/1809/04/16/pdfs/GMD-1809-106.pdf","Abrir PDF")</f>
        <v>Abrir PDF</v>
      </c>
    </row>
    <row r="177" spans="1:6" ht="30.95" customHeight="1">
      <c r="A177" s="2" t="s">
        <v>1514</v>
      </c>
      <c r="B177" s="2" t="s">
        <v>9438</v>
      </c>
      <c r="C177" s="2" t="s">
        <v>13881</v>
      </c>
      <c r="D177" s="3">
        <v>4</v>
      </c>
      <c r="E177" s="3">
        <v>1</v>
      </c>
      <c r="F177" s="3" t="str">
        <f>HYPERLINK("https://www.boe.es/gazeta/dias/1809/04/17/pdfs/GMD-1809-107.pdf","Abrir PDF")</f>
        <v>Abrir PDF</v>
      </c>
    </row>
    <row r="178" spans="1:6" ht="30.95" customHeight="1">
      <c r="A178" s="2" t="s">
        <v>1514</v>
      </c>
      <c r="B178" s="2" t="s">
        <v>1840</v>
      </c>
      <c r="C178" s="2" t="s">
        <v>13882</v>
      </c>
      <c r="D178" s="3">
        <v>12</v>
      </c>
      <c r="E178" s="3">
        <v>11</v>
      </c>
      <c r="F178" s="3" t="str">
        <f>HYPERLINK("https://www.boe.es/gazeta/dias/1809/04/17/pdfs/GGB-1809-19.pdf","Abrir PDF")</f>
        <v>Abrir PDF</v>
      </c>
    </row>
    <row r="179" spans="1:6" ht="30.95" customHeight="1">
      <c r="A179" s="2" t="s">
        <v>1514</v>
      </c>
      <c r="B179" s="2" t="s">
        <v>1515</v>
      </c>
      <c r="C179" s="2" t="s">
        <v>13883</v>
      </c>
      <c r="D179" s="3">
        <v>8</v>
      </c>
      <c r="E179" s="3">
        <v>12</v>
      </c>
      <c r="F179" s="3" t="str">
        <f>HYPERLINK("https://www.boe.es/gazeta/dias/1809/04/17/pdfs/GGB-G-1809-19.pdf","Abrir PDF")</f>
        <v>Abrir PDF</v>
      </c>
    </row>
    <row r="180" spans="1:6" ht="30.95" customHeight="1">
      <c r="A180" s="2" t="s">
        <v>11616</v>
      </c>
      <c r="B180" s="2" t="s">
        <v>11617</v>
      </c>
      <c r="C180" s="2" t="s">
        <v>13884</v>
      </c>
      <c r="D180" s="3">
        <v>4</v>
      </c>
      <c r="E180" s="3">
        <v>2</v>
      </c>
      <c r="F180" s="3" t="str">
        <f>HYPERLINK("https://www.boe.es/gazeta/dias/1809/04/18/pdfs/GMD-1809-108.pdf","Abrir PDF")</f>
        <v>Abrir PDF</v>
      </c>
    </row>
    <row r="181" spans="1:6" ht="30.95" customHeight="1">
      <c r="A181" s="2" t="s">
        <v>557</v>
      </c>
      <c r="B181" s="2" t="s">
        <v>13885</v>
      </c>
      <c r="C181" s="2" t="s">
        <v>13886</v>
      </c>
      <c r="D181" s="3">
        <v>4</v>
      </c>
      <c r="E181" s="3">
        <v>0</v>
      </c>
      <c r="F181" s="3" t="str">
        <f>HYPERLINK("https://www.boe.es/gazeta/dias/1809/04/19/pdfs/GMD-1809-109.pdf","Abrir PDF")</f>
        <v>Abrir PDF</v>
      </c>
    </row>
    <row r="182" spans="1:6" ht="30.95" customHeight="1">
      <c r="A182" s="2" t="s">
        <v>557</v>
      </c>
      <c r="B182" s="2" t="s">
        <v>558</v>
      </c>
      <c r="C182" s="2" t="s">
        <v>13887</v>
      </c>
      <c r="D182" s="3">
        <v>2</v>
      </c>
      <c r="E182" s="3">
        <v>24</v>
      </c>
      <c r="F182" s="3" t="str">
        <f>HYPERLINK("https://www.boe.es/gazeta/dias/1809/04/19/pdfs/GMD-E-1809-109.pdf","Abrir PDF")</f>
        <v>Abrir PDF</v>
      </c>
    </row>
    <row r="183" spans="1:6" ht="30.95" customHeight="1">
      <c r="A183" s="2" t="s">
        <v>3178</v>
      </c>
      <c r="B183" s="2" t="s">
        <v>13888</v>
      </c>
      <c r="C183" s="2" t="s">
        <v>13889</v>
      </c>
      <c r="D183" s="3">
        <v>4</v>
      </c>
      <c r="E183" s="3">
        <v>0</v>
      </c>
      <c r="F183" s="3" t="str">
        <f>HYPERLINK("https://www.boe.es/gazeta/dias/1809/04/20/pdfs/GMD-1809-110.pdf","Abrir PDF")</f>
        <v>Abrir PDF</v>
      </c>
    </row>
    <row r="184" spans="1:6" ht="30.95" customHeight="1">
      <c r="A184" s="2" t="s">
        <v>3178</v>
      </c>
      <c r="B184" s="2" t="s">
        <v>3179</v>
      </c>
      <c r="C184" s="2" t="s">
        <v>13890</v>
      </c>
      <c r="D184" s="3">
        <v>2</v>
      </c>
      <c r="E184" s="3">
        <v>12</v>
      </c>
      <c r="F184" s="3" t="str">
        <f>HYPERLINK("https://www.boe.es/gazeta/dias/1809/04/20/pdfs/GMD-E-1809-110.pdf","Abrir PDF")</f>
        <v>Abrir PDF</v>
      </c>
    </row>
    <row r="185" spans="1:6" ht="30.95" customHeight="1">
      <c r="A185" s="2" t="s">
        <v>123</v>
      </c>
      <c r="B185" s="2" t="s">
        <v>124</v>
      </c>
      <c r="C185" s="2" t="s">
        <v>13891</v>
      </c>
      <c r="D185" s="3">
        <v>4</v>
      </c>
      <c r="E185" s="3">
        <v>6</v>
      </c>
      <c r="F185" s="3" t="str">
        <f>HYPERLINK("https://www.boe.es/gazeta/dias/1809/04/21/pdfs/GMD-1809-111.pdf","Abrir PDF")</f>
        <v>Abrir PDF</v>
      </c>
    </row>
    <row r="186" spans="1:6" ht="30.95" customHeight="1">
      <c r="A186" s="2" t="s">
        <v>123</v>
      </c>
      <c r="B186" s="2" t="s">
        <v>310</v>
      </c>
      <c r="C186" s="2" t="s">
        <v>13892</v>
      </c>
      <c r="D186" s="3">
        <v>8</v>
      </c>
      <c r="E186" s="3">
        <v>10</v>
      </c>
      <c r="F186" s="3" t="str">
        <f>HYPERLINK("https://www.boe.es/gazeta/dias/1809/04/21/pdfs/GGB-1809-20.pdf","Abrir PDF")</f>
        <v>Abrir PDF</v>
      </c>
    </row>
    <row r="187" spans="1:6" ht="30.95" customHeight="1">
      <c r="A187" s="2" t="s">
        <v>123</v>
      </c>
      <c r="B187" s="2" t="s">
        <v>6396</v>
      </c>
      <c r="C187" s="2" t="s">
        <v>13893</v>
      </c>
      <c r="D187" s="3">
        <v>1</v>
      </c>
      <c r="E187" s="3">
        <v>1</v>
      </c>
      <c r="F187" s="3" t="str">
        <f>HYPERLINK("https://www.boe.es/gazeta/dias/1809/04/21/pdfs/GGB-1809-20E.pdf","Abrir PDF")</f>
        <v>Abrir PDF</v>
      </c>
    </row>
    <row r="188" spans="1:6" ht="30.95" customHeight="1">
      <c r="A188" s="2" t="s">
        <v>9187</v>
      </c>
      <c r="B188" s="2" t="s">
        <v>9188</v>
      </c>
      <c r="C188" s="2" t="s">
        <v>13894</v>
      </c>
      <c r="D188" s="3">
        <v>4</v>
      </c>
      <c r="E188" s="3">
        <v>1</v>
      </c>
      <c r="F188" s="3" t="str">
        <f>HYPERLINK("https://www.boe.es/gazeta/dias/1809/04/22/pdfs/GMD-1809-112.pdf","Abrir PDF")</f>
        <v>Abrir PDF</v>
      </c>
    </row>
    <row r="189" spans="1:6" ht="30.95" customHeight="1">
      <c r="A189" s="2" t="s">
        <v>13169</v>
      </c>
      <c r="B189" s="2" t="s">
        <v>13170</v>
      </c>
      <c r="C189" s="2" t="s">
        <v>13895</v>
      </c>
      <c r="D189" s="3">
        <v>4</v>
      </c>
      <c r="E189" s="3">
        <v>1</v>
      </c>
      <c r="F189" s="3" t="str">
        <f>HYPERLINK("https://www.boe.es/gazeta/dias/1809/04/23/pdfs/GMD-1809-113.pdf","Abrir PDF")</f>
        <v>Abrir PDF</v>
      </c>
    </row>
    <row r="190" spans="1:6" ht="30.95" customHeight="1">
      <c r="A190" s="2" t="s">
        <v>113</v>
      </c>
      <c r="B190" s="2" t="s">
        <v>114</v>
      </c>
      <c r="C190" s="2" t="s">
        <v>13896</v>
      </c>
      <c r="D190" s="3">
        <v>4</v>
      </c>
      <c r="E190" s="3">
        <v>5</v>
      </c>
      <c r="F190" s="3" t="str">
        <f>HYPERLINK("https://www.boe.es/gazeta/dias/1809/04/24/pdfs/GMD-1809-114.pdf","Abrir PDF")</f>
        <v>Abrir PDF</v>
      </c>
    </row>
    <row r="191" spans="1:6" ht="30.95" customHeight="1">
      <c r="A191" s="2" t="s">
        <v>113</v>
      </c>
      <c r="B191" s="2" t="s">
        <v>1982</v>
      </c>
      <c r="C191" s="2" t="s">
        <v>13897</v>
      </c>
      <c r="D191" s="3">
        <v>12</v>
      </c>
      <c r="E191" s="3">
        <v>15</v>
      </c>
      <c r="F191" s="3" t="str">
        <f>HYPERLINK("https://www.boe.es/gazeta/dias/1809/04/24/pdfs/GGB-1809-21.pdf","Abrir PDF")</f>
        <v>Abrir PDF</v>
      </c>
    </row>
    <row r="192" spans="1:6" ht="30.95" customHeight="1">
      <c r="A192" s="2" t="s">
        <v>113</v>
      </c>
      <c r="B192" s="2" t="s">
        <v>3261</v>
      </c>
      <c r="C192" s="2" t="s">
        <v>13898</v>
      </c>
      <c r="D192" s="3">
        <v>4</v>
      </c>
      <c r="E192" s="3">
        <v>2</v>
      </c>
      <c r="F192" s="3" t="str">
        <f>HYPERLINK("https://www.boe.es/gazeta/dias/1809/04/24/pdfs/GGB-1809-21E.pdf","Abrir PDF")</f>
        <v>Abrir PDF</v>
      </c>
    </row>
    <row r="193" spans="1:6" ht="30.95" customHeight="1">
      <c r="A193" s="2" t="s">
        <v>113</v>
      </c>
      <c r="B193" s="2" t="s">
        <v>3549</v>
      </c>
      <c r="C193" s="2" t="s">
        <v>13899</v>
      </c>
      <c r="D193" s="3">
        <v>8</v>
      </c>
      <c r="E193" s="3">
        <v>10</v>
      </c>
      <c r="F193" s="3" t="str">
        <f>HYPERLINK("https://www.boe.es/gazeta/dias/1809/04/24/pdfs/GGB-G-1809-21.pdf","Abrir PDF")</f>
        <v>Abrir PDF</v>
      </c>
    </row>
    <row r="194" spans="1:6" ht="30.95" customHeight="1">
      <c r="A194" s="2" t="s">
        <v>1753</v>
      </c>
      <c r="B194" s="2" t="s">
        <v>1754</v>
      </c>
      <c r="C194" s="2" t="s">
        <v>13900</v>
      </c>
      <c r="D194" s="3">
        <v>4</v>
      </c>
      <c r="E194" s="3">
        <v>4</v>
      </c>
      <c r="F194" s="3" t="str">
        <f>HYPERLINK("https://www.boe.es/gazeta/dias/1809/04/25/pdfs/GMD-1809-115.pdf","Abrir PDF")</f>
        <v>Abrir PDF</v>
      </c>
    </row>
    <row r="195" spans="1:6" ht="30.95" customHeight="1">
      <c r="A195" s="2" t="s">
        <v>1069</v>
      </c>
      <c r="B195" s="2" t="s">
        <v>1070</v>
      </c>
      <c r="C195" s="2" t="s">
        <v>13901</v>
      </c>
      <c r="D195" s="3">
        <v>4</v>
      </c>
      <c r="E195" s="3">
        <v>1</v>
      </c>
      <c r="F195" s="3" t="str">
        <f>HYPERLINK("https://www.boe.es/gazeta/dias/1809/04/26/pdfs/GMD-1809-116.pdf","Abrir PDF")</f>
        <v>Abrir PDF</v>
      </c>
    </row>
    <row r="196" spans="1:6" ht="30.95" customHeight="1">
      <c r="A196" s="2" t="s">
        <v>7921</v>
      </c>
      <c r="B196" s="2" t="s">
        <v>7922</v>
      </c>
      <c r="C196" s="2" t="s">
        <v>13902</v>
      </c>
      <c r="D196" s="3">
        <v>4</v>
      </c>
      <c r="E196" s="3">
        <v>1</v>
      </c>
      <c r="F196" s="3" t="str">
        <f>HYPERLINK("https://www.boe.es/gazeta/dias/1809/04/27/pdfs/GMD-1809-117.pdf","Abrir PDF")</f>
        <v>Abrir PDF</v>
      </c>
    </row>
    <row r="197" spans="1:6" ht="30.95" customHeight="1">
      <c r="A197" s="2" t="s">
        <v>421</v>
      </c>
      <c r="B197" s="2" t="s">
        <v>422</v>
      </c>
      <c r="C197" s="2" t="s">
        <v>13903</v>
      </c>
      <c r="D197" s="3">
        <v>4</v>
      </c>
      <c r="E197" s="3">
        <v>2</v>
      </c>
      <c r="F197" s="3" t="str">
        <f>HYPERLINK("https://www.boe.es/gazeta/dias/1809/04/28/pdfs/GMD-1809-118.pdf","Abrir PDF")</f>
        <v>Abrir PDF</v>
      </c>
    </row>
    <row r="198" spans="1:6" ht="30.95" customHeight="1">
      <c r="A198" s="2" t="s">
        <v>421</v>
      </c>
      <c r="B198" s="2" t="s">
        <v>962</v>
      </c>
      <c r="C198" s="2" t="s">
        <v>13904</v>
      </c>
      <c r="D198" s="3">
        <v>8</v>
      </c>
      <c r="E198" s="3">
        <v>6</v>
      </c>
      <c r="F198" s="3" t="str">
        <f>HYPERLINK("https://www.boe.es/gazeta/dias/1809/04/28/pdfs/GGB-1809-22.pdf","Abrir PDF")</f>
        <v>Abrir PDF</v>
      </c>
    </row>
    <row r="199" spans="1:6" ht="30.95" customHeight="1">
      <c r="A199" s="2" t="s">
        <v>787</v>
      </c>
      <c r="B199" s="2" t="s">
        <v>4588</v>
      </c>
      <c r="C199" s="2" t="s">
        <v>13905</v>
      </c>
      <c r="D199" s="3">
        <v>4</v>
      </c>
      <c r="E199" s="3">
        <v>4</v>
      </c>
      <c r="F199" s="3" t="str">
        <f>HYPERLINK("https://www.boe.es/gazeta/dias/1809/04/29/pdfs/GMD-1809-119.pdf","Abrir PDF")</f>
        <v>Abrir PDF</v>
      </c>
    </row>
    <row r="200" spans="1:6" ht="30.95" customHeight="1">
      <c r="A200" s="2" t="s">
        <v>787</v>
      </c>
      <c r="B200" s="2" t="s">
        <v>788</v>
      </c>
      <c r="C200" s="2" t="s">
        <v>13906</v>
      </c>
      <c r="D200" s="3">
        <v>2</v>
      </c>
      <c r="E200" s="3">
        <v>12</v>
      </c>
      <c r="F200" s="3" t="str">
        <f>HYPERLINK("https://www.boe.es/gazeta/dias/1809/04/29/pdfs/GMD-E-1809-119.pdf","Abrir PDF")</f>
        <v>Abrir PDF</v>
      </c>
    </row>
    <row r="201" spans="1:6" ht="30.95" customHeight="1">
      <c r="A201" s="2" t="s">
        <v>2607</v>
      </c>
      <c r="B201" s="2" t="s">
        <v>2608</v>
      </c>
      <c r="C201" s="2" t="s">
        <v>13907</v>
      </c>
      <c r="D201" s="3">
        <v>4</v>
      </c>
      <c r="E201" s="3">
        <v>9</v>
      </c>
      <c r="F201" s="3" t="str">
        <f>HYPERLINK("https://www.boe.es/gazeta/dias/1809/04/30/pdfs/GMD-1809-120.pdf","Abrir PDF")</f>
        <v>Abrir PDF</v>
      </c>
    </row>
    <row r="202" spans="1:6" ht="30.95" customHeight="1">
      <c r="A202" s="2" t="s">
        <v>2607</v>
      </c>
      <c r="B202" s="2" t="s">
        <v>7682</v>
      </c>
      <c r="C202" s="2" t="s">
        <v>13908</v>
      </c>
      <c r="D202" s="3">
        <v>2</v>
      </c>
      <c r="E202" s="3">
        <v>3</v>
      </c>
      <c r="F202" s="3" t="str">
        <f>HYPERLINK("https://www.boe.es/gazeta/dias/1809/04/30/pdfs/GMD-E-1809-120.pdf","Abrir PDF")</f>
        <v>Abrir PDF</v>
      </c>
    </row>
    <row r="203" spans="1:6" ht="30.95" customHeight="1">
      <c r="A203" s="2" t="s">
        <v>857</v>
      </c>
      <c r="B203" s="2" t="s">
        <v>4692</v>
      </c>
      <c r="C203" s="2" t="s">
        <v>13909</v>
      </c>
      <c r="D203" s="3">
        <v>4</v>
      </c>
      <c r="E203" s="3">
        <v>8</v>
      </c>
      <c r="F203" s="3" t="str">
        <f>HYPERLINK("https://www.boe.es/gazeta/dias/1809/05/01/pdfs/GMD-1809-121.pdf","Abrir PDF")</f>
        <v>Abrir PDF</v>
      </c>
    </row>
    <row r="204" spans="1:6" ht="30.95" customHeight="1">
      <c r="A204" s="2" t="s">
        <v>857</v>
      </c>
      <c r="B204" s="2" t="s">
        <v>858</v>
      </c>
      <c r="C204" s="2" t="s">
        <v>13910</v>
      </c>
      <c r="D204" s="3">
        <v>8</v>
      </c>
      <c r="E204" s="3">
        <v>9</v>
      </c>
      <c r="F204" s="3" t="str">
        <f>HYPERLINK("https://www.boe.es/gazeta/dias/1809/05/01/pdfs/GGB-1809-23.pdf","Abrir PDF")</f>
        <v>Abrir PDF</v>
      </c>
    </row>
    <row r="205" spans="1:6" ht="30.95" customHeight="1">
      <c r="A205" s="2" t="s">
        <v>2346</v>
      </c>
      <c r="B205" s="2" t="s">
        <v>2347</v>
      </c>
      <c r="C205" s="2" t="s">
        <v>13911</v>
      </c>
      <c r="D205" s="3">
        <v>4</v>
      </c>
      <c r="E205" s="3">
        <v>9</v>
      </c>
      <c r="F205" s="3" t="str">
        <f>HYPERLINK("https://www.boe.es/gazeta/dias/1809/05/02/pdfs/GMD-1809-122.pdf","Abrir PDF")</f>
        <v>Abrir PDF</v>
      </c>
    </row>
    <row r="206" spans="1:6" ht="30.95" customHeight="1">
      <c r="A206" s="2" t="s">
        <v>1974</v>
      </c>
      <c r="B206" s="2" t="s">
        <v>13912</v>
      </c>
      <c r="C206" s="2" t="s">
        <v>13913</v>
      </c>
      <c r="D206" s="3">
        <v>4</v>
      </c>
      <c r="E206" s="3">
        <v>0</v>
      </c>
      <c r="F206" s="3" t="str">
        <f>HYPERLINK("https://www.boe.es/gazeta/dias/1809/05/03/pdfs/GMD-1809-123.pdf","Abrir PDF")</f>
        <v>Abrir PDF</v>
      </c>
    </row>
    <row r="207" spans="1:6" ht="30.95" customHeight="1">
      <c r="A207" s="2" t="s">
        <v>1974</v>
      </c>
      <c r="B207" s="2" t="s">
        <v>1975</v>
      </c>
      <c r="C207" s="2" t="s">
        <v>13914</v>
      </c>
      <c r="D207" s="3">
        <v>2</v>
      </c>
      <c r="E207" s="3">
        <v>8</v>
      </c>
      <c r="F207" s="3" t="str">
        <f>HYPERLINK("https://www.boe.es/gazeta/dias/1809/05/03/pdfs/GMD-E-1809-123.pdf","Abrir PDF")</f>
        <v>Abrir PDF</v>
      </c>
    </row>
    <row r="208" spans="1:6" ht="30.95" customHeight="1">
      <c r="A208" s="2" t="s">
        <v>551</v>
      </c>
      <c r="B208" s="2" t="s">
        <v>552</v>
      </c>
      <c r="C208" s="2" t="s">
        <v>13915</v>
      </c>
      <c r="D208" s="3">
        <v>4</v>
      </c>
      <c r="E208" s="3">
        <v>14</v>
      </c>
      <c r="F208" s="3" t="str">
        <f>HYPERLINK("https://www.boe.es/gazeta/dias/1809/05/04/pdfs/GMD-1809-124.pdf","Abrir PDF")</f>
        <v>Abrir PDF</v>
      </c>
    </row>
    <row r="209" spans="1:6" ht="30.95" customHeight="1">
      <c r="A209" s="2" t="s">
        <v>2976</v>
      </c>
      <c r="B209" s="2" t="s">
        <v>13916</v>
      </c>
      <c r="C209" s="2" t="s">
        <v>13917</v>
      </c>
      <c r="D209" s="3">
        <v>4</v>
      </c>
      <c r="E209" s="3">
        <v>0</v>
      </c>
      <c r="F209" s="3" t="str">
        <f>HYPERLINK("https://www.boe.es/gazeta/dias/1809/05/05/pdfs/GMD-1809-125.pdf","Abrir PDF")</f>
        <v>Abrir PDF</v>
      </c>
    </row>
    <row r="210" spans="1:6" ht="30.95" customHeight="1">
      <c r="A210" s="2" t="s">
        <v>2976</v>
      </c>
      <c r="B210" s="2" t="s">
        <v>2977</v>
      </c>
      <c r="C210" s="2" t="s">
        <v>13918</v>
      </c>
      <c r="D210" s="3">
        <v>8</v>
      </c>
      <c r="E210" s="3">
        <v>12</v>
      </c>
      <c r="F210" s="3" t="str">
        <f>HYPERLINK("https://www.boe.es/gazeta/dias/1809/05/05/pdfs/GGB-1809-24.pdf","Abrir PDF")</f>
        <v>Abrir PDF</v>
      </c>
    </row>
    <row r="211" spans="1:6" ht="30.95" customHeight="1">
      <c r="A211" s="2" t="s">
        <v>139</v>
      </c>
      <c r="B211" s="2" t="s">
        <v>140</v>
      </c>
      <c r="C211" s="2" t="s">
        <v>13919</v>
      </c>
      <c r="D211" s="3">
        <v>4</v>
      </c>
      <c r="E211" s="3">
        <v>10</v>
      </c>
      <c r="F211" s="3" t="str">
        <f>HYPERLINK("https://www.boe.es/gazeta/dias/1809/05/06/pdfs/GMD-1809-126.pdf","Abrir PDF")</f>
        <v>Abrir PDF</v>
      </c>
    </row>
    <row r="212" spans="1:6" ht="30.95" customHeight="1">
      <c r="A212" s="2" t="s">
        <v>2038</v>
      </c>
      <c r="B212" s="2" t="s">
        <v>2039</v>
      </c>
      <c r="C212" s="2" t="s">
        <v>13920</v>
      </c>
      <c r="D212" s="3">
        <v>4</v>
      </c>
      <c r="E212" s="3">
        <v>8</v>
      </c>
      <c r="F212" s="3" t="str">
        <f>HYPERLINK("https://www.boe.es/gazeta/dias/1809/05/07/pdfs/GMD-1809-127.pdf","Abrir PDF")</f>
        <v>Abrir PDF</v>
      </c>
    </row>
    <row r="213" spans="1:6" ht="30.95" customHeight="1">
      <c r="A213" s="2" t="s">
        <v>739</v>
      </c>
      <c r="B213" s="2" t="s">
        <v>740</v>
      </c>
      <c r="C213" s="2" t="s">
        <v>13921</v>
      </c>
      <c r="D213" s="3">
        <v>4</v>
      </c>
      <c r="E213" s="3">
        <v>8</v>
      </c>
      <c r="F213" s="3" t="str">
        <f>HYPERLINK("https://www.boe.es/gazeta/dias/1809/05/08/pdfs/GMD-1809-128.pdf","Abrir PDF")</f>
        <v>Abrir PDF</v>
      </c>
    </row>
    <row r="214" spans="1:6" ht="30.95" customHeight="1">
      <c r="A214" s="2" t="s">
        <v>739</v>
      </c>
      <c r="B214" s="2" t="s">
        <v>1137</v>
      </c>
      <c r="C214" s="2" t="s">
        <v>13922</v>
      </c>
      <c r="D214" s="3">
        <v>8</v>
      </c>
      <c r="E214" s="3">
        <v>7</v>
      </c>
      <c r="F214" s="3" t="str">
        <f>HYPERLINK("https://www.boe.es/gazeta/dias/1809/05/08/pdfs/GGB-1809-25.pdf","Abrir PDF")</f>
        <v>Abrir PDF</v>
      </c>
    </row>
    <row r="215" spans="1:6" ht="30.95" customHeight="1">
      <c r="A215" s="2" t="s">
        <v>739</v>
      </c>
      <c r="B215" s="2" t="s">
        <v>3666</v>
      </c>
      <c r="C215" s="2" t="s">
        <v>13923</v>
      </c>
      <c r="D215" s="3">
        <v>8</v>
      </c>
      <c r="E215" s="3">
        <v>6</v>
      </c>
      <c r="F215" s="3" t="str">
        <f>HYPERLINK("https://www.boe.es/gazeta/dias/1809/05/08/pdfs/GGB-G-1809-25.pdf","Abrir PDF")</f>
        <v>Abrir PDF</v>
      </c>
    </row>
    <row r="216" spans="1:6" ht="30.95" customHeight="1">
      <c r="A216" s="2" t="s">
        <v>1332</v>
      </c>
      <c r="B216" s="2" t="s">
        <v>1333</v>
      </c>
      <c r="C216" s="2" t="s">
        <v>13924</v>
      </c>
      <c r="D216" s="3">
        <v>4</v>
      </c>
      <c r="E216" s="3">
        <v>5</v>
      </c>
      <c r="F216" s="3" t="str">
        <f>HYPERLINK("https://www.boe.es/gazeta/dias/1809/05/09/pdfs/GMD-1809-129.pdf","Abrir PDF")</f>
        <v>Abrir PDF</v>
      </c>
    </row>
    <row r="217" spans="1:6" ht="30.95" customHeight="1">
      <c r="A217" s="2" t="s">
        <v>424</v>
      </c>
      <c r="B217" s="2" t="s">
        <v>425</v>
      </c>
      <c r="C217" s="2" t="s">
        <v>13925</v>
      </c>
      <c r="D217" s="3">
        <v>4</v>
      </c>
      <c r="E217" s="3">
        <v>4</v>
      </c>
      <c r="F217" s="3" t="str">
        <f>HYPERLINK("https://www.boe.es/gazeta/dias/1809/05/10/pdfs/GMD-1809-130.pdf","Abrir PDF")</f>
        <v>Abrir PDF</v>
      </c>
    </row>
    <row r="218" spans="1:6" ht="30.95" customHeight="1">
      <c r="A218" s="2" t="s">
        <v>2599</v>
      </c>
      <c r="B218" s="2" t="s">
        <v>2600</v>
      </c>
      <c r="C218" s="2" t="s">
        <v>13926</v>
      </c>
      <c r="D218" s="3">
        <v>4</v>
      </c>
      <c r="E218" s="3">
        <v>8</v>
      </c>
      <c r="F218" s="3" t="str">
        <f>HYPERLINK("https://www.boe.es/gazeta/dias/1809/05/11/pdfs/GMD-1809-131.pdf","Abrir PDF")</f>
        <v>Abrir PDF</v>
      </c>
    </row>
    <row r="219" spans="1:6" ht="30.95" customHeight="1">
      <c r="A219" s="2" t="s">
        <v>2599</v>
      </c>
      <c r="B219" s="2" t="s">
        <v>3377</v>
      </c>
      <c r="C219" s="2" t="s">
        <v>13927</v>
      </c>
      <c r="D219" s="3">
        <v>2</v>
      </c>
      <c r="E219" s="3">
        <v>9</v>
      </c>
      <c r="F219" s="3" t="str">
        <f>HYPERLINK("https://www.boe.es/gazeta/dias/1809/05/11/pdfs/GMD-E-1809-131.pdf","Abrir PDF")</f>
        <v>Abrir PDF</v>
      </c>
    </row>
    <row r="220" spans="1:6" ht="30.95" customHeight="1">
      <c r="A220" s="2" t="s">
        <v>27</v>
      </c>
      <c r="B220" s="2" t="s">
        <v>28</v>
      </c>
      <c r="C220" s="2" t="s">
        <v>13928</v>
      </c>
      <c r="D220" s="3">
        <v>4</v>
      </c>
      <c r="E220" s="3">
        <v>5</v>
      </c>
      <c r="F220" s="3" t="str">
        <f>HYPERLINK("https://www.boe.es/gazeta/dias/1809/05/12/pdfs/GMD-1809-132.pdf","Abrir PDF")</f>
        <v>Abrir PDF</v>
      </c>
    </row>
    <row r="221" spans="1:6" ht="30.95" customHeight="1">
      <c r="A221" s="2" t="s">
        <v>27</v>
      </c>
      <c r="B221" s="2" t="s">
        <v>254</v>
      </c>
      <c r="C221" s="2" t="s">
        <v>13929</v>
      </c>
      <c r="D221" s="3">
        <v>12</v>
      </c>
      <c r="E221" s="3">
        <v>33</v>
      </c>
      <c r="F221" s="3" t="str">
        <f>HYPERLINK("https://www.boe.es/gazeta/dias/1809/05/12/pdfs/GGB-1809-26.pdf","Abrir PDF")</f>
        <v>Abrir PDF</v>
      </c>
    </row>
    <row r="222" spans="1:6" ht="30.95" customHeight="1">
      <c r="A222" s="2" t="s">
        <v>27</v>
      </c>
      <c r="B222" s="2" t="s">
        <v>4554</v>
      </c>
      <c r="C222" s="2" t="s">
        <v>13930</v>
      </c>
      <c r="D222" s="3">
        <v>8</v>
      </c>
      <c r="E222" s="3">
        <v>7</v>
      </c>
      <c r="F222" s="3" t="str">
        <f>HYPERLINK("https://www.boe.es/gazeta/dias/1809/05/12/pdfs/GGB-G-1809-26.pdf","Abrir PDF")</f>
        <v>Abrir PDF</v>
      </c>
    </row>
    <row r="223" spans="1:6" ht="30.95" customHeight="1">
      <c r="A223" s="2" t="s">
        <v>1053</v>
      </c>
      <c r="B223" s="2" t="s">
        <v>1054</v>
      </c>
      <c r="C223" s="2" t="s">
        <v>13931</v>
      </c>
      <c r="D223" s="3">
        <v>8</v>
      </c>
      <c r="E223" s="3">
        <v>26</v>
      </c>
      <c r="F223" s="3" t="str">
        <f>HYPERLINK("https://www.boe.es/gazeta/dias/1809/05/13/pdfs/GMD-1809-133.pdf","Abrir PDF")</f>
        <v>Abrir PDF</v>
      </c>
    </row>
    <row r="224" spans="1:6" ht="30.95" customHeight="1">
      <c r="A224" s="2" t="s">
        <v>2381</v>
      </c>
      <c r="B224" s="2" t="s">
        <v>2382</v>
      </c>
      <c r="C224" s="2" t="s">
        <v>13932</v>
      </c>
      <c r="D224" s="3">
        <v>4</v>
      </c>
      <c r="E224" s="3">
        <v>5</v>
      </c>
      <c r="F224" s="3" t="str">
        <f>HYPERLINK("https://www.boe.es/gazeta/dias/1809/05/14/pdfs/GMD-1809-134.pdf","Abrir PDF")</f>
        <v>Abrir PDF</v>
      </c>
    </row>
    <row r="225" spans="1:6" ht="30.95" customHeight="1">
      <c r="A225" s="2" t="s">
        <v>289</v>
      </c>
      <c r="B225" s="2" t="s">
        <v>290</v>
      </c>
      <c r="C225" s="2" t="s">
        <v>13933</v>
      </c>
      <c r="D225" s="3">
        <v>4</v>
      </c>
      <c r="E225" s="3">
        <v>6</v>
      </c>
      <c r="F225" s="3" t="str">
        <f>HYPERLINK("https://www.boe.es/gazeta/dias/1809/05/15/pdfs/GMD-1809-135.pdf","Abrir PDF")</f>
        <v>Abrir PDF</v>
      </c>
    </row>
    <row r="226" spans="1:6" ht="30.95" customHeight="1">
      <c r="A226" s="2" t="s">
        <v>289</v>
      </c>
      <c r="B226" s="2" t="s">
        <v>3937</v>
      </c>
      <c r="C226" s="2" t="s">
        <v>13934</v>
      </c>
      <c r="D226" s="3">
        <v>12</v>
      </c>
      <c r="E226" s="3">
        <v>8</v>
      </c>
      <c r="F226" s="3" t="str">
        <f>HYPERLINK("https://www.boe.es/gazeta/dias/1809/05/15/pdfs/GGB-1809-27.pdf","Abrir PDF")</f>
        <v>Abrir PDF</v>
      </c>
    </row>
    <row r="227" spans="1:6" ht="30.95" customHeight="1">
      <c r="A227" s="2" t="s">
        <v>289</v>
      </c>
      <c r="B227" s="2" t="s">
        <v>2328</v>
      </c>
      <c r="C227" s="2" t="s">
        <v>13935</v>
      </c>
      <c r="D227" s="3">
        <v>8</v>
      </c>
      <c r="E227" s="3">
        <v>3</v>
      </c>
      <c r="F227" s="3" t="str">
        <f>HYPERLINK("https://www.boe.es/gazeta/dias/1809/05/15/pdfs/GGB-G-1809-27.pdf","Abrir PDF")</f>
        <v>Abrir PDF</v>
      </c>
    </row>
    <row r="228" spans="1:6" ht="30.95" customHeight="1">
      <c r="A228" s="2" t="s">
        <v>1648</v>
      </c>
      <c r="B228" s="2" t="s">
        <v>1649</v>
      </c>
      <c r="C228" s="2" t="s">
        <v>13936</v>
      </c>
      <c r="D228" s="3">
        <v>4</v>
      </c>
      <c r="E228" s="3">
        <v>9</v>
      </c>
      <c r="F228" s="3" t="str">
        <f>HYPERLINK("https://www.boe.es/gazeta/dias/1809/05/16/pdfs/GMD-1809-136.pdf","Abrir PDF")</f>
        <v>Abrir PDF</v>
      </c>
    </row>
    <row r="229" spans="1:6" ht="30.95" customHeight="1">
      <c r="A229" s="2" t="s">
        <v>4865</v>
      </c>
      <c r="B229" s="2" t="s">
        <v>4866</v>
      </c>
      <c r="C229" s="2" t="s">
        <v>13937</v>
      </c>
      <c r="D229" s="3">
        <v>4</v>
      </c>
      <c r="E229" s="3">
        <v>3</v>
      </c>
      <c r="F229" s="3" t="str">
        <f>HYPERLINK("https://www.boe.es/gazeta/dias/1809/05/17/pdfs/GMD-1809-137.pdf","Abrir PDF")</f>
        <v>Abrir PDF</v>
      </c>
    </row>
    <row r="230" spans="1:6" ht="30.95" customHeight="1">
      <c r="A230" s="2" t="s">
        <v>767</v>
      </c>
      <c r="B230" s="2" t="s">
        <v>768</v>
      </c>
      <c r="C230" s="2" t="s">
        <v>13938</v>
      </c>
      <c r="D230" s="3">
        <v>4</v>
      </c>
      <c r="E230" s="3">
        <v>3</v>
      </c>
      <c r="F230" s="3" t="str">
        <f>HYPERLINK("https://www.boe.es/gazeta/dias/1809/05/18/pdfs/GMD-1809-138.pdf","Abrir PDF")</f>
        <v>Abrir PDF</v>
      </c>
    </row>
    <row r="231" spans="1:6" ht="30.95" customHeight="1">
      <c r="A231" s="2" t="s">
        <v>749</v>
      </c>
      <c r="B231" s="2" t="s">
        <v>1740</v>
      </c>
      <c r="C231" s="2" t="s">
        <v>13939</v>
      </c>
      <c r="D231" s="3">
        <v>4</v>
      </c>
      <c r="E231" s="3">
        <v>4</v>
      </c>
      <c r="F231" s="3" t="str">
        <f>HYPERLINK("https://www.boe.es/gazeta/dias/1809/05/19/pdfs/GMD-1809-139.pdf","Abrir PDF")</f>
        <v>Abrir PDF</v>
      </c>
    </row>
    <row r="232" spans="1:6" ht="30.95" customHeight="1">
      <c r="A232" s="2" t="s">
        <v>749</v>
      </c>
      <c r="B232" s="2" t="s">
        <v>750</v>
      </c>
      <c r="C232" s="2" t="s">
        <v>13940</v>
      </c>
      <c r="D232" s="3">
        <v>8</v>
      </c>
      <c r="E232" s="3">
        <v>16</v>
      </c>
      <c r="F232" s="3" t="str">
        <f>HYPERLINK("https://www.boe.es/gazeta/dias/1809/05/19/pdfs/GGB-1809-29.pdf","Abrir PDF")</f>
        <v>Abrir PDF</v>
      </c>
    </row>
    <row r="233" spans="1:6" ht="30.95" customHeight="1">
      <c r="A233" s="2" t="s">
        <v>749</v>
      </c>
      <c r="B233" s="2" t="s">
        <v>11888</v>
      </c>
      <c r="C233" s="2" t="s">
        <v>13941</v>
      </c>
      <c r="D233" s="3">
        <v>1</v>
      </c>
      <c r="E233" s="3">
        <v>1</v>
      </c>
      <c r="F233" s="3" t="str">
        <f>HYPERLINK("https://www.boe.es/gazeta/dias/1809/05/19/pdfs/GGB-1809-29E.pdf","Abrir PDF")</f>
        <v>Abrir PDF</v>
      </c>
    </row>
    <row r="234" spans="1:6" ht="30.95" customHeight="1">
      <c r="A234" s="2" t="s">
        <v>755</v>
      </c>
      <c r="B234" s="2" t="s">
        <v>756</v>
      </c>
      <c r="C234" s="2" t="s">
        <v>13942</v>
      </c>
      <c r="D234" s="3">
        <v>4</v>
      </c>
      <c r="E234" s="3">
        <v>18</v>
      </c>
      <c r="F234" s="3" t="str">
        <f>HYPERLINK("https://www.boe.es/gazeta/dias/1809/05/20/pdfs/GMD-1809-140.pdf","Abrir PDF")</f>
        <v>Abrir PDF</v>
      </c>
    </row>
    <row r="235" spans="1:6" ht="30.95" customHeight="1">
      <c r="A235" s="2" t="s">
        <v>755</v>
      </c>
      <c r="B235" s="2" t="s">
        <v>2335</v>
      </c>
      <c r="C235" s="2" t="s">
        <v>13943</v>
      </c>
      <c r="D235" s="3">
        <v>8</v>
      </c>
      <c r="E235" s="3">
        <v>12</v>
      </c>
      <c r="F235" s="3" t="str">
        <f>HYPERLINK("https://www.boe.es/gazeta/dias/1809/05/20/pdfs/GGB-1809-29E2.pdf","Abrir PDF")</f>
        <v>Abrir PDF</v>
      </c>
    </row>
    <row r="236" spans="1:6" ht="30.95" customHeight="1">
      <c r="A236" s="2" t="s">
        <v>5974</v>
      </c>
      <c r="B236" s="2" t="s">
        <v>5975</v>
      </c>
      <c r="C236" s="2" t="s">
        <v>13944</v>
      </c>
      <c r="D236" s="3">
        <v>4</v>
      </c>
      <c r="E236" s="3">
        <v>5</v>
      </c>
      <c r="F236" s="3" t="str">
        <f>HYPERLINK("https://www.boe.es/gazeta/dias/1809/05/21/pdfs/GMD-1809-141.pdf","Abrir PDF")</f>
        <v>Abrir PDF</v>
      </c>
    </row>
    <row r="237" spans="1:6" ht="30.95" customHeight="1">
      <c r="A237" s="2" t="s">
        <v>92</v>
      </c>
      <c r="B237" s="2" t="s">
        <v>11754</v>
      </c>
      <c r="C237" s="2" t="s">
        <v>13945</v>
      </c>
      <c r="D237" s="3">
        <v>4</v>
      </c>
      <c r="E237" s="3">
        <v>5</v>
      </c>
      <c r="F237" s="3" t="str">
        <f>HYPERLINK("https://www.boe.es/gazeta/dias/1809/05/22/pdfs/GMD-1809-142.pdf","Abrir PDF")</f>
        <v>Abrir PDF</v>
      </c>
    </row>
    <row r="238" spans="1:6" ht="30.95" customHeight="1">
      <c r="A238" s="2" t="s">
        <v>92</v>
      </c>
      <c r="B238" s="2" t="s">
        <v>1383</v>
      </c>
      <c r="C238" s="2" t="s">
        <v>13946</v>
      </c>
      <c r="D238" s="3">
        <v>8</v>
      </c>
      <c r="E238" s="3">
        <v>17</v>
      </c>
      <c r="F238" s="3" t="str">
        <f>HYPERLINK("https://www.boe.es/gazeta/dias/1809/05/22/pdfs/GGB-1809-30.pdf","Abrir PDF")</f>
        <v>Abrir PDF</v>
      </c>
    </row>
    <row r="239" spans="1:6" ht="30.95" customHeight="1">
      <c r="A239" s="2" t="s">
        <v>92</v>
      </c>
      <c r="B239" s="2" t="s">
        <v>93</v>
      </c>
      <c r="C239" s="2" t="s">
        <v>13947</v>
      </c>
      <c r="D239" s="3">
        <v>8</v>
      </c>
      <c r="E239" s="3">
        <v>18</v>
      </c>
      <c r="F239" s="3" t="str">
        <f>HYPERLINK("https://www.boe.es/gazeta/dias/1809/05/22/pdfs/GGB-G-1809-30.pdf","Abrir PDF")</f>
        <v>Abrir PDF</v>
      </c>
    </row>
    <row r="240" spans="1:6" ht="30.95" customHeight="1">
      <c r="A240" s="2" t="s">
        <v>13948</v>
      </c>
      <c r="B240" s="2" t="s">
        <v>13949</v>
      </c>
      <c r="C240" s="2" t="s">
        <v>13950</v>
      </c>
      <c r="D240" s="3">
        <v>4</v>
      </c>
      <c r="E240" s="3">
        <v>0</v>
      </c>
      <c r="F240" s="3" t="str">
        <f>HYPERLINK("https://www.boe.es/gazeta/dias/1809/05/23/pdfs/GMD-1809-143.pdf","Abrir PDF")</f>
        <v>Abrir PDF</v>
      </c>
    </row>
    <row r="241" spans="1:6" ht="30.95" customHeight="1">
      <c r="A241" s="2" t="s">
        <v>9455</v>
      </c>
      <c r="B241" s="2" t="s">
        <v>9456</v>
      </c>
      <c r="C241" s="2" t="s">
        <v>13951</v>
      </c>
      <c r="D241" s="3">
        <v>4</v>
      </c>
      <c r="E241" s="3">
        <v>1</v>
      </c>
      <c r="F241" s="3" t="str">
        <f>HYPERLINK("https://www.boe.es/gazeta/dias/1809/05/24/pdfs/GMD-1809-144.pdf","Abrir PDF")</f>
        <v>Abrir PDF</v>
      </c>
    </row>
    <row r="242" spans="1:6" ht="30.95" customHeight="1">
      <c r="A242" s="2" t="s">
        <v>5350</v>
      </c>
      <c r="B242" s="2" t="s">
        <v>5351</v>
      </c>
      <c r="C242" s="2" t="s">
        <v>13952</v>
      </c>
      <c r="D242" s="3">
        <v>4</v>
      </c>
      <c r="E242" s="3">
        <v>13</v>
      </c>
      <c r="F242" s="3" t="str">
        <f>HYPERLINK("https://www.boe.es/gazeta/dias/1809/05/25/pdfs/GMD-1809-145.pdf","Abrir PDF")</f>
        <v>Abrir PDF</v>
      </c>
    </row>
    <row r="243" spans="1:6" ht="30.95" customHeight="1">
      <c r="A243" s="2" t="s">
        <v>299</v>
      </c>
      <c r="B243" s="2" t="s">
        <v>6928</v>
      </c>
      <c r="C243" s="2" t="s">
        <v>13953</v>
      </c>
      <c r="D243" s="3">
        <v>4</v>
      </c>
      <c r="E243" s="3">
        <v>2</v>
      </c>
      <c r="F243" s="3" t="str">
        <f>HYPERLINK("https://www.boe.es/gazeta/dias/1809/05/26/pdfs/GMD-1809-146.pdf","Abrir PDF")</f>
        <v>Abrir PDF</v>
      </c>
    </row>
    <row r="244" spans="1:6" ht="30.95" customHeight="1">
      <c r="A244" s="2" t="s">
        <v>299</v>
      </c>
      <c r="B244" s="2" t="s">
        <v>300</v>
      </c>
      <c r="C244" s="2" t="s">
        <v>13954</v>
      </c>
      <c r="D244" s="3">
        <v>12</v>
      </c>
      <c r="E244" s="3">
        <v>45</v>
      </c>
      <c r="F244" s="3" t="str">
        <f>HYPERLINK("https://www.boe.es/gazeta/dias/1809/05/26/pdfs/GGB-1809-31.pdf","Abrir PDF")</f>
        <v>Abrir PDF</v>
      </c>
    </row>
    <row r="245" spans="1:6" ht="30.95" customHeight="1">
      <c r="A245" s="2" t="s">
        <v>1352</v>
      </c>
      <c r="B245" s="2" t="s">
        <v>1353</v>
      </c>
      <c r="C245" s="2" t="s">
        <v>13955</v>
      </c>
      <c r="D245" s="3">
        <v>4</v>
      </c>
      <c r="E245" s="3">
        <v>8</v>
      </c>
      <c r="F245" s="3" t="str">
        <f>HYPERLINK("https://www.boe.es/gazeta/dias/1809/05/27/pdfs/GMD-1809-147.pdf","Abrir PDF")</f>
        <v>Abrir PDF</v>
      </c>
    </row>
    <row r="246" spans="1:6" ht="30.95" customHeight="1">
      <c r="A246" s="2" t="s">
        <v>1352</v>
      </c>
      <c r="B246" s="2" t="s">
        <v>13956</v>
      </c>
      <c r="C246" s="2" t="s">
        <v>13957</v>
      </c>
      <c r="D246" s="3">
        <v>1</v>
      </c>
      <c r="E246" s="3">
        <v>0</v>
      </c>
      <c r="F246" s="3" t="str">
        <f>HYPERLINK("https://www.boe.es/gazeta/dias/1809/05/27/pdfs/GGB-1809-31E.pdf","Abrir PDF")</f>
        <v>Abrir PDF</v>
      </c>
    </row>
    <row r="247" spans="1:6" ht="30.95" customHeight="1">
      <c r="A247" s="2" t="s">
        <v>776</v>
      </c>
      <c r="B247" s="2" t="s">
        <v>6138</v>
      </c>
      <c r="C247" s="2" t="s">
        <v>13958</v>
      </c>
      <c r="D247" s="3">
        <v>4</v>
      </c>
      <c r="E247" s="3">
        <v>5</v>
      </c>
      <c r="F247" s="3" t="str">
        <f>HYPERLINK("https://www.boe.es/gazeta/dias/1809/05/28/pdfs/GMD-1809-148.pdf","Abrir PDF")</f>
        <v>Abrir PDF</v>
      </c>
    </row>
    <row r="248" spans="1:6" ht="30.95" customHeight="1">
      <c r="A248" s="2" t="s">
        <v>776</v>
      </c>
      <c r="B248" s="2" t="s">
        <v>777</v>
      </c>
      <c r="C248" s="2" t="s">
        <v>13959</v>
      </c>
      <c r="D248" s="3">
        <v>2</v>
      </c>
      <c r="E248" s="3">
        <v>24</v>
      </c>
      <c r="F248" s="3" t="str">
        <f>HYPERLINK("https://www.boe.es/gazeta/dias/1809/05/28/pdfs/GMD-E-1809-148.pdf","Abrir PDF")</f>
        <v>Abrir PDF</v>
      </c>
    </row>
    <row r="249" spans="1:6" ht="30.95" customHeight="1">
      <c r="A249" s="2" t="s">
        <v>776</v>
      </c>
      <c r="B249" s="2" t="s">
        <v>1485</v>
      </c>
      <c r="C249" s="2" t="s">
        <v>13960</v>
      </c>
      <c r="D249" s="3">
        <v>7</v>
      </c>
      <c r="E249" s="3">
        <v>17</v>
      </c>
      <c r="F249" s="3" t="str">
        <f>HYPERLINK("https://www.boe.es/gazeta/dias/1809/05/28/pdfs/GGB-1809-31E2.pdf","Abrir PDF")</f>
        <v>Abrir PDF</v>
      </c>
    </row>
    <row r="250" spans="1:6" ht="30.95" customHeight="1">
      <c r="A250" s="2" t="s">
        <v>1678</v>
      </c>
      <c r="B250" s="2" t="s">
        <v>6697</v>
      </c>
      <c r="C250" s="2" t="s">
        <v>13961</v>
      </c>
      <c r="D250" s="3">
        <v>4</v>
      </c>
      <c r="E250" s="3">
        <v>4</v>
      </c>
      <c r="F250" s="3" t="str">
        <f>HYPERLINK("https://www.boe.es/gazeta/dias/1809/05/29/pdfs/GMD-1809-149.pdf","Abrir PDF")</f>
        <v>Abrir PDF</v>
      </c>
    </row>
    <row r="251" spans="1:6" ht="30.95" customHeight="1">
      <c r="A251" s="2" t="s">
        <v>1678</v>
      </c>
      <c r="B251" s="2" t="s">
        <v>1679</v>
      </c>
      <c r="C251" s="2" t="s">
        <v>13962</v>
      </c>
      <c r="D251" s="3">
        <v>8</v>
      </c>
      <c r="E251" s="3">
        <v>10</v>
      </c>
      <c r="F251" s="3" t="str">
        <f>HYPERLINK("https://www.boe.es/gazeta/dias/1809/05/29/pdfs/GGB-1809-32.pdf","Abrir PDF")</f>
        <v>Abrir PDF</v>
      </c>
    </row>
    <row r="252" spans="1:6" ht="30.95" customHeight="1">
      <c r="A252" s="2" t="s">
        <v>1581</v>
      </c>
      <c r="B252" s="2" t="s">
        <v>1582</v>
      </c>
      <c r="C252" s="2" t="s">
        <v>13963</v>
      </c>
      <c r="D252" s="3">
        <v>4</v>
      </c>
      <c r="E252" s="3">
        <v>8</v>
      </c>
      <c r="F252" s="3" t="str">
        <f>HYPERLINK("https://www.boe.es/gazeta/dias/1809/05/30/pdfs/GMD-1809-150.pdf","Abrir PDF")</f>
        <v>Abrir PDF</v>
      </c>
    </row>
    <row r="253" spans="1:6" ht="30.95" customHeight="1">
      <c r="A253" s="2" t="s">
        <v>1581</v>
      </c>
      <c r="B253" s="2" t="s">
        <v>3668</v>
      </c>
      <c r="C253" s="2" t="s">
        <v>13964</v>
      </c>
      <c r="D253" s="3">
        <v>4</v>
      </c>
      <c r="E253" s="3">
        <v>4</v>
      </c>
      <c r="F253" s="3" t="str">
        <f>HYPERLINK("https://www.boe.es/gazeta/dias/1809/05/30/pdfs/GGB-1809-32E.pdf","Abrir PDF")</f>
        <v>Abrir PDF</v>
      </c>
    </row>
    <row r="254" spans="1:6" ht="30.95" customHeight="1">
      <c r="A254" s="2" t="s">
        <v>1594</v>
      </c>
      <c r="B254" s="2" t="s">
        <v>1595</v>
      </c>
      <c r="C254" s="2" t="s">
        <v>13965</v>
      </c>
      <c r="D254" s="3">
        <v>4</v>
      </c>
      <c r="E254" s="3">
        <v>5</v>
      </c>
      <c r="F254" s="3" t="str">
        <f>HYPERLINK("https://www.boe.es/gazeta/dias/1809/05/31/pdfs/GMD-1809-151.pdf","Abrir PDF")</f>
        <v>Abrir PDF</v>
      </c>
    </row>
    <row r="255" spans="1:6" ht="30.95" customHeight="1">
      <c r="A255" s="2" t="s">
        <v>758</v>
      </c>
      <c r="B255" s="2" t="s">
        <v>759</v>
      </c>
      <c r="C255" s="2" t="s">
        <v>13966</v>
      </c>
      <c r="D255" s="3">
        <v>4</v>
      </c>
      <c r="E255" s="3">
        <v>12</v>
      </c>
      <c r="F255" s="3" t="str">
        <f>HYPERLINK("https://www.boe.es/gazeta/dias/1809/06/01/pdfs/GMD-1809-152.pdf","Abrir PDF")</f>
        <v>Abrir PDF</v>
      </c>
    </row>
    <row r="256" spans="1:6" ht="30.95" customHeight="1">
      <c r="A256" s="2" t="s">
        <v>761</v>
      </c>
      <c r="B256" s="2" t="s">
        <v>762</v>
      </c>
      <c r="C256" s="2" t="s">
        <v>13967</v>
      </c>
      <c r="D256" s="3">
        <v>4</v>
      </c>
      <c r="E256" s="3">
        <v>8</v>
      </c>
      <c r="F256" s="3" t="str">
        <f>HYPERLINK("https://www.boe.es/gazeta/dias/1809/06/02/pdfs/GMD-1809-153.pdf","Abrir PDF")</f>
        <v>Abrir PDF</v>
      </c>
    </row>
    <row r="257" spans="1:6" ht="30.95" customHeight="1">
      <c r="A257" s="2" t="s">
        <v>761</v>
      </c>
      <c r="B257" s="2" t="s">
        <v>1218</v>
      </c>
      <c r="C257" s="2" t="s">
        <v>13968</v>
      </c>
      <c r="D257" s="3">
        <v>12</v>
      </c>
      <c r="E257" s="3">
        <v>21</v>
      </c>
      <c r="F257" s="3" t="str">
        <f>HYPERLINK("https://www.boe.es/gazeta/dias/1809/06/02/pdfs/GGB-1809-33.pdf","Abrir PDF")</f>
        <v>Abrir PDF</v>
      </c>
    </row>
    <row r="258" spans="1:6" ht="30.95" customHeight="1">
      <c r="A258" s="2" t="s">
        <v>761</v>
      </c>
      <c r="B258" s="2" t="s">
        <v>1863</v>
      </c>
      <c r="C258" s="2" t="s">
        <v>13969</v>
      </c>
      <c r="D258" s="3">
        <v>1</v>
      </c>
      <c r="E258" s="3">
        <v>1</v>
      </c>
      <c r="F258" s="3" t="str">
        <f>HYPERLINK("https://www.boe.es/gazeta/dias/1809/06/02/pdfs/GGB-1809-33E.pdf","Abrir PDF")</f>
        <v>Abrir PDF</v>
      </c>
    </row>
    <row r="259" spans="1:6" ht="30.95" customHeight="1">
      <c r="A259" s="2" t="s">
        <v>567</v>
      </c>
      <c r="B259" s="2" t="s">
        <v>568</v>
      </c>
      <c r="C259" s="2" t="s">
        <v>13970</v>
      </c>
      <c r="D259" s="3">
        <v>4</v>
      </c>
      <c r="E259" s="3">
        <v>14</v>
      </c>
      <c r="F259" s="3" t="str">
        <f>HYPERLINK("https://www.boe.es/gazeta/dias/1809/06/03/pdfs/GMD-1809-154.pdf","Abrir PDF")</f>
        <v>Abrir PDF</v>
      </c>
    </row>
    <row r="260" spans="1:6" ht="30.95" customHeight="1">
      <c r="A260" s="2" t="s">
        <v>567</v>
      </c>
      <c r="B260" s="2" t="s">
        <v>6568</v>
      </c>
      <c r="C260" s="2" t="s">
        <v>13971</v>
      </c>
      <c r="D260" s="3">
        <v>4</v>
      </c>
      <c r="E260" s="3">
        <v>3</v>
      </c>
      <c r="F260" s="3" t="str">
        <f>HYPERLINK("https://www.boe.es/gazeta/dias/1809/06/03/pdfs/GGB-1809-33E2.pdf","Abrir PDF")</f>
        <v>Abrir PDF</v>
      </c>
    </row>
    <row r="261" spans="1:6" ht="30.95" customHeight="1">
      <c r="A261" s="2" t="s">
        <v>567</v>
      </c>
      <c r="B261" s="2" t="s">
        <v>13972</v>
      </c>
      <c r="C261" s="2" t="s">
        <v>13973</v>
      </c>
      <c r="D261" s="3">
        <v>1</v>
      </c>
      <c r="E261" s="3">
        <v>0</v>
      </c>
      <c r="F261" s="3" t="str">
        <f>HYPERLINK("https://www.boe.es/gazeta/dias/1809/06/03/pdfs/GGB-1809-33E3.pdf","Abrir PDF")</f>
        <v>Abrir PDF</v>
      </c>
    </row>
    <row r="262" spans="1:6" ht="30.95" customHeight="1">
      <c r="A262" s="2" t="s">
        <v>232</v>
      </c>
      <c r="B262" s="2" t="s">
        <v>233</v>
      </c>
      <c r="C262" s="2" t="s">
        <v>13974</v>
      </c>
      <c r="D262" s="3">
        <v>4</v>
      </c>
      <c r="E262" s="3">
        <v>10</v>
      </c>
      <c r="F262" s="3" t="str">
        <f>HYPERLINK("https://www.boe.es/gazeta/dias/1809/06/04/pdfs/GMD-1809-155.pdf","Abrir PDF")</f>
        <v>Abrir PDF</v>
      </c>
    </row>
    <row r="263" spans="1:6" ht="30.95" customHeight="1">
      <c r="A263" s="2" t="s">
        <v>268</v>
      </c>
      <c r="B263" s="2" t="s">
        <v>269</v>
      </c>
      <c r="C263" s="2" t="s">
        <v>13975</v>
      </c>
      <c r="D263" s="3">
        <v>4</v>
      </c>
      <c r="E263" s="3">
        <v>4</v>
      </c>
      <c r="F263" s="3" t="str">
        <f>HYPERLINK("https://www.boe.es/gazeta/dias/1809/06/05/pdfs/GMD-1809-156.pdf","Abrir PDF")</f>
        <v>Abrir PDF</v>
      </c>
    </row>
    <row r="264" spans="1:6" ht="30.95" customHeight="1">
      <c r="A264" s="2" t="s">
        <v>268</v>
      </c>
      <c r="B264" s="2" t="s">
        <v>2768</v>
      </c>
      <c r="C264" s="2" t="s">
        <v>13976</v>
      </c>
      <c r="D264" s="3">
        <v>8</v>
      </c>
      <c r="E264" s="3">
        <v>6</v>
      </c>
      <c r="F264" s="3" t="str">
        <f>HYPERLINK("https://www.boe.es/gazeta/dias/1809/06/05/pdfs/GGB-1809-34.pdf","Abrir PDF")</f>
        <v>Abrir PDF</v>
      </c>
    </row>
    <row r="265" spans="1:6" ht="30.95" customHeight="1">
      <c r="A265" s="2" t="s">
        <v>268</v>
      </c>
      <c r="B265" s="2" t="s">
        <v>4428</v>
      </c>
      <c r="C265" s="2" t="s">
        <v>13977</v>
      </c>
      <c r="D265" s="3">
        <v>1</v>
      </c>
      <c r="E265" s="3">
        <v>1</v>
      </c>
      <c r="F265" s="3" t="str">
        <f>HYPERLINK("https://www.boe.es/gazeta/dias/1809/06/05/pdfs/GGB-1809-34E.pdf","Abrir PDF")</f>
        <v>Abrir PDF</v>
      </c>
    </row>
    <row r="266" spans="1:6" ht="30.95" customHeight="1">
      <c r="A266" s="2" t="s">
        <v>3051</v>
      </c>
      <c r="B266" s="2" t="s">
        <v>3052</v>
      </c>
      <c r="C266" s="2" t="s">
        <v>13978</v>
      </c>
      <c r="D266" s="3">
        <v>4</v>
      </c>
      <c r="E266" s="3">
        <v>6</v>
      </c>
      <c r="F266" s="3" t="str">
        <f>HYPERLINK("https://www.boe.es/gazeta/dias/1809/06/06/pdfs/GMD-1809-157.pdf","Abrir PDF")</f>
        <v>Abrir PDF</v>
      </c>
    </row>
    <row r="267" spans="1:6" ht="30.95" customHeight="1">
      <c r="A267" s="2" t="s">
        <v>134</v>
      </c>
      <c r="B267" s="2" t="s">
        <v>135</v>
      </c>
      <c r="C267" s="2" t="s">
        <v>13979</v>
      </c>
      <c r="D267" s="3">
        <v>4</v>
      </c>
      <c r="E267" s="3">
        <v>13</v>
      </c>
      <c r="F267" s="3" t="str">
        <f>HYPERLINK("https://www.boe.es/gazeta/dias/1809/06/07/pdfs/GMD-1809-158.pdf","Abrir PDF")</f>
        <v>Abrir PDF</v>
      </c>
    </row>
    <row r="268" spans="1:6" ht="30.95" customHeight="1">
      <c r="A268" s="2" t="s">
        <v>2249</v>
      </c>
      <c r="B268" s="2" t="s">
        <v>2250</v>
      </c>
      <c r="C268" s="2" t="s">
        <v>13980</v>
      </c>
      <c r="D268" s="3">
        <v>4</v>
      </c>
      <c r="E268" s="3">
        <v>11</v>
      </c>
      <c r="F268" s="3" t="str">
        <f>HYPERLINK("https://www.boe.es/gazeta/dias/1809/06/08/pdfs/GMD-1809-159.pdf","Abrir PDF")</f>
        <v>Abrir PDF</v>
      </c>
    </row>
    <row r="269" spans="1:6" ht="30.95" customHeight="1">
      <c r="A269" s="2" t="s">
        <v>429</v>
      </c>
      <c r="B269" s="2" t="s">
        <v>1544</v>
      </c>
      <c r="C269" s="2" t="s">
        <v>13981</v>
      </c>
      <c r="D269" s="3">
        <v>4</v>
      </c>
      <c r="E269" s="3">
        <v>11</v>
      </c>
      <c r="F269" s="3" t="str">
        <f>HYPERLINK("https://www.boe.es/gazeta/dias/1809/06/09/pdfs/GMD-1809-160.pdf","Abrir PDF")</f>
        <v>Abrir PDF</v>
      </c>
    </row>
    <row r="270" spans="1:6" ht="30.95" customHeight="1">
      <c r="A270" s="2" t="s">
        <v>429</v>
      </c>
      <c r="B270" s="2" t="s">
        <v>430</v>
      </c>
      <c r="C270" s="2" t="s">
        <v>13982</v>
      </c>
      <c r="D270" s="3">
        <v>8</v>
      </c>
      <c r="E270" s="3">
        <v>7</v>
      </c>
      <c r="F270" s="3" t="str">
        <f>HYPERLINK("https://www.boe.es/gazeta/dias/1809/06/09/pdfs/GGB-1809-35.pdf","Abrir PDF")</f>
        <v>Abrir PDF</v>
      </c>
    </row>
    <row r="271" spans="1:6" ht="30.95" customHeight="1">
      <c r="A271" s="2" t="s">
        <v>1891</v>
      </c>
      <c r="B271" s="2" t="s">
        <v>6410</v>
      </c>
      <c r="C271" s="2" t="s">
        <v>13983</v>
      </c>
      <c r="D271" s="3">
        <v>4</v>
      </c>
      <c r="E271" s="3">
        <v>4</v>
      </c>
      <c r="F271" s="3" t="str">
        <f>HYPERLINK("https://www.boe.es/gazeta/dias/1809/06/10/pdfs/GMD-1809-161.pdf","Abrir PDF")</f>
        <v>Abrir PDF</v>
      </c>
    </row>
    <row r="272" spans="1:6" ht="30.95" customHeight="1">
      <c r="A272" s="2" t="s">
        <v>1891</v>
      </c>
      <c r="B272" s="2" t="s">
        <v>1892</v>
      </c>
      <c r="C272" s="2" t="s">
        <v>13984</v>
      </c>
      <c r="D272" s="3">
        <v>8</v>
      </c>
      <c r="E272" s="3">
        <v>5</v>
      </c>
      <c r="F272" s="3" t="str">
        <f>HYPERLINK("https://www.boe.es/gazeta/dias/1809/06/10/pdfs/GGB-1809-35E.pdf","Abrir PDF")</f>
        <v>Abrir PDF</v>
      </c>
    </row>
    <row r="273" spans="1:6" ht="30.95" customHeight="1">
      <c r="A273" s="2" t="s">
        <v>2388</v>
      </c>
      <c r="B273" s="2" t="s">
        <v>2389</v>
      </c>
      <c r="C273" s="2" t="s">
        <v>13985</v>
      </c>
      <c r="D273" s="3">
        <v>4</v>
      </c>
      <c r="E273" s="3">
        <v>3</v>
      </c>
      <c r="F273" s="3" t="str">
        <f>HYPERLINK("https://www.boe.es/gazeta/dias/1809/06/11/pdfs/GMD-1809-162.pdf","Abrir PDF")</f>
        <v>Abrir PDF</v>
      </c>
    </row>
    <row r="274" spans="1:6" ht="30.95" customHeight="1">
      <c r="A274" s="2" t="s">
        <v>1551</v>
      </c>
      <c r="B274" s="2" t="s">
        <v>9469</v>
      </c>
      <c r="C274" s="2" t="s">
        <v>13986</v>
      </c>
      <c r="D274" s="3">
        <v>4</v>
      </c>
      <c r="E274" s="3">
        <v>2</v>
      </c>
      <c r="F274" s="3" t="str">
        <f>HYPERLINK("https://www.boe.es/gazeta/dias/1809/06/12/pdfs/GMD-1809-163.pdf","Abrir PDF")</f>
        <v>Abrir PDF</v>
      </c>
    </row>
    <row r="275" spans="1:6" ht="30.95" customHeight="1">
      <c r="A275" s="2" t="s">
        <v>1551</v>
      </c>
      <c r="B275" s="2" t="s">
        <v>1552</v>
      </c>
      <c r="C275" s="2" t="s">
        <v>13987</v>
      </c>
      <c r="D275" s="3">
        <v>12</v>
      </c>
      <c r="E275" s="3">
        <v>22</v>
      </c>
      <c r="F275" s="3" t="str">
        <f>HYPERLINK("https://www.boe.es/gazeta/dias/1809/06/12/pdfs/GGB-1809-36.pdf","Abrir PDF")</f>
        <v>Abrir PDF</v>
      </c>
    </row>
    <row r="276" spans="1:6" ht="30.95" customHeight="1">
      <c r="A276" s="2" t="s">
        <v>4946</v>
      </c>
      <c r="B276" s="2" t="s">
        <v>4947</v>
      </c>
      <c r="C276" s="2" t="s">
        <v>13988</v>
      </c>
      <c r="D276" s="3">
        <v>4</v>
      </c>
      <c r="E276" s="3">
        <v>4</v>
      </c>
      <c r="F276" s="3" t="str">
        <f>HYPERLINK("https://www.boe.es/gazeta/dias/1809/06/13/pdfs/GMD-1809-164.pdf","Abrir PDF")</f>
        <v>Abrir PDF</v>
      </c>
    </row>
    <row r="277" spans="1:6" ht="30.95" customHeight="1">
      <c r="A277" s="2" t="s">
        <v>7192</v>
      </c>
      <c r="B277" s="2" t="s">
        <v>7193</v>
      </c>
      <c r="C277" s="2" t="s">
        <v>13989</v>
      </c>
      <c r="D277" s="3">
        <v>4</v>
      </c>
      <c r="E277" s="3">
        <v>3</v>
      </c>
      <c r="F277" s="3" t="str">
        <f>HYPERLINK("https://www.boe.es/gazeta/dias/1809/06/14/pdfs/GMD-1809-165.pdf","Abrir PDF")</f>
        <v>Abrir PDF</v>
      </c>
    </row>
    <row r="278" spans="1:6" ht="30.95" customHeight="1">
      <c r="A278" s="2" t="s">
        <v>482</v>
      </c>
      <c r="B278" s="2" t="s">
        <v>483</v>
      </c>
      <c r="C278" s="2" t="s">
        <v>13990</v>
      </c>
      <c r="D278" s="3">
        <v>4</v>
      </c>
      <c r="E278" s="3">
        <v>8</v>
      </c>
      <c r="F278" s="3" t="str">
        <f>HYPERLINK("https://www.boe.es/gazeta/dias/1809/06/15/pdfs/GMD-1809-166.pdf","Abrir PDF")</f>
        <v>Abrir PDF</v>
      </c>
    </row>
    <row r="279" spans="1:6" ht="30.95" customHeight="1">
      <c r="A279" s="2" t="s">
        <v>2595</v>
      </c>
      <c r="B279" s="2" t="s">
        <v>2596</v>
      </c>
      <c r="C279" s="2" t="s">
        <v>13991</v>
      </c>
      <c r="D279" s="3">
        <v>4</v>
      </c>
      <c r="E279" s="3">
        <v>11</v>
      </c>
      <c r="F279" s="3" t="str">
        <f>HYPERLINK("https://www.boe.es/gazeta/dias/1809/06/16/pdfs/GMD-1809-167.pdf","Abrir PDF")</f>
        <v>Abrir PDF</v>
      </c>
    </row>
    <row r="280" spans="1:6" ht="30.95" customHeight="1">
      <c r="A280" s="2" t="s">
        <v>2595</v>
      </c>
      <c r="B280" s="2" t="s">
        <v>6932</v>
      </c>
      <c r="C280" s="2" t="s">
        <v>13992</v>
      </c>
      <c r="D280" s="3">
        <v>12</v>
      </c>
      <c r="E280" s="3">
        <v>5</v>
      </c>
      <c r="F280" s="3" t="str">
        <f>HYPERLINK("https://www.boe.es/gazeta/dias/1809/06/16/pdfs/GGB-1809-37.pdf","Abrir PDF")</f>
        <v>Abrir PDF</v>
      </c>
    </row>
    <row r="281" spans="1:6" ht="30.95" customHeight="1">
      <c r="A281" s="2" t="s">
        <v>1156</v>
      </c>
      <c r="B281" s="2" t="s">
        <v>1157</v>
      </c>
      <c r="C281" s="2" t="s">
        <v>13993</v>
      </c>
      <c r="D281" s="3">
        <v>4</v>
      </c>
      <c r="E281" s="3">
        <v>5</v>
      </c>
      <c r="F281" s="3" t="str">
        <f>HYPERLINK("https://www.boe.es/gazeta/dias/1809/06/17/pdfs/GMD-1809-168.pdf","Abrir PDF")</f>
        <v>Abrir PDF</v>
      </c>
    </row>
    <row r="282" spans="1:6" ht="30.95" customHeight="1">
      <c r="A282" s="2" t="s">
        <v>1502</v>
      </c>
      <c r="B282" s="2" t="s">
        <v>1503</v>
      </c>
      <c r="C282" s="2" t="s">
        <v>13994</v>
      </c>
      <c r="D282" s="3">
        <v>4</v>
      </c>
      <c r="E282" s="3">
        <v>7</v>
      </c>
      <c r="F282" s="3" t="str">
        <f>HYPERLINK("https://www.boe.es/gazeta/dias/1809/06/18/pdfs/GMD-1809-169.pdf","Abrir PDF")</f>
        <v>Abrir PDF</v>
      </c>
    </row>
    <row r="283" spans="1:6" ht="30.95" customHeight="1">
      <c r="A283" s="2" t="s">
        <v>167</v>
      </c>
      <c r="B283" s="2" t="s">
        <v>9475</v>
      </c>
      <c r="C283" s="2" t="s">
        <v>13995</v>
      </c>
      <c r="D283" s="3">
        <v>4</v>
      </c>
      <c r="E283" s="3">
        <v>1</v>
      </c>
      <c r="F283" s="3" t="str">
        <f>HYPERLINK("https://www.boe.es/gazeta/dias/1809/06/19/pdfs/GMD-1809-170.pdf","Abrir PDF")</f>
        <v>Abrir PDF</v>
      </c>
    </row>
    <row r="284" spans="1:6" ht="30.95" customHeight="1">
      <c r="A284" s="2" t="s">
        <v>167</v>
      </c>
      <c r="B284" s="2" t="s">
        <v>168</v>
      </c>
      <c r="C284" s="2" t="s">
        <v>13996</v>
      </c>
      <c r="D284" s="3">
        <v>12</v>
      </c>
      <c r="E284" s="3">
        <v>18</v>
      </c>
      <c r="F284" s="3" t="str">
        <f>HYPERLINK("https://www.boe.es/gazeta/dias/1809/06/19/pdfs/GGB-1809-38.pdf","Abrir PDF")</f>
        <v>Abrir PDF</v>
      </c>
    </row>
    <row r="285" spans="1:6" ht="30.95" customHeight="1">
      <c r="A285" s="2" t="s">
        <v>167</v>
      </c>
      <c r="B285" s="2" t="s">
        <v>11989</v>
      </c>
      <c r="C285" s="2" t="s">
        <v>13997</v>
      </c>
      <c r="D285" s="3">
        <v>1</v>
      </c>
      <c r="E285" s="3">
        <v>1</v>
      </c>
      <c r="F285" s="3" t="str">
        <f>HYPERLINK("https://www.boe.es/gazeta/dias/1809/06/19/pdfs/GGB-1809-38E.pdf","Abrir PDF")</f>
        <v>Abrir PDF</v>
      </c>
    </row>
    <row r="286" spans="1:6" ht="30.95" customHeight="1">
      <c r="A286" s="2" t="s">
        <v>1110</v>
      </c>
      <c r="B286" s="2" t="s">
        <v>1111</v>
      </c>
      <c r="C286" s="2" t="s">
        <v>13998</v>
      </c>
      <c r="D286" s="3">
        <v>4</v>
      </c>
      <c r="E286" s="3">
        <v>6</v>
      </c>
      <c r="F286" s="3" t="str">
        <f>HYPERLINK("https://www.boe.es/gazeta/dias/1809/06/20/pdfs/GMD-1809-171.pdf","Abrir PDF")</f>
        <v>Abrir PDF</v>
      </c>
    </row>
    <row r="287" spans="1:6" ht="30.95" customHeight="1">
      <c r="A287" s="2" t="s">
        <v>1110</v>
      </c>
      <c r="B287" s="2" t="s">
        <v>1532</v>
      </c>
      <c r="C287" s="2" t="s">
        <v>13999</v>
      </c>
      <c r="D287" s="3">
        <v>4</v>
      </c>
      <c r="E287" s="3">
        <v>5</v>
      </c>
      <c r="F287" s="3" t="str">
        <f>HYPERLINK("https://www.boe.es/gazeta/dias/1809/06/20/pdfs/GGB-1809-38E2.pdf","Abrir PDF")</f>
        <v>Abrir PDF</v>
      </c>
    </row>
    <row r="288" spans="1:6" ht="30.95" customHeight="1">
      <c r="A288" s="2" t="s">
        <v>508</v>
      </c>
      <c r="B288" s="2" t="s">
        <v>509</v>
      </c>
      <c r="C288" s="2" t="s">
        <v>14000</v>
      </c>
      <c r="D288" s="3">
        <v>4</v>
      </c>
      <c r="E288" s="3">
        <v>18</v>
      </c>
      <c r="F288" s="3" t="str">
        <f>HYPERLINK("https://www.boe.es/gazeta/dias/1809/06/21/pdfs/GMD-1809-172.pdf","Abrir PDF")</f>
        <v>Abrir PDF</v>
      </c>
    </row>
    <row r="289" spans="1:6" ht="30.95" customHeight="1">
      <c r="A289" s="2" t="s">
        <v>5145</v>
      </c>
      <c r="B289" s="2" t="s">
        <v>5146</v>
      </c>
      <c r="C289" s="2" t="s">
        <v>14001</v>
      </c>
      <c r="D289" s="3">
        <v>4</v>
      </c>
      <c r="E289" s="3">
        <v>8</v>
      </c>
      <c r="F289" s="3" t="str">
        <f>HYPERLINK("https://www.boe.es/gazeta/dias/1809/06/22/pdfs/GMD-1809-173.pdf","Abrir PDF")</f>
        <v>Abrir PDF</v>
      </c>
    </row>
    <row r="290" spans="1:6" ht="30.95" customHeight="1">
      <c r="A290" s="2" t="s">
        <v>730</v>
      </c>
      <c r="B290" s="2" t="s">
        <v>731</v>
      </c>
      <c r="C290" s="2" t="s">
        <v>14002</v>
      </c>
      <c r="D290" s="3">
        <v>4</v>
      </c>
      <c r="E290" s="3">
        <v>8</v>
      </c>
      <c r="F290" s="3" t="str">
        <f>HYPERLINK("https://www.boe.es/gazeta/dias/1809/06/23/pdfs/GMD-1809-174.pdf","Abrir PDF")</f>
        <v>Abrir PDF</v>
      </c>
    </row>
    <row r="291" spans="1:6" ht="30.95" customHeight="1">
      <c r="A291" s="2" t="s">
        <v>730</v>
      </c>
      <c r="B291" s="2" t="s">
        <v>3423</v>
      </c>
      <c r="C291" s="2" t="s">
        <v>14003</v>
      </c>
      <c r="D291" s="3">
        <v>12</v>
      </c>
      <c r="E291" s="3">
        <v>12</v>
      </c>
      <c r="F291" s="3" t="str">
        <f>HYPERLINK("https://www.boe.es/gazeta/dias/1809/06/23/pdfs/GGB-1809-39.pdf","Abrir PDF")</f>
        <v>Abrir PDF</v>
      </c>
    </row>
    <row r="292" spans="1:6" ht="30.95" customHeight="1">
      <c r="A292" s="2" t="s">
        <v>2742</v>
      </c>
      <c r="B292" s="2" t="s">
        <v>2743</v>
      </c>
      <c r="C292" s="2" t="s">
        <v>14004</v>
      </c>
      <c r="D292" s="3">
        <v>4</v>
      </c>
      <c r="E292" s="3">
        <v>6</v>
      </c>
      <c r="F292" s="3" t="str">
        <f>HYPERLINK("https://www.boe.es/gazeta/dias/1809/06/24/pdfs/GMD-1809-175.pdf","Abrir PDF")</f>
        <v>Abrir PDF</v>
      </c>
    </row>
    <row r="293" spans="1:6" ht="30.95" customHeight="1">
      <c r="A293" s="2" t="s">
        <v>2888</v>
      </c>
      <c r="B293" s="2" t="s">
        <v>2889</v>
      </c>
      <c r="C293" s="2" t="s">
        <v>14005</v>
      </c>
      <c r="D293" s="3">
        <v>4</v>
      </c>
      <c r="E293" s="3">
        <v>6</v>
      </c>
      <c r="F293" s="3" t="str">
        <f>HYPERLINK("https://www.boe.es/gazeta/dias/1809/06/25/pdfs/GMD-1809-176.pdf","Abrir PDF")</f>
        <v>Abrir PDF</v>
      </c>
    </row>
    <row r="294" spans="1:6" ht="30.95" customHeight="1">
      <c r="A294" s="2" t="s">
        <v>1282</v>
      </c>
      <c r="B294" s="2" t="s">
        <v>1743</v>
      </c>
      <c r="C294" s="2" t="s">
        <v>14006</v>
      </c>
      <c r="D294" s="3">
        <v>4</v>
      </c>
      <c r="E294" s="3">
        <v>21</v>
      </c>
      <c r="F294" s="3" t="str">
        <f>HYPERLINK("https://www.boe.es/gazeta/dias/1809/06/26/pdfs/GMD-1809-177.pdf","Abrir PDF")</f>
        <v>Abrir PDF</v>
      </c>
    </row>
    <row r="295" spans="1:6" ht="30.95" customHeight="1">
      <c r="A295" s="2" t="s">
        <v>1282</v>
      </c>
      <c r="B295" s="2" t="s">
        <v>1283</v>
      </c>
      <c r="C295" s="2" t="s">
        <v>14007</v>
      </c>
      <c r="D295" s="3">
        <v>12</v>
      </c>
      <c r="E295" s="3">
        <v>10</v>
      </c>
      <c r="F295" s="3" t="str">
        <f>HYPERLINK("https://www.boe.es/gazeta/dias/1809/06/26/pdfs/GGB-1809-40.pdf","Abrir PDF")</f>
        <v>Abrir PDF</v>
      </c>
    </row>
    <row r="296" spans="1:6" ht="30.95" customHeight="1">
      <c r="A296" s="2" t="s">
        <v>381</v>
      </c>
      <c r="B296" s="2" t="s">
        <v>382</v>
      </c>
      <c r="C296" s="2" t="s">
        <v>14008</v>
      </c>
      <c r="D296" s="3">
        <v>4</v>
      </c>
      <c r="E296" s="3">
        <v>16</v>
      </c>
      <c r="F296" s="3" t="str">
        <f>HYPERLINK("https://www.boe.es/gazeta/dias/1809/06/27/pdfs/GMD-1809-178.pdf","Abrir PDF")</f>
        <v>Abrir PDF</v>
      </c>
    </row>
    <row r="297" spans="1:6" ht="30.95" customHeight="1">
      <c r="A297" s="2" t="s">
        <v>1489</v>
      </c>
      <c r="B297" s="2" t="s">
        <v>1490</v>
      </c>
      <c r="C297" s="2" t="s">
        <v>14009</v>
      </c>
      <c r="D297" s="3">
        <v>4</v>
      </c>
      <c r="E297" s="3">
        <v>4</v>
      </c>
      <c r="F297" s="3" t="str">
        <f>HYPERLINK("https://www.boe.es/gazeta/dias/1809/06/28/pdfs/GMD-1809-179.pdf","Abrir PDF")</f>
        <v>Abrir PDF</v>
      </c>
    </row>
    <row r="298" spans="1:6" ht="30.95" customHeight="1">
      <c r="A298" s="2" t="s">
        <v>1555</v>
      </c>
      <c r="B298" s="2" t="s">
        <v>1556</v>
      </c>
      <c r="C298" s="2" t="s">
        <v>14010</v>
      </c>
      <c r="D298" s="3">
        <v>4</v>
      </c>
      <c r="E298" s="3">
        <v>8</v>
      </c>
      <c r="F298" s="3" t="str">
        <f>HYPERLINK("https://www.boe.es/gazeta/dias/1809/06/29/pdfs/GMD-1809-180.pdf","Abrir PDF")</f>
        <v>Abrir PDF</v>
      </c>
    </row>
    <row r="299" spans="1:6" ht="30.95" customHeight="1">
      <c r="A299" s="2" t="s">
        <v>1126</v>
      </c>
      <c r="B299" s="2" t="s">
        <v>1127</v>
      </c>
      <c r="C299" s="2" t="s">
        <v>14011</v>
      </c>
      <c r="D299" s="3">
        <v>4</v>
      </c>
      <c r="E299" s="3">
        <v>6</v>
      </c>
      <c r="F299" s="3" t="str">
        <f>HYPERLINK("https://www.boe.es/gazeta/dias/1809/06/30/pdfs/GMD-1809-181.pdf","Abrir PDF")</f>
        <v>Abrir PDF</v>
      </c>
    </row>
    <row r="300" spans="1:6" ht="30.95" customHeight="1">
      <c r="A300" s="2" t="s">
        <v>1126</v>
      </c>
      <c r="B300" s="2" t="s">
        <v>1444</v>
      </c>
      <c r="C300" s="2" t="s">
        <v>14012</v>
      </c>
      <c r="D300" s="3">
        <v>12</v>
      </c>
      <c r="E300" s="3">
        <v>9</v>
      </c>
      <c r="F300" s="3" t="str">
        <f>HYPERLINK("https://www.boe.es/gazeta/dias/1809/06/30/pdfs/GGB-1809-41.pdf","Abrir PDF")</f>
        <v>Abrir PDF</v>
      </c>
    </row>
    <row r="301" spans="1:6" ht="30.95" customHeight="1">
      <c r="A301" s="2" t="s">
        <v>1285</v>
      </c>
      <c r="B301" s="2" t="s">
        <v>1286</v>
      </c>
      <c r="C301" s="2" t="s">
        <v>14013</v>
      </c>
      <c r="D301" s="3">
        <v>4</v>
      </c>
      <c r="E301" s="3">
        <v>13</v>
      </c>
      <c r="F301" s="3" t="str">
        <f>HYPERLINK("https://www.boe.es/gazeta/dias/1809/07/01/pdfs/GMD-1809-182.pdf","Abrir PDF")</f>
        <v>Abrir PDF</v>
      </c>
    </row>
    <row r="302" spans="1:6" ht="30.95" customHeight="1">
      <c r="A302" s="2" t="s">
        <v>5009</v>
      </c>
      <c r="B302" s="2" t="s">
        <v>5010</v>
      </c>
      <c r="C302" s="2" t="s">
        <v>14014</v>
      </c>
      <c r="D302" s="3">
        <v>4</v>
      </c>
      <c r="E302" s="3">
        <v>4</v>
      </c>
      <c r="F302" s="3" t="str">
        <f>HYPERLINK("https://www.boe.es/gazeta/dias/1809/07/02/pdfs/GMD-1809-183.pdf","Abrir PDF")</f>
        <v>Abrir PDF</v>
      </c>
    </row>
    <row r="303" spans="1:6" ht="30.95" customHeight="1">
      <c r="A303" s="2" t="s">
        <v>1560</v>
      </c>
      <c r="B303" s="2" t="s">
        <v>1561</v>
      </c>
      <c r="C303" s="2" t="s">
        <v>14015</v>
      </c>
      <c r="D303" s="3">
        <v>4</v>
      </c>
      <c r="E303" s="3">
        <v>9</v>
      </c>
      <c r="F303" s="3" t="str">
        <f>HYPERLINK("https://www.boe.es/gazeta/dias/1809/07/03/pdfs/GMD-1809-184.pdf","Abrir PDF")</f>
        <v>Abrir PDF</v>
      </c>
    </row>
    <row r="304" spans="1:6" ht="30.95" customHeight="1">
      <c r="A304" s="2" t="s">
        <v>1560</v>
      </c>
      <c r="B304" s="2" t="s">
        <v>3091</v>
      </c>
      <c r="C304" s="2" t="s">
        <v>14016</v>
      </c>
      <c r="D304" s="3">
        <v>4</v>
      </c>
      <c r="E304" s="3">
        <v>1</v>
      </c>
      <c r="F304" s="3" t="str">
        <f>HYPERLINK("https://www.boe.es/gazeta/dias/1809/07/03/pdfs/GGB-1809-41E.pdf","Abrir PDF")</f>
        <v>Abrir PDF</v>
      </c>
    </row>
    <row r="305" spans="1:6" ht="30.95" customHeight="1">
      <c r="A305" s="2" t="s">
        <v>621</v>
      </c>
      <c r="B305" s="2" t="s">
        <v>913</v>
      </c>
      <c r="C305" s="2" t="s">
        <v>14017</v>
      </c>
      <c r="D305" s="3">
        <v>4</v>
      </c>
      <c r="E305" s="3">
        <v>20</v>
      </c>
      <c r="F305" s="3" t="str">
        <f>HYPERLINK("https://www.boe.es/gazeta/dias/1809/07/04/pdfs/GMD-1809-185.pdf","Abrir PDF")</f>
        <v>Abrir PDF</v>
      </c>
    </row>
    <row r="306" spans="1:6" ht="30.95" customHeight="1">
      <c r="A306" s="2" t="s">
        <v>621</v>
      </c>
      <c r="B306" s="2" t="s">
        <v>622</v>
      </c>
      <c r="C306" s="2" t="s">
        <v>14018</v>
      </c>
      <c r="D306" s="3">
        <v>8</v>
      </c>
      <c r="E306" s="3">
        <v>17</v>
      </c>
      <c r="F306" s="3" t="str">
        <f>HYPERLINK("https://www.boe.es/gazeta/dias/1809/07/04/pdfs/GGB-1809-42.pdf","Abrir PDF")</f>
        <v>Abrir PDF</v>
      </c>
    </row>
    <row r="307" spans="1:6" ht="30.95" customHeight="1">
      <c r="A307" s="2" t="s">
        <v>464</v>
      </c>
      <c r="B307" s="2" t="s">
        <v>465</v>
      </c>
      <c r="C307" s="2" t="s">
        <v>14019</v>
      </c>
      <c r="D307" s="3">
        <v>4</v>
      </c>
      <c r="E307" s="3">
        <v>14</v>
      </c>
      <c r="F307" s="3" t="str">
        <f>HYPERLINK("https://www.boe.es/gazeta/dias/1809/07/05/pdfs/GMD-1809-186.pdf","Abrir PDF")</f>
        <v>Abrir PDF</v>
      </c>
    </row>
    <row r="308" spans="1:6" ht="30.95" customHeight="1">
      <c r="A308" s="2" t="s">
        <v>512</v>
      </c>
      <c r="B308" s="2" t="s">
        <v>513</v>
      </c>
      <c r="C308" s="2" t="s">
        <v>14020</v>
      </c>
      <c r="D308" s="3">
        <v>4</v>
      </c>
      <c r="E308" s="3">
        <v>7</v>
      </c>
      <c r="F308" s="3" t="str">
        <f>HYPERLINK("https://www.boe.es/gazeta/dias/1809/07/06/pdfs/GMD-1809-187.pdf","Abrir PDF")</f>
        <v>Abrir PDF</v>
      </c>
    </row>
    <row r="309" spans="1:6" ht="30.95" customHeight="1">
      <c r="A309" s="2" t="s">
        <v>904</v>
      </c>
      <c r="B309" s="2" t="s">
        <v>2393</v>
      </c>
      <c r="C309" s="2" t="s">
        <v>14021</v>
      </c>
      <c r="D309" s="3">
        <v>4</v>
      </c>
      <c r="E309" s="3">
        <v>7</v>
      </c>
      <c r="F309" s="3" t="str">
        <f>HYPERLINK("https://www.boe.es/gazeta/dias/1809/07/07/pdfs/GMD-1809-188.pdf","Abrir PDF")</f>
        <v>Abrir PDF</v>
      </c>
    </row>
    <row r="310" spans="1:6" ht="30.95" customHeight="1">
      <c r="A310" s="2" t="s">
        <v>904</v>
      </c>
      <c r="B310" s="2" t="s">
        <v>905</v>
      </c>
      <c r="C310" s="2" t="s">
        <v>14022</v>
      </c>
      <c r="D310" s="3">
        <v>12</v>
      </c>
      <c r="E310" s="3">
        <v>23</v>
      </c>
      <c r="F310" s="3" t="str">
        <f>HYPERLINK("https://www.boe.es/gazeta/dias/1809/07/07/pdfs/GGB-1809-43.pdf","Abrir PDF")</f>
        <v>Abrir PDF</v>
      </c>
    </row>
    <row r="311" spans="1:6" ht="30.95" customHeight="1">
      <c r="A311" s="2" t="s">
        <v>904</v>
      </c>
      <c r="B311" s="2" t="s">
        <v>2324</v>
      </c>
      <c r="C311" s="2" t="s">
        <v>14023</v>
      </c>
      <c r="D311" s="3">
        <v>4</v>
      </c>
      <c r="E311" s="3">
        <v>5</v>
      </c>
      <c r="F311" s="3" t="str">
        <f>HYPERLINK("https://www.boe.es/gazeta/dias/1809/07/07/pdfs/GGB-G-1809-43.pdf","Abrir PDF")</f>
        <v>Abrir PDF</v>
      </c>
    </row>
    <row r="312" spans="1:6" ht="30.95" customHeight="1">
      <c r="A312" s="2" t="s">
        <v>852</v>
      </c>
      <c r="B312" s="2" t="s">
        <v>853</v>
      </c>
      <c r="C312" s="2" t="s">
        <v>14024</v>
      </c>
      <c r="D312" s="3">
        <v>4</v>
      </c>
      <c r="E312" s="3">
        <v>2</v>
      </c>
      <c r="F312" s="3" t="str">
        <f>HYPERLINK("https://www.boe.es/gazeta/dias/1809/07/08/pdfs/GMD-1809-189.pdf","Abrir PDF")</f>
        <v>Abrir PDF</v>
      </c>
    </row>
    <row r="313" spans="1:6" ht="30.95" customHeight="1">
      <c r="A313" s="2" t="s">
        <v>5732</v>
      </c>
      <c r="B313" s="2" t="s">
        <v>5733</v>
      </c>
      <c r="C313" s="2" t="s">
        <v>14025</v>
      </c>
      <c r="D313" s="3">
        <v>4</v>
      </c>
      <c r="E313" s="3">
        <v>6</v>
      </c>
      <c r="F313" s="3" t="str">
        <f>HYPERLINK("https://www.boe.es/gazeta/dias/1809/07/09/pdfs/GMD-1809-190.pdf","Abrir PDF")</f>
        <v>Abrir PDF</v>
      </c>
    </row>
    <row r="314" spans="1:6" ht="30.95" customHeight="1">
      <c r="A314" s="2" t="s">
        <v>530</v>
      </c>
      <c r="B314" s="2" t="s">
        <v>531</v>
      </c>
      <c r="C314" s="2" t="s">
        <v>14026</v>
      </c>
      <c r="D314" s="3">
        <v>4</v>
      </c>
      <c r="E314" s="3">
        <v>6</v>
      </c>
      <c r="F314" s="3" t="str">
        <f>HYPERLINK("https://www.boe.es/gazeta/dias/1809/07/10/pdfs/GMD-1809-191.pdf","Abrir PDF")</f>
        <v>Abrir PDF</v>
      </c>
    </row>
    <row r="315" spans="1:6" ht="30.95" customHeight="1">
      <c r="A315" s="2" t="s">
        <v>432</v>
      </c>
      <c r="B315" s="2" t="s">
        <v>433</v>
      </c>
      <c r="C315" s="2" t="s">
        <v>14027</v>
      </c>
      <c r="D315" s="3">
        <v>4</v>
      </c>
      <c r="E315" s="3">
        <v>7</v>
      </c>
      <c r="F315" s="3" t="str">
        <f>HYPERLINK("https://www.boe.es/gazeta/dias/1809/07/11/pdfs/GMD-1809-192.pdf","Abrir PDF")</f>
        <v>Abrir PDF</v>
      </c>
    </row>
    <row r="316" spans="1:6" ht="30.95" customHeight="1">
      <c r="A316" s="2" t="s">
        <v>432</v>
      </c>
      <c r="B316" s="2" t="s">
        <v>1525</v>
      </c>
      <c r="C316" s="2" t="s">
        <v>14028</v>
      </c>
      <c r="D316" s="3">
        <v>12</v>
      </c>
      <c r="E316" s="3">
        <v>9</v>
      </c>
      <c r="F316" s="3" t="str">
        <f>HYPERLINK("https://www.boe.es/gazeta/dias/1809/07/11/pdfs/GGB-1809-44.pdf","Abrir PDF")</f>
        <v>Abrir PDF</v>
      </c>
    </row>
    <row r="317" spans="1:6" ht="30.95" customHeight="1">
      <c r="A317" s="2" t="s">
        <v>1856</v>
      </c>
      <c r="B317" s="2" t="s">
        <v>1857</v>
      </c>
      <c r="C317" s="2" t="s">
        <v>14029</v>
      </c>
      <c r="D317" s="3">
        <v>4</v>
      </c>
      <c r="E317" s="3">
        <v>11</v>
      </c>
      <c r="F317" s="3" t="str">
        <f>HYPERLINK("https://www.boe.es/gazeta/dias/1809/07/12/pdfs/GMD-1809-193.pdf","Abrir PDF")</f>
        <v>Abrir PDF</v>
      </c>
    </row>
    <row r="318" spans="1:6" ht="30.95" customHeight="1">
      <c r="A318" s="2" t="s">
        <v>9493</v>
      </c>
      <c r="B318" s="2" t="s">
        <v>9494</v>
      </c>
      <c r="C318" s="2" t="s">
        <v>14030</v>
      </c>
      <c r="D318" s="3">
        <v>4</v>
      </c>
      <c r="E318" s="3">
        <v>3</v>
      </c>
      <c r="F318" s="3" t="str">
        <f>HYPERLINK("https://www.boe.es/gazeta/dias/1809/07/13/pdfs/GMD-1809-194.pdf","Abrir PDF")</f>
        <v>Abrir PDF</v>
      </c>
    </row>
    <row r="319" spans="1:6" ht="30.95" customHeight="1">
      <c r="A319" s="2" t="s">
        <v>2395</v>
      </c>
      <c r="B319" s="2" t="s">
        <v>2396</v>
      </c>
      <c r="C319" s="2" t="s">
        <v>14031</v>
      </c>
      <c r="D319" s="3">
        <v>4</v>
      </c>
      <c r="E319" s="3">
        <v>7</v>
      </c>
      <c r="F319" s="3" t="str">
        <f>HYPERLINK("https://www.boe.es/gazeta/dias/1809/07/14/pdfs/GMD-1809-195.pdf","Abrir PDF")</f>
        <v>Abrir PDF</v>
      </c>
    </row>
    <row r="320" spans="1:6" ht="30.95" customHeight="1">
      <c r="A320" s="2" t="s">
        <v>2395</v>
      </c>
      <c r="B320" s="2" t="s">
        <v>3941</v>
      </c>
      <c r="C320" s="2" t="s">
        <v>14032</v>
      </c>
      <c r="D320" s="3">
        <v>8</v>
      </c>
      <c r="E320" s="3">
        <v>4</v>
      </c>
      <c r="F320" s="3" t="str">
        <f>HYPERLINK("https://www.boe.es/gazeta/dias/1809/07/14/pdfs/GGB-1809-45.pdf","Abrir PDF")</f>
        <v>Abrir PDF</v>
      </c>
    </row>
    <row r="321" spans="1:6" ht="30.95" customHeight="1">
      <c r="A321" s="2" t="s">
        <v>2395</v>
      </c>
      <c r="B321" s="2" t="s">
        <v>10502</v>
      </c>
      <c r="C321" s="2" t="s">
        <v>14033</v>
      </c>
      <c r="D321" s="3">
        <v>1</v>
      </c>
      <c r="E321" s="3">
        <v>1</v>
      </c>
      <c r="F321" s="3" t="str">
        <f>HYPERLINK("https://www.boe.es/gazeta/dias/1809/07/14/pdfs/GGB-1809-45E.pdf","Abrir PDF")</f>
        <v>Abrir PDF</v>
      </c>
    </row>
    <row r="322" spans="1:6" ht="30.95" customHeight="1">
      <c r="A322" s="2" t="s">
        <v>9352</v>
      </c>
      <c r="B322" s="2" t="s">
        <v>9353</v>
      </c>
      <c r="C322" s="2" t="s">
        <v>14034</v>
      </c>
      <c r="D322" s="3">
        <v>4</v>
      </c>
      <c r="E322" s="3">
        <v>2</v>
      </c>
      <c r="F322" s="3" t="str">
        <f>HYPERLINK("https://www.boe.es/gazeta/dias/1809/07/15/pdfs/GMD-1809-196.pdf","Abrir PDF")</f>
        <v>Abrir PDF</v>
      </c>
    </row>
    <row r="323" spans="1:6" ht="30.95" customHeight="1">
      <c r="A323" s="2" t="s">
        <v>5140</v>
      </c>
      <c r="B323" s="2" t="s">
        <v>5141</v>
      </c>
      <c r="C323" s="2" t="s">
        <v>14035</v>
      </c>
      <c r="D323" s="3">
        <v>4</v>
      </c>
      <c r="E323" s="3">
        <v>8</v>
      </c>
      <c r="F323" s="3" t="str">
        <f>HYPERLINK("https://www.boe.es/gazeta/dias/1809/07/16/pdfs/GMD-1809-197.pdf","Abrir PDF")</f>
        <v>Abrir PDF</v>
      </c>
    </row>
    <row r="324" spans="1:6" ht="30.95" customHeight="1">
      <c r="A324" s="2" t="s">
        <v>6238</v>
      </c>
      <c r="B324" s="2" t="s">
        <v>6239</v>
      </c>
      <c r="C324" s="2" t="s">
        <v>14036</v>
      </c>
      <c r="D324" s="3">
        <v>4</v>
      </c>
      <c r="E324" s="3">
        <v>3</v>
      </c>
      <c r="F324" s="3" t="str">
        <f>HYPERLINK("https://www.boe.es/gazeta/dias/1809/07/17/pdfs/GMD-1809-198.pdf","Abrir PDF")</f>
        <v>Abrir PDF</v>
      </c>
    </row>
    <row r="325" spans="1:6" ht="30.95" customHeight="1">
      <c r="A325" s="2" t="s">
        <v>2060</v>
      </c>
      <c r="B325" s="2" t="s">
        <v>10954</v>
      </c>
      <c r="C325" s="2" t="s">
        <v>14037</v>
      </c>
      <c r="D325" s="3">
        <v>4</v>
      </c>
      <c r="E325" s="3">
        <v>1</v>
      </c>
      <c r="F325" s="3" t="str">
        <f>HYPERLINK("https://www.boe.es/gazeta/dias/1809/07/18/pdfs/GMD-1809-199.pdf","Abrir PDF")</f>
        <v>Abrir PDF</v>
      </c>
    </row>
    <row r="326" spans="1:6" ht="30.95" customHeight="1">
      <c r="A326" s="2" t="s">
        <v>2060</v>
      </c>
      <c r="B326" s="2" t="s">
        <v>2061</v>
      </c>
      <c r="C326" s="2" t="s">
        <v>14038</v>
      </c>
      <c r="D326" s="3">
        <v>12</v>
      </c>
      <c r="E326" s="3">
        <v>21</v>
      </c>
      <c r="F326" s="3" t="str">
        <f>HYPERLINK("https://www.boe.es/gazeta/dias/1809/07/18/pdfs/GGB-1809-46.pdf","Abrir PDF")</f>
        <v>Abrir PDF</v>
      </c>
    </row>
    <row r="327" spans="1:6" ht="30.95" customHeight="1">
      <c r="A327" s="2" t="s">
        <v>2051</v>
      </c>
      <c r="B327" s="2" t="s">
        <v>2052</v>
      </c>
      <c r="C327" s="2" t="s">
        <v>14039</v>
      </c>
      <c r="D327" s="3">
        <v>4</v>
      </c>
      <c r="E327" s="3">
        <v>9</v>
      </c>
      <c r="F327" s="3" t="str">
        <f>HYPERLINK("https://www.boe.es/gazeta/dias/1809/07/19/pdfs/GMD-1809-200.pdf","Abrir PDF")</f>
        <v>Abrir PDF</v>
      </c>
    </row>
    <row r="328" spans="1:6" ht="30.95" customHeight="1">
      <c r="A328" s="2" t="s">
        <v>10377</v>
      </c>
      <c r="B328" s="2" t="s">
        <v>10378</v>
      </c>
      <c r="C328" s="2" t="s">
        <v>14040</v>
      </c>
      <c r="D328" s="3">
        <v>4</v>
      </c>
      <c r="E328" s="3">
        <v>5</v>
      </c>
      <c r="F328" s="3" t="str">
        <f>HYPERLINK("https://www.boe.es/gazeta/dias/1809/07/20/pdfs/GMD-1809-201.pdf","Abrir PDF")</f>
        <v>Abrir PDF</v>
      </c>
    </row>
    <row r="329" spans="1:6" ht="30.95" customHeight="1">
      <c r="A329" s="2" t="s">
        <v>322</v>
      </c>
      <c r="B329" s="2" t="s">
        <v>323</v>
      </c>
      <c r="C329" s="2" t="s">
        <v>14041</v>
      </c>
      <c r="D329" s="3">
        <v>4</v>
      </c>
      <c r="E329" s="3">
        <v>5</v>
      </c>
      <c r="F329" s="3" t="str">
        <f>HYPERLINK("https://www.boe.es/gazeta/dias/1809/07/21/pdfs/GMD-1809-202.pdf","Abrir PDF")</f>
        <v>Abrir PDF</v>
      </c>
    </row>
    <row r="330" spans="1:6" ht="30.95" customHeight="1">
      <c r="A330" s="2" t="s">
        <v>322</v>
      </c>
      <c r="B330" s="2" t="s">
        <v>435</v>
      </c>
      <c r="C330" s="2" t="s">
        <v>14042</v>
      </c>
      <c r="D330" s="3">
        <v>12</v>
      </c>
      <c r="E330" s="3">
        <v>15</v>
      </c>
      <c r="F330" s="3" t="str">
        <f>HYPERLINK("https://www.boe.es/gazeta/dias/1809/07/21/pdfs/GGB-1809-47.pdf","Abrir PDF")</f>
        <v>Abrir PDF</v>
      </c>
    </row>
    <row r="331" spans="1:6" ht="30.95" customHeight="1">
      <c r="A331" s="2" t="s">
        <v>656</v>
      </c>
      <c r="B331" s="2" t="s">
        <v>657</v>
      </c>
      <c r="C331" s="2" t="s">
        <v>14043</v>
      </c>
      <c r="D331" s="3">
        <v>4</v>
      </c>
      <c r="E331" s="3">
        <v>8</v>
      </c>
      <c r="F331" s="3" t="str">
        <f>HYPERLINK("https://www.boe.es/gazeta/dias/1809/07/22/pdfs/GMD-1809-203.pdf","Abrir PDF")</f>
        <v>Abrir PDF</v>
      </c>
    </row>
    <row r="332" spans="1:6" ht="30.95" customHeight="1">
      <c r="A332" s="2" t="s">
        <v>3425</v>
      </c>
      <c r="B332" s="2" t="s">
        <v>3426</v>
      </c>
      <c r="C332" s="2" t="s">
        <v>14044</v>
      </c>
      <c r="D332" s="3">
        <v>4</v>
      </c>
      <c r="E332" s="3">
        <v>7</v>
      </c>
      <c r="F332" s="3" t="str">
        <f>HYPERLINK("https://www.boe.es/gazeta/dias/1809/07/23/pdfs/GMD-1809-204.pdf","Abrir PDF")</f>
        <v>Abrir PDF</v>
      </c>
    </row>
    <row r="333" spans="1:6" ht="30.95" customHeight="1">
      <c r="A333" s="2" t="s">
        <v>1343</v>
      </c>
      <c r="B333" s="2" t="s">
        <v>1344</v>
      </c>
      <c r="C333" s="2" t="s">
        <v>14045</v>
      </c>
      <c r="D333" s="3">
        <v>8</v>
      </c>
      <c r="E333" s="3">
        <v>20</v>
      </c>
      <c r="F333" s="3" t="str">
        <f>HYPERLINK("https://www.boe.es/gazeta/dias/1809/07/24/pdfs/GMD-1809-205.pdf","Abrir PDF")</f>
        <v>Abrir PDF</v>
      </c>
    </row>
    <row r="334" spans="1:6" ht="30.95" customHeight="1">
      <c r="A334" s="2" t="s">
        <v>1652</v>
      </c>
      <c r="B334" s="2" t="s">
        <v>5647</v>
      </c>
      <c r="C334" s="2" t="s">
        <v>14046</v>
      </c>
      <c r="D334" s="3">
        <v>4</v>
      </c>
      <c r="E334" s="3">
        <v>4</v>
      </c>
      <c r="F334" s="3" t="str">
        <f>HYPERLINK("https://www.boe.es/gazeta/dias/1809/07/25/pdfs/GMD-1809-206.pdf","Abrir PDF")</f>
        <v>Abrir PDF</v>
      </c>
    </row>
    <row r="335" spans="1:6" ht="30.95" customHeight="1">
      <c r="A335" s="2" t="s">
        <v>1652</v>
      </c>
      <c r="B335" s="2" t="s">
        <v>1653</v>
      </c>
      <c r="C335" s="2" t="s">
        <v>14047</v>
      </c>
      <c r="D335" s="3">
        <v>12</v>
      </c>
      <c r="E335" s="3">
        <v>15</v>
      </c>
      <c r="F335" s="3" t="str">
        <f>HYPERLINK("https://www.boe.es/gazeta/dias/1809/07/25/pdfs/GGB-1809-48.pdf","Abrir PDF")</f>
        <v>Abrir PDF</v>
      </c>
    </row>
    <row r="336" spans="1:6" ht="30.95" customHeight="1">
      <c r="A336" s="2" t="s">
        <v>248</v>
      </c>
      <c r="B336" s="2" t="s">
        <v>2399</v>
      </c>
      <c r="C336" s="2" t="s">
        <v>14048</v>
      </c>
      <c r="D336" s="3">
        <v>4</v>
      </c>
      <c r="E336" s="3">
        <v>10</v>
      </c>
      <c r="F336" s="3" t="str">
        <f>HYPERLINK("https://www.boe.es/gazeta/dias/1809/07/26/pdfs/GMD-1809-207.pdf","Abrir PDF")</f>
        <v>Abrir PDF</v>
      </c>
    </row>
    <row r="337" spans="1:6" ht="30.95" customHeight="1">
      <c r="A337" s="2" t="s">
        <v>248</v>
      </c>
      <c r="B337" s="2" t="s">
        <v>249</v>
      </c>
      <c r="C337" s="2" t="s">
        <v>14049</v>
      </c>
      <c r="D337" s="3">
        <v>12</v>
      </c>
      <c r="E337" s="3">
        <v>33</v>
      </c>
      <c r="F337" s="3" t="str">
        <f>HYPERLINK("https://www.boe.es/gazeta/dias/1809/07/26/pdfs/GGB-1809-48E.pdf","Abrir PDF")</f>
        <v>Abrir PDF</v>
      </c>
    </row>
    <row r="338" spans="1:6" ht="30.95" customHeight="1">
      <c r="A338" s="2" t="s">
        <v>384</v>
      </c>
      <c r="B338" s="2" t="s">
        <v>385</v>
      </c>
      <c r="C338" s="2" t="s">
        <v>14050</v>
      </c>
      <c r="D338" s="3">
        <v>4</v>
      </c>
      <c r="E338" s="3">
        <v>9</v>
      </c>
      <c r="F338" s="3" t="str">
        <f>HYPERLINK("https://www.boe.es/gazeta/dias/1809/07/27/pdfs/GMD-1809-208.pdf","Abrir PDF")</f>
        <v>Abrir PDF</v>
      </c>
    </row>
    <row r="339" spans="1:6" ht="30.95" customHeight="1">
      <c r="A339" s="2" t="s">
        <v>384</v>
      </c>
      <c r="B339" s="2" t="s">
        <v>7409</v>
      </c>
      <c r="C339" s="2" t="s">
        <v>14051</v>
      </c>
      <c r="D339" s="3">
        <v>1</v>
      </c>
      <c r="E339" s="3">
        <v>2</v>
      </c>
      <c r="F339" s="3" t="str">
        <f>HYPERLINK("https://www.boe.es/gazeta/dias/1809/07/27/pdfs/GMD-1809-209E.pdf","Abrir PDF")</f>
        <v>Abrir PDF</v>
      </c>
    </row>
    <row r="340" spans="1:6" ht="30.95" customHeight="1">
      <c r="A340" s="2" t="s">
        <v>384</v>
      </c>
      <c r="B340" s="2" t="s">
        <v>14052</v>
      </c>
      <c r="C340" s="2" t="s">
        <v>14053</v>
      </c>
      <c r="D340" s="3">
        <v>1</v>
      </c>
      <c r="E340" s="3">
        <v>0</v>
      </c>
      <c r="F340" s="3" t="str">
        <f>HYPERLINK("https://www.boe.es/gazeta/dias/1809/07/27/pdfs/GGB-1809-48E2.pdf","Abrir PDF")</f>
        <v>Abrir PDF</v>
      </c>
    </row>
    <row r="341" spans="1:6" ht="30.95" customHeight="1">
      <c r="A341" s="2" t="s">
        <v>1288</v>
      </c>
      <c r="B341" s="2" t="s">
        <v>2401</v>
      </c>
      <c r="C341" s="2" t="s">
        <v>14054</v>
      </c>
      <c r="D341" s="3">
        <v>4</v>
      </c>
      <c r="E341" s="3">
        <v>5</v>
      </c>
      <c r="F341" s="3" t="str">
        <f>HYPERLINK("https://www.boe.es/gazeta/dias/1809/07/28/pdfs/GMD-1809-210.pdf","Abrir PDF")</f>
        <v>Abrir PDF</v>
      </c>
    </row>
    <row r="342" spans="1:6" ht="30.95" customHeight="1">
      <c r="A342" s="2" t="s">
        <v>1288</v>
      </c>
      <c r="B342" s="2" t="s">
        <v>1289</v>
      </c>
      <c r="C342" s="2" t="s">
        <v>14055</v>
      </c>
      <c r="D342" s="3">
        <v>12</v>
      </c>
      <c r="E342" s="3">
        <v>22</v>
      </c>
      <c r="F342" s="3" t="str">
        <f>HYPERLINK("https://www.boe.es/gazeta/dias/1809/07/28/pdfs/GGB-1809-49.pdf","Abrir PDF")</f>
        <v>Abrir PDF</v>
      </c>
    </row>
    <row r="343" spans="1:6" ht="30.95" customHeight="1">
      <c r="A343" s="2" t="s">
        <v>1563</v>
      </c>
      <c r="B343" s="2" t="s">
        <v>1564</v>
      </c>
      <c r="C343" s="2" t="s">
        <v>14056</v>
      </c>
      <c r="D343" s="3">
        <v>4</v>
      </c>
      <c r="E343" s="3">
        <v>3</v>
      </c>
      <c r="F343" s="3" t="str">
        <f>HYPERLINK("https://www.boe.es/gazeta/dias/1809/07/29/pdfs/GMD-1809-211.pdf","Abrir PDF")</f>
        <v>Abrir PDF</v>
      </c>
    </row>
    <row r="344" spans="1:6" ht="30.95" customHeight="1">
      <c r="A344" s="2" t="s">
        <v>237</v>
      </c>
      <c r="B344" s="2" t="s">
        <v>238</v>
      </c>
      <c r="C344" s="2" t="s">
        <v>14057</v>
      </c>
      <c r="D344" s="3">
        <v>4</v>
      </c>
      <c r="E344" s="3">
        <v>11</v>
      </c>
      <c r="F344" s="3" t="str">
        <f>HYPERLINK("https://www.boe.es/gazeta/dias/1809/07/30/pdfs/GMD-1809-212.pdf","Abrir PDF")</f>
        <v>Abrir PDF</v>
      </c>
    </row>
    <row r="345" spans="1:6" ht="30.95" customHeight="1">
      <c r="A345" s="2" t="s">
        <v>3265</v>
      </c>
      <c r="B345" s="2" t="s">
        <v>3266</v>
      </c>
      <c r="C345" s="2" t="s">
        <v>14058</v>
      </c>
      <c r="D345" s="3">
        <v>4</v>
      </c>
      <c r="E345" s="3">
        <v>5</v>
      </c>
      <c r="F345" s="3" t="str">
        <f>HYPERLINK("https://www.boe.es/gazeta/dias/1809/07/31/pdfs/GMD-1809-213.pdf","Abrir PDF")</f>
        <v>Abrir PDF</v>
      </c>
    </row>
    <row r="346" spans="1:6" ht="30.95" customHeight="1">
      <c r="A346" s="2" t="s">
        <v>3265</v>
      </c>
      <c r="B346" s="2" t="s">
        <v>3268</v>
      </c>
      <c r="C346" s="2" t="s">
        <v>14059</v>
      </c>
      <c r="D346" s="3">
        <v>1</v>
      </c>
      <c r="E346" s="3">
        <v>3</v>
      </c>
      <c r="F346" s="3" t="str">
        <f>HYPERLINK("https://www.boe.es/gazeta/dias/1809/07/31/pdfs/GGB-1809-49E.pdf","Abrir PDF")</f>
        <v>Abrir PDF</v>
      </c>
    </row>
    <row r="347" spans="1:6" ht="30.95" customHeight="1">
      <c r="A347" s="2" t="s">
        <v>1011</v>
      </c>
      <c r="B347" s="2" t="s">
        <v>1511</v>
      </c>
      <c r="C347" s="2" t="s">
        <v>14060</v>
      </c>
      <c r="D347" s="3">
        <v>4</v>
      </c>
      <c r="E347" s="3">
        <v>6</v>
      </c>
      <c r="F347" s="3" t="str">
        <f>HYPERLINK("https://www.boe.es/gazeta/dias/1809/08/01/pdfs/GMD-1809-214.pdf","Abrir PDF")</f>
        <v>Abrir PDF</v>
      </c>
    </row>
    <row r="348" spans="1:6" ht="30.95" customHeight="1">
      <c r="A348" s="2" t="s">
        <v>1011</v>
      </c>
      <c r="B348" s="2" t="s">
        <v>1012</v>
      </c>
      <c r="C348" s="2" t="s">
        <v>14061</v>
      </c>
      <c r="D348" s="3">
        <v>12</v>
      </c>
      <c r="E348" s="3">
        <v>21</v>
      </c>
      <c r="F348" s="3" t="str">
        <f>HYPERLINK("https://www.boe.es/gazeta/dias/1809/08/01/pdfs/GGB-1809-50.pdf","Abrir PDF")</f>
        <v>Abrir PDF</v>
      </c>
    </row>
    <row r="349" spans="1:6" ht="30.95" customHeight="1">
      <c r="A349" s="2" t="s">
        <v>1481</v>
      </c>
      <c r="B349" s="2" t="s">
        <v>1482</v>
      </c>
      <c r="C349" s="2" t="s">
        <v>14062</v>
      </c>
      <c r="D349" s="3">
        <v>4</v>
      </c>
      <c r="E349" s="3">
        <v>5</v>
      </c>
      <c r="F349" s="3" t="str">
        <f>HYPERLINK("https://www.boe.es/gazeta/dias/1809/08/02/pdfs/GMD-1809-215.pdf","Abrir PDF")</f>
        <v>Abrir PDF</v>
      </c>
    </row>
    <row r="350" spans="1:6" ht="30.95" customHeight="1">
      <c r="A350" s="2" t="s">
        <v>838</v>
      </c>
      <c r="B350" s="2" t="s">
        <v>14063</v>
      </c>
      <c r="C350" s="2" t="s">
        <v>14064</v>
      </c>
      <c r="D350" s="3">
        <v>4</v>
      </c>
      <c r="E350" s="3">
        <v>0</v>
      </c>
      <c r="F350" s="3" t="str">
        <f>HYPERLINK("https://www.boe.es/gazeta/dias/1809/08/03/pdfs/GMD-1809-216.pdf","Abrir PDF")</f>
        <v>Abrir PDF</v>
      </c>
    </row>
    <row r="351" spans="1:6" ht="30.95" customHeight="1">
      <c r="A351" s="2" t="s">
        <v>838</v>
      </c>
      <c r="B351" s="2" t="s">
        <v>839</v>
      </c>
      <c r="C351" s="2" t="s">
        <v>13825</v>
      </c>
      <c r="D351" s="3">
        <v>8</v>
      </c>
      <c r="E351" s="3">
        <v>15</v>
      </c>
      <c r="F351" s="3" t="str">
        <f>HYPERLINK("https://www.boe.es/gazeta/dias/1809/08/03/pdfs/GGB-1809-12.pdf","Abrir PDF")</f>
        <v>Abrir PDF</v>
      </c>
    </row>
    <row r="352" spans="1:6" ht="30.95" customHeight="1">
      <c r="A352" s="2" t="s">
        <v>338</v>
      </c>
      <c r="B352" s="2" t="s">
        <v>339</v>
      </c>
      <c r="C352" s="2" t="s">
        <v>14065</v>
      </c>
      <c r="D352" s="3">
        <v>4</v>
      </c>
      <c r="E352" s="3">
        <v>3</v>
      </c>
      <c r="F352" s="3" t="str">
        <f>HYPERLINK("https://www.boe.es/gazeta/dias/1809/08/04/pdfs/GMD-1809-217.pdf","Abrir PDF")</f>
        <v>Abrir PDF</v>
      </c>
    </row>
    <row r="353" spans="1:6" ht="30.95" customHeight="1">
      <c r="A353" s="2" t="s">
        <v>2705</v>
      </c>
      <c r="B353" s="2" t="s">
        <v>2706</v>
      </c>
      <c r="C353" s="2" t="s">
        <v>14066</v>
      </c>
      <c r="D353" s="3">
        <v>4</v>
      </c>
      <c r="E353" s="3">
        <v>3</v>
      </c>
      <c r="F353" s="3" t="str">
        <f>HYPERLINK("https://www.boe.es/gazeta/dias/1809/08/05/pdfs/GMD-1809-218.pdf","Abrir PDF")</f>
        <v>Abrir PDF</v>
      </c>
    </row>
    <row r="354" spans="1:6" ht="30.95" customHeight="1">
      <c r="A354" s="2" t="s">
        <v>2705</v>
      </c>
      <c r="B354" s="2" t="s">
        <v>3622</v>
      </c>
      <c r="C354" s="2" t="s">
        <v>13904</v>
      </c>
      <c r="D354" s="3">
        <v>8</v>
      </c>
      <c r="E354" s="3">
        <v>5</v>
      </c>
      <c r="F354" s="3" t="str">
        <f>HYPERLINK("https://www.boe.es/gazeta/dias/1809/08/05/pdfs/GGB-1809-22.pdf","Abrir PDF")</f>
        <v>Abrir PDF</v>
      </c>
    </row>
    <row r="355" spans="1:6" ht="30.95" customHeight="1">
      <c r="A355" s="2" t="s">
        <v>1692</v>
      </c>
      <c r="B355" s="2" t="s">
        <v>1693</v>
      </c>
      <c r="C355" s="2" t="s">
        <v>14067</v>
      </c>
      <c r="D355" s="3">
        <v>4</v>
      </c>
      <c r="E355" s="3">
        <v>5</v>
      </c>
      <c r="F355" s="3" t="str">
        <f>HYPERLINK("https://www.boe.es/gazeta/dias/1809/08/06/pdfs/GMD-1809-219.pdf","Abrir PDF")</f>
        <v>Abrir PDF</v>
      </c>
    </row>
    <row r="356" spans="1:6" ht="30.95" customHeight="1">
      <c r="A356" s="2" t="s">
        <v>2002</v>
      </c>
      <c r="B356" s="2" t="s">
        <v>2003</v>
      </c>
      <c r="C356" s="2" t="s">
        <v>14068</v>
      </c>
      <c r="D356" s="3">
        <v>4</v>
      </c>
      <c r="E356" s="3">
        <v>7</v>
      </c>
      <c r="F356" s="3" t="str">
        <f>HYPERLINK("https://www.boe.es/gazeta/dias/1809/08/07/pdfs/GMD-1809-220.pdf","Abrir PDF")</f>
        <v>Abrir PDF</v>
      </c>
    </row>
    <row r="357" spans="1:6" ht="30.95" customHeight="1">
      <c r="A357" s="2" t="s">
        <v>1865</v>
      </c>
      <c r="B357" s="2" t="s">
        <v>4138</v>
      </c>
      <c r="C357" s="2" t="s">
        <v>14069</v>
      </c>
      <c r="D357" s="3">
        <v>4</v>
      </c>
      <c r="E357" s="3">
        <v>4</v>
      </c>
      <c r="F357" s="3" t="str">
        <f>HYPERLINK("https://www.boe.es/gazeta/dias/1809/08/08/pdfs/GMD-1809-221.pdf","Abrir PDF")</f>
        <v>Abrir PDF</v>
      </c>
    </row>
    <row r="358" spans="1:6" ht="30.95" customHeight="1">
      <c r="A358" s="2" t="s">
        <v>1865</v>
      </c>
      <c r="B358" s="2" t="s">
        <v>1866</v>
      </c>
      <c r="C358" s="2" t="s">
        <v>13962</v>
      </c>
      <c r="D358" s="3">
        <v>8</v>
      </c>
      <c r="E358" s="3">
        <v>11</v>
      </c>
      <c r="F358" s="3" t="str">
        <f>HYPERLINK("https://www.boe.es/gazeta/dias/1809/08/08/pdfs/GGB-1809-32.pdf","Abrir PDF")</f>
        <v>Abrir PDF</v>
      </c>
    </row>
    <row r="359" spans="1:6" ht="30.95" customHeight="1">
      <c r="A359" s="2" t="s">
        <v>1865</v>
      </c>
      <c r="B359" s="2" t="s">
        <v>3270</v>
      </c>
      <c r="C359" s="2" t="s">
        <v>13964</v>
      </c>
      <c r="D359" s="3">
        <v>1</v>
      </c>
      <c r="E359" s="3">
        <v>3</v>
      </c>
      <c r="F359" s="3" t="str">
        <f>HYPERLINK("https://www.boe.es/gazeta/dias/1809/08/08/pdfs/GGB-1809-32E.pdf","Abrir PDF")</f>
        <v>Abrir PDF</v>
      </c>
    </row>
    <row r="360" spans="1:6" ht="30.95" customHeight="1">
      <c r="A360" s="2" t="s">
        <v>8557</v>
      </c>
      <c r="B360" s="2" t="s">
        <v>8558</v>
      </c>
      <c r="C360" s="2" t="s">
        <v>14070</v>
      </c>
      <c r="D360" s="3">
        <v>4</v>
      </c>
      <c r="E360" s="3">
        <v>4</v>
      </c>
      <c r="F360" s="3" t="str">
        <f>HYPERLINK("https://www.boe.es/gazeta/dias/1809/08/09/pdfs/GMD-1809-222.pdf","Abrir PDF")</f>
        <v>Abrir PDF</v>
      </c>
    </row>
    <row r="361" spans="1:6" ht="30.95" customHeight="1">
      <c r="A361" s="2" t="s">
        <v>1048</v>
      </c>
      <c r="B361" s="2" t="s">
        <v>5332</v>
      </c>
      <c r="C361" s="2" t="s">
        <v>14071</v>
      </c>
      <c r="D361" s="3">
        <v>4</v>
      </c>
      <c r="E361" s="3">
        <v>3</v>
      </c>
      <c r="F361" s="3" t="str">
        <f>HYPERLINK("https://www.boe.es/gazeta/dias/1809/08/10/pdfs/GMD-1809-223.pdf","Abrir PDF")</f>
        <v>Abrir PDF</v>
      </c>
    </row>
    <row r="362" spans="1:6" ht="30.95" customHeight="1">
      <c r="A362" s="2" t="s">
        <v>1048</v>
      </c>
      <c r="B362" s="2" t="s">
        <v>1049</v>
      </c>
      <c r="C362" s="2" t="s">
        <v>14018</v>
      </c>
      <c r="D362" s="3">
        <v>8</v>
      </c>
      <c r="E362" s="3">
        <v>5</v>
      </c>
      <c r="F362" s="3" t="str">
        <f>HYPERLINK("https://www.boe.es/gazeta/dias/1809/08/10/pdfs/GGB-1809-42.pdf","Abrir PDF")</f>
        <v>Abrir PDF</v>
      </c>
    </row>
    <row r="363" spans="1:6" ht="30.95" customHeight="1">
      <c r="A363" s="2" t="s">
        <v>660</v>
      </c>
      <c r="B363" s="2" t="s">
        <v>661</v>
      </c>
      <c r="C363" s="2" t="s">
        <v>14072</v>
      </c>
      <c r="D363" s="3">
        <v>4</v>
      </c>
      <c r="E363" s="3">
        <v>7</v>
      </c>
      <c r="F363" s="3" t="str">
        <f>HYPERLINK("https://www.boe.es/gazeta/dias/1809/08/11/pdfs/GMD-1809-224.pdf","Abrir PDF")</f>
        <v>Abrir PDF</v>
      </c>
    </row>
    <row r="364" spans="1:6" ht="30.95" customHeight="1">
      <c r="A364" s="2" t="s">
        <v>1269</v>
      </c>
      <c r="B364" s="2" t="s">
        <v>3272</v>
      </c>
      <c r="C364" s="2" t="s">
        <v>14073</v>
      </c>
      <c r="D364" s="3">
        <v>4</v>
      </c>
      <c r="E364" s="3">
        <v>12</v>
      </c>
      <c r="F364" s="3" t="str">
        <f>HYPERLINK("https://www.boe.es/gazeta/dias/1809/08/12/pdfs/GMD-1809-225.pdf","Abrir PDF")</f>
        <v>Abrir PDF</v>
      </c>
    </row>
    <row r="365" spans="1:6" ht="30.95" customHeight="1">
      <c r="A365" s="2" t="s">
        <v>1269</v>
      </c>
      <c r="B365" s="2" t="s">
        <v>1270</v>
      </c>
      <c r="C365" s="2" t="s">
        <v>14074</v>
      </c>
      <c r="D365" s="3">
        <v>8</v>
      </c>
      <c r="E365" s="3">
        <v>3</v>
      </c>
      <c r="F365" s="3" t="str">
        <f>HYPERLINK("https://www.boe.es/gazeta/dias/1809/08/12/pdfs/GGB-1809-52.pdf","Abrir PDF")</f>
        <v>Abrir PDF</v>
      </c>
    </row>
    <row r="366" spans="1:6" ht="30.95" customHeight="1">
      <c r="A366" s="2" t="s">
        <v>273</v>
      </c>
      <c r="B366" s="2" t="s">
        <v>274</v>
      </c>
      <c r="C366" s="2" t="s">
        <v>14075</v>
      </c>
      <c r="D366" s="3">
        <v>4</v>
      </c>
      <c r="E366" s="3">
        <v>6</v>
      </c>
      <c r="F366" s="3" t="str">
        <f>HYPERLINK("https://www.boe.es/gazeta/dias/1809/08/13/pdfs/GMD-1809-226.pdf","Abrir PDF")</f>
        <v>Abrir PDF</v>
      </c>
    </row>
    <row r="367" spans="1:6" ht="30.95" customHeight="1">
      <c r="A367" s="2" t="s">
        <v>3096</v>
      </c>
      <c r="B367" s="2" t="s">
        <v>4183</v>
      </c>
      <c r="C367" s="2" t="s">
        <v>14076</v>
      </c>
      <c r="D367" s="3">
        <v>4</v>
      </c>
      <c r="E367" s="3">
        <v>5</v>
      </c>
      <c r="F367" s="3" t="str">
        <f>HYPERLINK("https://www.boe.es/gazeta/dias/1809/08/14/pdfs/GMD-1809-227.pdf","Abrir PDF")</f>
        <v>Abrir PDF</v>
      </c>
    </row>
    <row r="368" spans="1:6" ht="30.95" customHeight="1">
      <c r="A368" s="2" t="s">
        <v>3096</v>
      </c>
      <c r="B368" s="2" t="s">
        <v>3097</v>
      </c>
      <c r="C368" s="2" t="s">
        <v>14077</v>
      </c>
      <c r="D368" s="3">
        <v>1</v>
      </c>
      <c r="E368" s="3">
        <v>1</v>
      </c>
      <c r="F368" s="3" t="str">
        <f>HYPERLINK("https://www.boe.es/gazeta/dias/1809/08/14/pdfs/GGB-1809-52E.pdf","Abrir PDF")</f>
        <v>Abrir PDF</v>
      </c>
    </row>
    <row r="369" spans="1:6" ht="30.95" customHeight="1">
      <c r="A369" s="2" t="s">
        <v>201</v>
      </c>
      <c r="B369" s="2" t="s">
        <v>9368</v>
      </c>
      <c r="C369" s="2" t="s">
        <v>14078</v>
      </c>
      <c r="D369" s="3">
        <v>4</v>
      </c>
      <c r="E369" s="3">
        <v>3</v>
      </c>
      <c r="F369" s="3" t="str">
        <f>HYPERLINK("https://www.boe.es/gazeta/dias/1809/08/15/pdfs/GMD-1809-228.pdf","Abrir PDF")</f>
        <v>Abrir PDF</v>
      </c>
    </row>
    <row r="370" spans="1:6" ht="30.95" customHeight="1">
      <c r="A370" s="2" t="s">
        <v>201</v>
      </c>
      <c r="B370" s="2" t="s">
        <v>202</v>
      </c>
      <c r="C370" s="2" t="s">
        <v>14079</v>
      </c>
      <c r="D370" s="3">
        <v>8</v>
      </c>
      <c r="E370" s="3">
        <v>13</v>
      </c>
      <c r="F370" s="3" t="str">
        <f>HYPERLINK("https://www.boe.es/gazeta/dias/1809/08/15/pdfs/GGB-1809-62.pdf","Abrir PDF")</f>
        <v>Abrir PDF</v>
      </c>
    </row>
    <row r="371" spans="1:6" ht="30.95" customHeight="1">
      <c r="A371" s="2" t="s">
        <v>14080</v>
      </c>
      <c r="B371" s="2" t="s">
        <v>14081</v>
      </c>
      <c r="C371" s="2" t="s">
        <v>14082</v>
      </c>
      <c r="D371" s="3">
        <v>4</v>
      </c>
      <c r="E371" s="3">
        <v>0</v>
      </c>
      <c r="F371" s="3" t="str">
        <f>HYPERLINK("https://www.boe.es/gazeta/dias/1809/08/16/pdfs/GMD-1809-229.pdf","Abrir PDF")</f>
        <v>Abrir PDF</v>
      </c>
    </row>
    <row r="372" spans="1:6" ht="30.95" customHeight="1">
      <c r="A372" s="2" t="s">
        <v>1129</v>
      </c>
      <c r="B372" s="2" t="s">
        <v>1507</v>
      </c>
      <c r="C372" s="2" t="s">
        <v>14083</v>
      </c>
      <c r="D372" s="3">
        <v>4</v>
      </c>
      <c r="E372" s="3">
        <v>6</v>
      </c>
      <c r="F372" s="3" t="str">
        <f>HYPERLINK("https://www.boe.es/gazeta/dias/1809/08/17/pdfs/GMD-1809-230.pdf","Abrir PDF")</f>
        <v>Abrir PDF</v>
      </c>
    </row>
    <row r="373" spans="1:6" ht="30.95" customHeight="1">
      <c r="A373" s="2" t="s">
        <v>1129</v>
      </c>
      <c r="B373" s="2" t="s">
        <v>1130</v>
      </c>
      <c r="C373" s="2" t="s">
        <v>14084</v>
      </c>
      <c r="D373" s="3">
        <v>8</v>
      </c>
      <c r="E373" s="3">
        <v>5</v>
      </c>
      <c r="F373" s="3" t="str">
        <f>HYPERLINK("https://www.boe.es/gazeta/dias/1809/08/17/pdfs/GGB-1809-72.pdf","Abrir PDF")</f>
        <v>Abrir PDF</v>
      </c>
    </row>
    <row r="374" spans="1:6" ht="30.95" customHeight="1">
      <c r="A374" s="2" t="s">
        <v>3031</v>
      </c>
      <c r="B374" s="2" t="s">
        <v>3032</v>
      </c>
      <c r="C374" s="2" t="s">
        <v>14085</v>
      </c>
      <c r="D374" s="3">
        <v>4</v>
      </c>
      <c r="E374" s="3">
        <v>8</v>
      </c>
      <c r="F374" s="3" t="str">
        <f>HYPERLINK("https://www.boe.es/gazeta/dias/1809/08/18/pdfs/GMD-1809-231.pdf","Abrir PDF")</f>
        <v>Abrir PDF</v>
      </c>
    </row>
    <row r="375" spans="1:6" ht="30.95" customHeight="1">
      <c r="A375" s="2" t="s">
        <v>809</v>
      </c>
      <c r="B375" s="2" t="s">
        <v>810</v>
      </c>
      <c r="C375" s="2" t="s">
        <v>14086</v>
      </c>
      <c r="D375" s="3">
        <v>4</v>
      </c>
      <c r="E375" s="3">
        <v>5</v>
      </c>
      <c r="F375" s="3" t="str">
        <f>HYPERLINK("https://www.boe.es/gazeta/dias/1809/08/19/pdfs/GMD-1809-232.pdf","Abrir PDF")</f>
        <v>Abrir PDF</v>
      </c>
    </row>
    <row r="376" spans="1:6" ht="30.95" customHeight="1">
      <c r="A376" s="2" t="s">
        <v>809</v>
      </c>
      <c r="B376" s="2" t="s">
        <v>1402</v>
      </c>
      <c r="C376" s="2" t="s">
        <v>14087</v>
      </c>
      <c r="D376" s="3">
        <v>8</v>
      </c>
      <c r="E376" s="3">
        <v>5</v>
      </c>
      <c r="F376" s="3" t="str">
        <f>HYPERLINK("https://www.boe.es/gazeta/dias/1809/08/19/pdfs/GGB-1809-82.pdf","Abrir PDF")</f>
        <v>Abrir PDF</v>
      </c>
    </row>
    <row r="377" spans="1:6" ht="30.95" customHeight="1">
      <c r="A377" s="2" t="s">
        <v>370</v>
      </c>
      <c r="B377" s="2" t="s">
        <v>371</v>
      </c>
      <c r="C377" s="2" t="s">
        <v>14088</v>
      </c>
      <c r="D377" s="3">
        <v>4</v>
      </c>
      <c r="E377" s="3">
        <v>12</v>
      </c>
      <c r="F377" s="3" t="str">
        <f>HYPERLINK("https://www.boe.es/gazeta/dias/1809/08/20/pdfs/GMD-1809-233.pdf","Abrir PDF")</f>
        <v>Abrir PDF</v>
      </c>
    </row>
    <row r="378" spans="1:6" ht="30.95" customHeight="1">
      <c r="A378" s="2" t="s">
        <v>663</v>
      </c>
      <c r="B378" s="2" t="s">
        <v>664</v>
      </c>
      <c r="C378" s="2" t="s">
        <v>14089</v>
      </c>
      <c r="D378" s="3">
        <v>4</v>
      </c>
      <c r="E378" s="3">
        <v>8</v>
      </c>
      <c r="F378" s="3" t="str">
        <f>HYPERLINK("https://www.boe.es/gazeta/dias/1809/08/21/pdfs/GMD-1809-234.pdf","Abrir PDF")</f>
        <v>Abrir PDF</v>
      </c>
    </row>
    <row r="379" spans="1:6" ht="30.95" customHeight="1">
      <c r="A379" s="2" t="s">
        <v>1779</v>
      </c>
      <c r="B379" s="2" t="s">
        <v>9025</v>
      </c>
      <c r="C379" s="2" t="s">
        <v>14090</v>
      </c>
      <c r="D379" s="3">
        <v>4</v>
      </c>
      <c r="E379" s="3">
        <v>2</v>
      </c>
      <c r="F379" s="3" t="str">
        <f>HYPERLINK("https://www.boe.es/gazeta/dias/1809/08/22/pdfs/GMD-1809-235.pdf","Abrir PDF")</f>
        <v>Abrir PDF</v>
      </c>
    </row>
    <row r="380" spans="1:6" ht="30.95" customHeight="1">
      <c r="A380" s="2" t="s">
        <v>1779</v>
      </c>
      <c r="B380" s="2" t="s">
        <v>1780</v>
      </c>
      <c r="C380" s="2" t="s">
        <v>14091</v>
      </c>
      <c r="D380" s="3">
        <v>8</v>
      </c>
      <c r="E380" s="3">
        <v>7</v>
      </c>
      <c r="F380" s="3" t="str">
        <f>HYPERLINK("https://www.boe.es/gazeta/dias/1809/08/22/pdfs/GGB-1809-92.pdf","Abrir PDF")</f>
        <v>Abrir PDF</v>
      </c>
    </row>
    <row r="381" spans="1:6" ht="30.95" customHeight="1">
      <c r="A381" s="2" t="s">
        <v>2726</v>
      </c>
      <c r="B381" s="2" t="s">
        <v>2727</v>
      </c>
      <c r="C381" s="2" t="s">
        <v>14092</v>
      </c>
      <c r="D381" s="3">
        <v>4</v>
      </c>
      <c r="E381" s="3">
        <v>2</v>
      </c>
      <c r="F381" s="3" t="str">
        <f>HYPERLINK("https://www.boe.es/gazeta/dias/1809/08/23/pdfs/GMD-1809-236.pdf","Abrir PDF")</f>
        <v>Abrir PDF</v>
      </c>
    </row>
    <row r="382" spans="1:6" ht="30.95" customHeight="1">
      <c r="A382" s="2" t="s">
        <v>1786</v>
      </c>
      <c r="B382" s="2" t="s">
        <v>1787</v>
      </c>
      <c r="C382" s="2" t="s">
        <v>14093</v>
      </c>
      <c r="D382" s="3">
        <v>4</v>
      </c>
      <c r="E382" s="3">
        <v>7</v>
      </c>
      <c r="F382" s="3" t="str">
        <f>HYPERLINK("https://www.boe.es/gazeta/dias/1809/08/24/pdfs/GMD-1809-237.pdf","Abrir PDF")</f>
        <v>Abrir PDF</v>
      </c>
    </row>
    <row r="383" spans="1:6" ht="30.95" customHeight="1">
      <c r="A383" s="2" t="s">
        <v>1786</v>
      </c>
      <c r="B383" s="2" t="s">
        <v>2296</v>
      </c>
      <c r="C383" s="2" t="s">
        <v>14094</v>
      </c>
      <c r="D383" s="3">
        <v>8</v>
      </c>
      <c r="E383" s="3">
        <v>6</v>
      </c>
      <c r="F383" s="3" t="str">
        <f>HYPERLINK("https://www.boe.es/gazeta/dias/1809/08/24/pdfs/GGB-1809-102.pdf","Abrir PDF")</f>
        <v>Abrir PDF</v>
      </c>
    </row>
    <row r="384" spans="1:6" ht="30.95" customHeight="1">
      <c r="A384" s="2" t="s">
        <v>1493</v>
      </c>
      <c r="B384" s="2" t="s">
        <v>1494</v>
      </c>
      <c r="C384" s="2" t="s">
        <v>14095</v>
      </c>
      <c r="D384" s="3">
        <v>4</v>
      </c>
      <c r="E384" s="3">
        <v>9</v>
      </c>
      <c r="F384" s="3" t="str">
        <f>HYPERLINK("https://www.boe.es/gazeta/dias/1809/08/25/pdfs/GMD-1809-238.pdf","Abrir PDF")</f>
        <v>Abrir PDF</v>
      </c>
    </row>
    <row r="385" spans="1:6" ht="30.95" customHeight="1">
      <c r="A385" s="2" t="s">
        <v>152</v>
      </c>
      <c r="B385" s="2" t="s">
        <v>2067</v>
      </c>
      <c r="C385" s="2" t="s">
        <v>14096</v>
      </c>
      <c r="D385" s="3">
        <v>4</v>
      </c>
      <c r="E385" s="3">
        <v>7</v>
      </c>
      <c r="F385" s="3" t="str">
        <f>HYPERLINK("https://www.boe.es/gazeta/dias/1809/08/26/pdfs/GMD-1809-239.pdf","Abrir PDF")</f>
        <v>Abrir PDF</v>
      </c>
    </row>
    <row r="386" spans="1:6" ht="30.95" customHeight="1">
      <c r="A386" s="2" t="s">
        <v>152</v>
      </c>
      <c r="B386" s="2" t="s">
        <v>153</v>
      </c>
      <c r="C386" s="2" t="s">
        <v>14097</v>
      </c>
      <c r="D386" s="3">
        <v>8</v>
      </c>
      <c r="E386" s="3">
        <v>15</v>
      </c>
      <c r="F386" s="3" t="str">
        <f>HYPERLINK("https://www.boe.es/gazeta/dias/1809/08/26/pdfs/GGB-1809-112.pdf","Abrir PDF")</f>
        <v>Abrir PDF</v>
      </c>
    </row>
    <row r="387" spans="1:6" ht="30.95" customHeight="1">
      <c r="A387" s="2" t="s">
        <v>2691</v>
      </c>
      <c r="B387" s="2" t="s">
        <v>2692</v>
      </c>
      <c r="C387" s="2" t="s">
        <v>14098</v>
      </c>
      <c r="D387" s="3">
        <v>4</v>
      </c>
      <c r="E387" s="3">
        <v>7</v>
      </c>
      <c r="F387" s="3" t="str">
        <f>HYPERLINK("https://www.boe.es/gazeta/dias/1809/08/27/pdfs/GMD-1809-240.pdf","Abrir PDF")</f>
        <v>Abrir PDF</v>
      </c>
    </row>
    <row r="388" spans="1:6" ht="30.95" customHeight="1">
      <c r="A388" s="2" t="s">
        <v>2691</v>
      </c>
      <c r="B388" s="2" t="s">
        <v>6048</v>
      </c>
      <c r="C388" s="2" t="s">
        <v>14099</v>
      </c>
      <c r="D388" s="3">
        <v>2</v>
      </c>
      <c r="E388" s="3">
        <v>1</v>
      </c>
      <c r="F388" s="3" t="str">
        <f>HYPERLINK("https://www.boe.es/gazeta/dias/1809/08/27/pdfs/GGB-1809-112E.pdf","Abrir PDF")</f>
        <v>Abrir PDF</v>
      </c>
    </row>
    <row r="389" spans="1:6" ht="30.95" customHeight="1">
      <c r="A389" s="2" t="s">
        <v>627</v>
      </c>
      <c r="B389" s="2" t="s">
        <v>628</v>
      </c>
      <c r="C389" s="2" t="s">
        <v>14100</v>
      </c>
      <c r="D389" s="3">
        <v>4</v>
      </c>
      <c r="E389" s="3">
        <v>22</v>
      </c>
      <c r="F389" s="3" t="str">
        <f>HYPERLINK("https://www.boe.es/gazeta/dias/1809/08/28/pdfs/GMD-1809-241.pdf","Abrir PDF")</f>
        <v>Abrir PDF</v>
      </c>
    </row>
    <row r="390" spans="1:6" ht="30.95" customHeight="1">
      <c r="A390" s="2" t="s">
        <v>666</v>
      </c>
      <c r="B390" s="2" t="s">
        <v>6215</v>
      </c>
      <c r="C390" s="2" t="s">
        <v>14101</v>
      </c>
      <c r="D390" s="3">
        <v>4</v>
      </c>
      <c r="E390" s="3">
        <v>3</v>
      </c>
      <c r="F390" s="3" t="str">
        <f>HYPERLINK("https://www.boe.es/gazeta/dias/1809/08/29/pdfs/GMD-1809-242.pdf","Abrir PDF")</f>
        <v>Abrir PDF</v>
      </c>
    </row>
    <row r="391" spans="1:6" ht="30.95" customHeight="1">
      <c r="A391" s="2" t="s">
        <v>666</v>
      </c>
      <c r="B391" s="2" t="s">
        <v>667</v>
      </c>
      <c r="C391" s="2" t="s">
        <v>14102</v>
      </c>
      <c r="D391" s="3">
        <v>8</v>
      </c>
      <c r="E391" s="3">
        <v>16</v>
      </c>
      <c r="F391" s="3" t="str">
        <f>HYPERLINK("https://www.boe.es/gazeta/dias/1809/08/29/pdfs/GGB-1809-122.pdf","Abrir PDF")</f>
        <v>Abrir PDF</v>
      </c>
    </row>
    <row r="392" spans="1:6" ht="30.95" customHeight="1">
      <c r="A392" s="2" t="s">
        <v>6243</v>
      </c>
      <c r="B392" s="2" t="s">
        <v>6244</v>
      </c>
      <c r="C392" s="2" t="s">
        <v>14103</v>
      </c>
      <c r="D392" s="3">
        <v>4</v>
      </c>
      <c r="E392" s="3">
        <v>5</v>
      </c>
      <c r="F392" s="3" t="str">
        <f>HYPERLINK("https://www.boe.es/gazeta/dias/1809/08/30/pdfs/GMD-1809-243.pdf","Abrir PDF")</f>
        <v>Abrir PDF</v>
      </c>
    </row>
    <row r="393" spans="1:6" ht="30.95" customHeight="1">
      <c r="A393" s="2" t="s">
        <v>864</v>
      </c>
      <c r="B393" s="2" t="s">
        <v>865</v>
      </c>
      <c r="C393" s="2" t="s">
        <v>14104</v>
      </c>
      <c r="D393" s="3">
        <v>4</v>
      </c>
      <c r="E393" s="3">
        <v>13</v>
      </c>
      <c r="F393" s="3" t="str">
        <f>HYPERLINK("https://www.boe.es/gazeta/dias/1809/08/31/pdfs/GMD-1809-244.pdf","Abrir PDF")</f>
        <v>Abrir PDF</v>
      </c>
    </row>
    <row r="394" spans="1:6" ht="30.95" customHeight="1">
      <c r="A394" s="2" t="s">
        <v>864</v>
      </c>
      <c r="B394" s="2" t="s">
        <v>2684</v>
      </c>
      <c r="C394" s="2" t="s">
        <v>14105</v>
      </c>
      <c r="D394" s="3">
        <v>8</v>
      </c>
      <c r="E394" s="3">
        <v>12</v>
      </c>
      <c r="F394" s="3" t="str">
        <f>HYPERLINK("https://www.boe.es/gazeta/dias/1809/08/31/pdfs/GGB-1809-132.pdf","Abrir PDF")</f>
        <v>Abrir PDF</v>
      </c>
    </row>
    <row r="395" spans="1:6" ht="30.95" customHeight="1">
      <c r="A395" s="2" t="s">
        <v>864</v>
      </c>
      <c r="B395" s="2" t="s">
        <v>2291</v>
      </c>
      <c r="C395" s="2" t="s">
        <v>14106</v>
      </c>
      <c r="D395" s="3">
        <v>4</v>
      </c>
      <c r="E395" s="3">
        <v>19</v>
      </c>
      <c r="F395" s="3" t="str">
        <f>HYPERLINK("https://www.boe.es/gazeta/dias/1809/08/31/pdfs/GGB-H-1809-132.pdf","Abrir PDF")</f>
        <v>Abrir PDF</v>
      </c>
    </row>
    <row r="396" spans="1:6" ht="30.95" customHeight="1">
      <c r="A396" s="2" t="s">
        <v>503</v>
      </c>
      <c r="B396" s="2" t="s">
        <v>504</v>
      </c>
      <c r="C396" s="2" t="s">
        <v>14107</v>
      </c>
      <c r="D396" s="3">
        <v>4</v>
      </c>
      <c r="E396" s="3">
        <v>11</v>
      </c>
      <c r="F396" s="3" t="str">
        <f>HYPERLINK("https://www.boe.es/gazeta/dias/1809/09/01/pdfs/GMD-1809-245.pdf","Abrir PDF")</f>
        <v>Abrir PDF</v>
      </c>
    </row>
    <row r="397" spans="1:6" ht="30.95" customHeight="1">
      <c r="A397" s="2" t="s">
        <v>515</v>
      </c>
      <c r="B397" s="2" t="s">
        <v>516</v>
      </c>
      <c r="C397" s="2" t="s">
        <v>14108</v>
      </c>
      <c r="D397" s="3">
        <v>4</v>
      </c>
      <c r="E397" s="3">
        <v>42</v>
      </c>
      <c r="F397" s="3" t="str">
        <f>HYPERLINK("https://www.boe.es/gazeta/dias/1809/09/02/pdfs/GMD-1809-246.pdf","Abrir PDF")</f>
        <v>Abrir PDF</v>
      </c>
    </row>
    <row r="398" spans="1:6" ht="30.95" customHeight="1">
      <c r="A398" s="2" t="s">
        <v>515</v>
      </c>
      <c r="B398" s="2" t="s">
        <v>3947</v>
      </c>
      <c r="C398" s="2" t="s">
        <v>14109</v>
      </c>
      <c r="D398" s="3">
        <v>8</v>
      </c>
      <c r="E398" s="3">
        <v>8</v>
      </c>
      <c r="F398" s="3" t="str">
        <f>HYPERLINK("https://www.boe.es/gazeta/dias/1809/09/02/pdfs/GGB-1809-142.pdf","Abrir PDF")</f>
        <v>Abrir PDF</v>
      </c>
    </row>
    <row r="399" spans="1:6" ht="30.95" customHeight="1">
      <c r="A399" s="2" t="s">
        <v>536</v>
      </c>
      <c r="B399" s="2" t="s">
        <v>537</v>
      </c>
      <c r="C399" s="2" t="s">
        <v>14110</v>
      </c>
      <c r="D399" s="3">
        <v>4</v>
      </c>
      <c r="E399" s="3">
        <v>12</v>
      </c>
      <c r="F399" s="3" t="str">
        <f>HYPERLINK("https://www.boe.es/gazeta/dias/1809/09/03/pdfs/GMD-1809-247.pdf","Abrir PDF")</f>
        <v>Abrir PDF</v>
      </c>
    </row>
    <row r="400" spans="1:6" ht="30.95" customHeight="1">
      <c r="A400" s="2" t="s">
        <v>196</v>
      </c>
      <c r="B400" s="2" t="s">
        <v>197</v>
      </c>
      <c r="C400" s="2" t="s">
        <v>14111</v>
      </c>
      <c r="D400" s="3">
        <v>4</v>
      </c>
      <c r="E400" s="3">
        <v>27</v>
      </c>
      <c r="F400" s="3" t="str">
        <f>HYPERLINK("https://www.boe.es/gazeta/dias/1809/09/04/pdfs/GMD-1809-248.pdf","Abrir PDF")</f>
        <v>Abrir PDF</v>
      </c>
    </row>
    <row r="401" spans="1:6" ht="30.95" customHeight="1">
      <c r="A401" s="2" t="s">
        <v>442</v>
      </c>
      <c r="B401" s="2" t="s">
        <v>2171</v>
      </c>
      <c r="C401" s="2" t="s">
        <v>14112</v>
      </c>
      <c r="D401" s="3">
        <v>4</v>
      </c>
      <c r="E401" s="3">
        <v>21</v>
      </c>
      <c r="F401" s="3" t="str">
        <f>HYPERLINK("https://www.boe.es/gazeta/dias/1809/09/05/pdfs/GMD-1809-249.pdf","Abrir PDF")</f>
        <v>Abrir PDF</v>
      </c>
    </row>
    <row r="402" spans="1:6" ht="30.95" customHeight="1">
      <c r="A402" s="2" t="s">
        <v>442</v>
      </c>
      <c r="B402" s="2" t="s">
        <v>443</v>
      </c>
      <c r="C402" s="2" t="s">
        <v>14113</v>
      </c>
      <c r="D402" s="3">
        <v>8</v>
      </c>
      <c r="E402" s="3">
        <v>11</v>
      </c>
      <c r="F402" s="3" t="str">
        <f>HYPERLINK("https://www.boe.es/gazeta/dias/1809/09/05/pdfs/GGB-1809-152.pdf","Abrir PDF")</f>
        <v>Abrir PDF</v>
      </c>
    </row>
    <row r="403" spans="1:6" ht="30.95" customHeight="1">
      <c r="A403" s="2" t="s">
        <v>1477</v>
      </c>
      <c r="B403" s="2" t="s">
        <v>1478</v>
      </c>
      <c r="C403" s="2" t="s">
        <v>14114</v>
      </c>
      <c r="D403" s="3">
        <v>4</v>
      </c>
      <c r="E403" s="3">
        <v>5</v>
      </c>
      <c r="F403" s="3" t="str">
        <f>HYPERLINK("https://www.boe.es/gazeta/dias/1809/09/06/pdfs/GMD-1809-250.pdf","Abrir PDF")</f>
        <v>Abrir PDF</v>
      </c>
    </row>
    <row r="404" spans="1:6" ht="30.95" customHeight="1">
      <c r="A404" s="2" t="s">
        <v>118</v>
      </c>
      <c r="B404" s="2" t="s">
        <v>119</v>
      </c>
      <c r="C404" s="2" t="s">
        <v>14115</v>
      </c>
      <c r="D404" s="3">
        <v>4</v>
      </c>
      <c r="E404" s="3">
        <v>12</v>
      </c>
      <c r="F404" s="3" t="str">
        <f>HYPERLINK("https://www.boe.es/gazeta/dias/1809/09/07/pdfs/GMD-1809-251.pdf","Abrir PDF")</f>
        <v>Abrir PDF</v>
      </c>
    </row>
    <row r="405" spans="1:6" ht="30.95" customHeight="1">
      <c r="A405" s="2" t="s">
        <v>118</v>
      </c>
      <c r="B405" s="2" t="s">
        <v>2125</v>
      </c>
      <c r="C405" s="2" t="s">
        <v>14116</v>
      </c>
      <c r="D405" s="3">
        <v>8</v>
      </c>
      <c r="E405" s="3">
        <v>12</v>
      </c>
      <c r="F405" s="3" t="str">
        <f>HYPERLINK("https://www.boe.es/gazeta/dias/1809/09/07/pdfs/GGB-1809-162.pdf","Abrir PDF")</f>
        <v>Abrir PDF</v>
      </c>
    </row>
    <row r="406" spans="1:6" ht="30.95" customHeight="1">
      <c r="A406" s="2" t="s">
        <v>118</v>
      </c>
      <c r="B406" s="2" t="s">
        <v>819</v>
      </c>
      <c r="C406" s="2" t="s">
        <v>14117</v>
      </c>
      <c r="D406" s="3">
        <v>8</v>
      </c>
      <c r="E406" s="3">
        <v>38</v>
      </c>
      <c r="F406" s="3" t="str">
        <f>HYPERLINK("https://www.boe.es/gazeta/dias/1809/09/07/pdfs/GGB-H-1809-162.pdf","Abrir PDF")</f>
        <v>Abrir PDF</v>
      </c>
    </row>
    <row r="407" spans="1:6" ht="30.95" customHeight="1">
      <c r="A407" s="2" t="s">
        <v>108</v>
      </c>
      <c r="B407" s="2" t="s">
        <v>109</v>
      </c>
      <c r="C407" s="2" t="s">
        <v>14118</v>
      </c>
      <c r="D407" s="3">
        <v>4</v>
      </c>
      <c r="E407" s="3">
        <v>18</v>
      </c>
      <c r="F407" s="3" t="str">
        <f>HYPERLINK("https://www.boe.es/gazeta/dias/1809/09/08/pdfs/GMD-1809-252.pdf","Abrir PDF")</f>
        <v>Abrir PDF</v>
      </c>
    </row>
    <row r="408" spans="1:6" ht="30.95" customHeight="1">
      <c r="A408" s="2" t="s">
        <v>3949</v>
      </c>
      <c r="B408" s="2" t="s">
        <v>14119</v>
      </c>
      <c r="C408" s="2" t="s">
        <v>14120</v>
      </c>
      <c r="D408" s="3">
        <v>4</v>
      </c>
      <c r="E408" s="3">
        <v>0</v>
      </c>
      <c r="F408" s="3" t="str">
        <f>HYPERLINK("https://www.boe.es/gazeta/dias/1809/09/09/pdfs/GMD-1809-253.pdf","Abrir PDF")</f>
        <v>Abrir PDF</v>
      </c>
    </row>
    <row r="409" spans="1:6" ht="30.95" customHeight="1">
      <c r="A409" s="2" t="s">
        <v>3949</v>
      </c>
      <c r="B409" s="2" t="s">
        <v>3950</v>
      </c>
      <c r="C409" s="2" t="s">
        <v>14121</v>
      </c>
      <c r="D409" s="3">
        <v>8</v>
      </c>
      <c r="E409" s="3">
        <v>11</v>
      </c>
      <c r="F409" s="3" t="str">
        <f>HYPERLINK("https://www.boe.es/gazeta/dias/1809/09/09/pdfs/GGB-1809-172.pdf","Abrir PDF")</f>
        <v>Abrir PDF</v>
      </c>
    </row>
    <row r="410" spans="1:6" ht="30.95" customHeight="1">
      <c r="A410" s="2" t="s">
        <v>712</v>
      </c>
      <c r="B410" s="2" t="s">
        <v>713</v>
      </c>
      <c r="C410" s="2" t="s">
        <v>14122</v>
      </c>
      <c r="D410" s="3">
        <v>4</v>
      </c>
      <c r="E410" s="3">
        <v>52</v>
      </c>
      <c r="F410" s="3" t="str">
        <f>HYPERLINK("https://www.boe.es/gazeta/dias/1809/09/10/pdfs/GMD-1809-254.pdf","Abrir PDF")</f>
        <v>Abrir PDF</v>
      </c>
    </row>
    <row r="411" spans="1:6" ht="30.95" customHeight="1">
      <c r="A411" s="2" t="s">
        <v>3214</v>
      </c>
      <c r="B411" s="2" t="s">
        <v>3215</v>
      </c>
      <c r="C411" s="2" t="s">
        <v>14123</v>
      </c>
      <c r="D411" s="3">
        <v>4</v>
      </c>
      <c r="E411" s="3">
        <v>3</v>
      </c>
      <c r="F411" s="3" t="str">
        <f>HYPERLINK("https://www.boe.es/gazeta/dias/1809/09/11/pdfs/GMD-1809-255.pdf","Abrir PDF")</f>
        <v>Abrir PDF</v>
      </c>
    </row>
    <row r="412" spans="1:6" ht="30.95" customHeight="1">
      <c r="A412" s="2" t="s">
        <v>173</v>
      </c>
      <c r="B412" s="2" t="s">
        <v>7739</v>
      </c>
      <c r="C412" s="2" t="s">
        <v>14124</v>
      </c>
      <c r="D412" s="3">
        <v>4</v>
      </c>
      <c r="E412" s="3">
        <v>3</v>
      </c>
      <c r="F412" s="3" t="str">
        <f>HYPERLINK("https://www.boe.es/gazeta/dias/1809/09/12/pdfs/GMD-1809-256.pdf","Abrir PDF")</f>
        <v>Abrir PDF</v>
      </c>
    </row>
    <row r="413" spans="1:6" ht="30.95" customHeight="1">
      <c r="A413" s="2" t="s">
        <v>173</v>
      </c>
      <c r="B413" s="2" t="s">
        <v>174</v>
      </c>
      <c r="C413" s="2" t="s">
        <v>14125</v>
      </c>
      <c r="D413" s="3">
        <v>8</v>
      </c>
      <c r="E413" s="3">
        <v>10</v>
      </c>
      <c r="F413" s="3" t="str">
        <f>HYPERLINK("https://www.boe.es/gazeta/dias/1809/09/12/pdfs/GGB-1809-182.pdf","Abrir PDF")</f>
        <v>Abrir PDF</v>
      </c>
    </row>
    <row r="414" spans="1:6" ht="30.95" customHeight="1">
      <c r="A414" s="2" t="s">
        <v>173</v>
      </c>
      <c r="B414" s="2" t="s">
        <v>1885</v>
      </c>
      <c r="C414" s="2" t="s">
        <v>14126</v>
      </c>
      <c r="D414" s="3">
        <v>4</v>
      </c>
      <c r="E414" s="3">
        <v>6</v>
      </c>
      <c r="F414" s="3" t="str">
        <f>HYPERLINK("https://www.boe.es/gazeta/dias/1809/09/12/pdfs/GGB-H-1809-182.pdf","Abrir PDF")</f>
        <v>Abrir PDF</v>
      </c>
    </row>
    <row r="415" spans="1:6" ht="30.95" customHeight="1">
      <c r="A415" s="2" t="s">
        <v>1758</v>
      </c>
      <c r="B415" s="2" t="s">
        <v>1759</v>
      </c>
      <c r="C415" s="2" t="s">
        <v>14127</v>
      </c>
      <c r="D415" s="3">
        <v>4</v>
      </c>
      <c r="E415" s="3">
        <v>1</v>
      </c>
      <c r="F415" s="3" t="str">
        <f>HYPERLINK("https://www.boe.es/gazeta/dias/1809/09/13/pdfs/GMD-1809-257.pdf","Abrir PDF")</f>
        <v>Abrir PDF</v>
      </c>
    </row>
    <row r="416" spans="1:6" ht="30.95" customHeight="1">
      <c r="A416" s="2" t="s">
        <v>327</v>
      </c>
      <c r="B416" s="2" t="s">
        <v>2138</v>
      </c>
      <c r="C416" s="2" t="s">
        <v>14128</v>
      </c>
      <c r="D416" s="3">
        <v>4</v>
      </c>
      <c r="E416" s="3">
        <v>9</v>
      </c>
      <c r="F416" s="3" t="str">
        <f>HYPERLINK("https://www.boe.es/gazeta/dias/1809/09/14/pdfs/GMD-1809-258.pdf","Abrir PDF")</f>
        <v>Abrir PDF</v>
      </c>
    </row>
    <row r="417" spans="1:6" ht="30.95" customHeight="1">
      <c r="A417" s="2" t="s">
        <v>327</v>
      </c>
      <c r="B417" s="2" t="s">
        <v>328</v>
      </c>
      <c r="C417" s="2" t="s">
        <v>14129</v>
      </c>
      <c r="D417" s="3">
        <v>8</v>
      </c>
      <c r="E417" s="3">
        <v>39</v>
      </c>
      <c r="F417" s="3" t="str">
        <f>HYPERLINK("https://www.boe.es/gazeta/dias/1809/09/14/pdfs/GGB-1809-192.pdf","Abrir PDF")</f>
        <v>Abrir PDF</v>
      </c>
    </row>
    <row r="418" spans="1:6" ht="30.95" customHeight="1">
      <c r="A418" s="2" t="s">
        <v>1635</v>
      </c>
      <c r="B418" s="2" t="s">
        <v>1636</v>
      </c>
      <c r="C418" s="2" t="s">
        <v>14130</v>
      </c>
      <c r="D418" s="3">
        <v>4</v>
      </c>
      <c r="E418" s="3">
        <v>11</v>
      </c>
      <c r="F418" s="3" t="str">
        <f>HYPERLINK("https://www.boe.es/gazeta/dias/1809/09/15/pdfs/GMD-1809-259.pdf","Abrir PDF")</f>
        <v>Abrir PDF</v>
      </c>
    </row>
    <row r="419" spans="1:6" ht="30.95" customHeight="1">
      <c r="A419" s="2" t="s">
        <v>207</v>
      </c>
      <c r="B419" s="2" t="s">
        <v>208</v>
      </c>
      <c r="C419" s="2" t="s">
        <v>14131</v>
      </c>
      <c r="D419" s="3">
        <v>4</v>
      </c>
      <c r="E419" s="3">
        <v>16</v>
      </c>
      <c r="F419" s="3" t="str">
        <f>HYPERLINK("https://www.boe.es/gazeta/dias/1809/09/16/pdfs/GMD-1809-260.pdf","Abrir PDF")</f>
        <v>Abrir PDF</v>
      </c>
    </row>
    <row r="420" spans="1:6" ht="30.95" customHeight="1">
      <c r="A420" s="2" t="s">
        <v>207</v>
      </c>
      <c r="B420" s="2" t="s">
        <v>2864</v>
      </c>
      <c r="C420" s="2" t="s">
        <v>14132</v>
      </c>
      <c r="D420" s="3">
        <v>8</v>
      </c>
      <c r="E420" s="3">
        <v>12</v>
      </c>
      <c r="F420" s="3" t="str">
        <f>HYPERLINK("https://www.boe.es/gazeta/dias/1809/09/16/pdfs/GGB-1809-202.pdf","Abrir PDF")</f>
        <v>Abrir PDF</v>
      </c>
    </row>
    <row r="421" spans="1:6" ht="30.95" customHeight="1">
      <c r="A421" s="2" t="s">
        <v>207</v>
      </c>
      <c r="B421" s="2" t="s">
        <v>3953</v>
      </c>
      <c r="C421" s="2" t="s">
        <v>14133</v>
      </c>
      <c r="D421" s="3">
        <v>4</v>
      </c>
      <c r="E421" s="3">
        <v>2</v>
      </c>
      <c r="F421" s="3" t="str">
        <f>HYPERLINK("https://www.boe.es/gazeta/dias/1809/09/16/pdfs/GGB-H-1809-202.pdf","Abrir PDF")</f>
        <v>Abrir PDF</v>
      </c>
    </row>
    <row r="422" spans="1:6" ht="30.95" customHeight="1">
      <c r="A422" s="2" t="s">
        <v>1829</v>
      </c>
      <c r="B422" s="2" t="s">
        <v>1830</v>
      </c>
      <c r="C422" s="2" t="s">
        <v>14134</v>
      </c>
      <c r="D422" s="3">
        <v>4</v>
      </c>
      <c r="E422" s="3">
        <v>12</v>
      </c>
      <c r="F422" s="3" t="str">
        <f>HYPERLINK("https://www.boe.es/gazeta/dias/1809/09/17/pdfs/GMD-1809-261.pdf","Abrir PDF")</f>
        <v>Abrir PDF</v>
      </c>
    </row>
    <row r="423" spans="1:6" ht="30.95" customHeight="1">
      <c r="A423" s="2" t="s">
        <v>6618</v>
      </c>
      <c r="B423" s="2" t="s">
        <v>6619</v>
      </c>
      <c r="C423" s="2" t="s">
        <v>14135</v>
      </c>
      <c r="D423" s="3">
        <v>4</v>
      </c>
      <c r="E423" s="3">
        <v>14</v>
      </c>
      <c r="F423" s="3" t="str">
        <f>HYPERLINK("https://www.boe.es/gazeta/dias/1809/09/18/pdfs/GMD-1809-262.pdf","Abrir PDF")</f>
        <v>Abrir PDF</v>
      </c>
    </row>
    <row r="424" spans="1:6" ht="30.95" customHeight="1">
      <c r="A424" s="2" t="s">
        <v>969</v>
      </c>
      <c r="B424" s="2" t="s">
        <v>6921</v>
      </c>
      <c r="C424" s="2" t="s">
        <v>14136</v>
      </c>
      <c r="D424" s="3">
        <v>4</v>
      </c>
      <c r="E424" s="3">
        <v>4</v>
      </c>
      <c r="F424" s="3" t="str">
        <f>HYPERLINK("https://www.boe.es/gazeta/dias/1809/09/19/pdfs/GMD-1809-263.pdf","Abrir PDF")</f>
        <v>Abrir PDF</v>
      </c>
    </row>
    <row r="425" spans="1:6" ht="30.95" customHeight="1">
      <c r="A425" s="2" t="s">
        <v>969</v>
      </c>
      <c r="B425" s="2" t="s">
        <v>970</v>
      </c>
      <c r="C425" s="2" t="s">
        <v>14137</v>
      </c>
      <c r="D425" s="3">
        <v>8</v>
      </c>
      <c r="E425" s="3">
        <v>4</v>
      </c>
      <c r="F425" s="3" t="str">
        <f>HYPERLINK("https://www.boe.es/gazeta/dias/1809/09/19/pdfs/GGB-1809-212.pdf","Abrir PDF")</f>
        <v>Abrir PDF</v>
      </c>
    </row>
    <row r="426" spans="1:6" ht="30.95" customHeight="1">
      <c r="A426" s="2" t="s">
        <v>2408</v>
      </c>
      <c r="B426" s="2" t="s">
        <v>2409</v>
      </c>
      <c r="C426" s="2" t="s">
        <v>14138</v>
      </c>
      <c r="D426" s="3">
        <v>4</v>
      </c>
      <c r="E426" s="3">
        <v>4</v>
      </c>
      <c r="F426" s="3" t="str">
        <f>HYPERLINK("https://www.boe.es/gazeta/dias/1809/09/20/pdfs/GMD-1809-264.pdf","Abrir PDF")</f>
        <v>Abrir PDF</v>
      </c>
    </row>
    <row r="427" spans="1:6" ht="30.95" customHeight="1">
      <c r="A427" s="2" t="s">
        <v>73</v>
      </c>
      <c r="B427" s="2" t="s">
        <v>1045</v>
      </c>
      <c r="C427" s="2" t="s">
        <v>14139</v>
      </c>
      <c r="D427" s="3">
        <v>4</v>
      </c>
      <c r="E427" s="3">
        <v>18</v>
      </c>
      <c r="F427" s="3" t="str">
        <f>HYPERLINK("https://www.boe.es/gazeta/dias/1809/09/21/pdfs/GMD-1809-265.pdf","Abrir PDF")</f>
        <v>Abrir PDF</v>
      </c>
    </row>
    <row r="428" spans="1:6" ht="30.95" customHeight="1">
      <c r="A428" s="2" t="s">
        <v>73</v>
      </c>
      <c r="B428" s="2" t="s">
        <v>74</v>
      </c>
      <c r="C428" s="2" t="s">
        <v>14140</v>
      </c>
      <c r="D428" s="3">
        <v>2</v>
      </c>
      <c r="E428" s="3">
        <v>1</v>
      </c>
      <c r="F428" s="3" t="str">
        <f>HYPERLINK("https://www.boe.es/gazeta/dias/1809/09/21/pdfs/GMD-E-1809-265.pdf","Abrir PDF")</f>
        <v>Abrir PDF</v>
      </c>
    </row>
    <row r="429" spans="1:6" ht="30.95" customHeight="1">
      <c r="A429" s="2" t="s">
        <v>73</v>
      </c>
      <c r="B429" s="2" t="s">
        <v>822</v>
      </c>
      <c r="C429" s="2" t="s">
        <v>14141</v>
      </c>
      <c r="D429" s="3">
        <v>8</v>
      </c>
      <c r="E429" s="3">
        <v>26</v>
      </c>
      <c r="F429" s="3" t="str">
        <f>HYPERLINK("https://www.boe.es/gazeta/dias/1809/09/21/pdfs/GGB-1809-222.pdf","Abrir PDF")</f>
        <v>Abrir PDF</v>
      </c>
    </row>
    <row r="430" spans="1:6" ht="30.95" customHeight="1">
      <c r="A430" s="2" t="s">
        <v>868</v>
      </c>
      <c r="B430" s="2" t="s">
        <v>869</v>
      </c>
      <c r="C430" s="2" t="s">
        <v>14142</v>
      </c>
      <c r="D430" s="3">
        <v>4</v>
      </c>
      <c r="E430" s="3">
        <v>11</v>
      </c>
      <c r="F430" s="3" t="str">
        <f>HYPERLINK("https://www.boe.es/gazeta/dias/1809/09/22/pdfs/GMD-1809-266.pdf","Abrir PDF")</f>
        <v>Abrir PDF</v>
      </c>
    </row>
    <row r="431" spans="1:6" ht="30.95" customHeight="1">
      <c r="A431" s="2" t="s">
        <v>1206</v>
      </c>
      <c r="B431" s="2" t="s">
        <v>1612</v>
      </c>
      <c r="C431" s="2" t="s">
        <v>14143</v>
      </c>
      <c r="D431" s="3">
        <v>4</v>
      </c>
      <c r="E431" s="3">
        <v>9</v>
      </c>
      <c r="F431" s="3" t="str">
        <f>HYPERLINK("https://www.boe.es/gazeta/dias/1809/09/23/pdfs/GMD-1809-267.pdf","Abrir PDF")</f>
        <v>Abrir PDF</v>
      </c>
    </row>
    <row r="432" spans="1:6" ht="30.95" customHeight="1">
      <c r="A432" s="2" t="s">
        <v>1206</v>
      </c>
      <c r="B432" s="2" t="s">
        <v>6462</v>
      </c>
      <c r="C432" s="2" t="s">
        <v>14144</v>
      </c>
      <c r="D432" s="3">
        <v>8</v>
      </c>
      <c r="E432" s="3">
        <v>5</v>
      </c>
      <c r="F432" s="3" t="str">
        <f>HYPERLINK("https://www.boe.es/gazeta/dias/1809/09/23/pdfs/GGB-1809-232.pdf","Abrir PDF")</f>
        <v>Abrir PDF</v>
      </c>
    </row>
    <row r="433" spans="1:6" ht="30.95" customHeight="1">
      <c r="A433" s="2" t="s">
        <v>1206</v>
      </c>
      <c r="B433" s="2" t="s">
        <v>1207</v>
      </c>
      <c r="C433" s="2" t="s">
        <v>14145</v>
      </c>
      <c r="D433" s="3">
        <v>8</v>
      </c>
      <c r="E433" s="3">
        <v>26</v>
      </c>
      <c r="F433" s="3" t="str">
        <f>HYPERLINK("https://www.boe.es/gazeta/dias/1809/09/23/pdfs/GGB-H-1809-232.pdf","Abrir PDF")</f>
        <v>Abrir PDF</v>
      </c>
    </row>
    <row r="434" spans="1:6" ht="30.95" customHeight="1">
      <c r="A434" s="2" t="s">
        <v>2805</v>
      </c>
      <c r="B434" s="2" t="s">
        <v>2806</v>
      </c>
      <c r="C434" s="2" t="s">
        <v>14146</v>
      </c>
      <c r="D434" s="3">
        <v>4</v>
      </c>
      <c r="E434" s="3">
        <v>3</v>
      </c>
      <c r="F434" s="3" t="str">
        <f>HYPERLINK("https://www.boe.es/gazeta/dias/1809/09/24/pdfs/GMD-1809-268.pdf","Abrir PDF")</f>
        <v>Abrir PDF</v>
      </c>
    </row>
    <row r="435" spans="1:6" ht="30.95" customHeight="1">
      <c r="A435" s="2" t="s">
        <v>14147</v>
      </c>
      <c r="B435" s="2" t="s">
        <v>14148</v>
      </c>
      <c r="C435" s="2" t="s">
        <v>14149</v>
      </c>
      <c r="D435" s="3">
        <v>4</v>
      </c>
      <c r="E435" s="3">
        <v>0</v>
      </c>
      <c r="F435" s="3" t="str">
        <f>HYPERLINK("https://www.boe.es/gazeta/dias/1809/09/25/pdfs/GMD-1809-269.pdf","Abrir PDF")</f>
        <v>Abrir PDF</v>
      </c>
    </row>
    <row r="436" spans="1:6" ht="30.95" customHeight="1">
      <c r="A436" s="2" t="s">
        <v>387</v>
      </c>
      <c r="B436" s="2" t="s">
        <v>388</v>
      </c>
      <c r="C436" s="2" t="s">
        <v>14150</v>
      </c>
      <c r="D436" s="3">
        <v>4</v>
      </c>
      <c r="E436" s="3">
        <v>5</v>
      </c>
      <c r="F436" s="3" t="str">
        <f>HYPERLINK("https://www.boe.es/gazeta/dias/1809/09/26/pdfs/GMD-1809-270.pdf","Abrir PDF")</f>
        <v>Abrir PDF</v>
      </c>
    </row>
    <row r="437" spans="1:6" ht="30.95" customHeight="1">
      <c r="A437" s="2" t="s">
        <v>387</v>
      </c>
      <c r="B437" s="2" t="s">
        <v>1847</v>
      </c>
      <c r="C437" s="2" t="s">
        <v>14151</v>
      </c>
      <c r="D437" s="3">
        <v>8</v>
      </c>
      <c r="E437" s="3">
        <v>11</v>
      </c>
      <c r="F437" s="3" t="str">
        <f>HYPERLINK("https://www.boe.es/gazeta/dias/1809/09/26/pdfs/GGB-1809-242.pdf","Abrir PDF")</f>
        <v>Abrir PDF</v>
      </c>
    </row>
    <row r="438" spans="1:6" ht="30.95" customHeight="1">
      <c r="A438" s="2" t="s">
        <v>3279</v>
      </c>
      <c r="B438" s="2" t="s">
        <v>3280</v>
      </c>
      <c r="C438" s="2" t="s">
        <v>14152</v>
      </c>
      <c r="D438" s="3">
        <v>4</v>
      </c>
      <c r="E438" s="3">
        <v>5</v>
      </c>
      <c r="F438" s="3" t="str">
        <f>HYPERLINK("https://www.boe.es/gazeta/dias/1809/09/27/pdfs/GMD-1809-271.pdf","Abrir PDF")</f>
        <v>Abrir PDF</v>
      </c>
    </row>
    <row r="439" spans="1:6" ht="30.95" customHeight="1">
      <c r="A439" s="2" t="s">
        <v>102</v>
      </c>
      <c r="B439" s="2" t="s">
        <v>1095</v>
      </c>
      <c r="C439" s="2" t="s">
        <v>14153</v>
      </c>
      <c r="D439" s="3">
        <v>4</v>
      </c>
      <c r="E439" s="3">
        <v>23</v>
      </c>
      <c r="F439" s="3" t="str">
        <f>HYPERLINK("https://www.boe.es/gazeta/dias/1809/09/28/pdfs/GMD-1809-272.pdf","Abrir PDF")</f>
        <v>Abrir PDF</v>
      </c>
    </row>
    <row r="440" spans="1:6" ht="30.95" customHeight="1">
      <c r="A440" s="2" t="s">
        <v>102</v>
      </c>
      <c r="B440" s="2" t="s">
        <v>103</v>
      </c>
      <c r="C440" s="2" t="s">
        <v>14154</v>
      </c>
      <c r="D440" s="3">
        <v>8</v>
      </c>
      <c r="E440" s="3">
        <v>107</v>
      </c>
      <c r="F440" s="3" t="str">
        <f>HYPERLINK("https://www.boe.es/gazeta/dias/1809/09/28/pdfs/GGB-1809-252.pdf","Abrir PDF")</f>
        <v>Abrir PDF</v>
      </c>
    </row>
    <row r="441" spans="1:6" ht="30.95" customHeight="1">
      <c r="A441" s="2" t="s">
        <v>2643</v>
      </c>
      <c r="B441" s="2" t="s">
        <v>2644</v>
      </c>
      <c r="C441" s="2" t="s">
        <v>14155</v>
      </c>
      <c r="D441" s="3">
        <v>4</v>
      </c>
      <c r="E441" s="3">
        <v>5</v>
      </c>
      <c r="F441" s="3" t="str">
        <f>HYPERLINK("https://www.boe.es/gazeta/dias/1809/09/29/pdfs/GMD-1809-273.pdf","Abrir PDF")</f>
        <v>Abrir PDF</v>
      </c>
    </row>
    <row r="442" spans="1:6" ht="30.95" customHeight="1">
      <c r="A442" s="2" t="s">
        <v>294</v>
      </c>
      <c r="B442" s="2" t="s">
        <v>7450</v>
      </c>
      <c r="C442" s="2" t="s">
        <v>14156</v>
      </c>
      <c r="D442" s="3">
        <v>4</v>
      </c>
      <c r="E442" s="3">
        <v>1</v>
      </c>
      <c r="F442" s="3" t="str">
        <f>HYPERLINK("https://www.boe.es/gazeta/dias/1809/09/30/pdfs/GMD-1809-274.pdf","Abrir PDF")</f>
        <v>Abrir PDF</v>
      </c>
    </row>
    <row r="443" spans="1:6" ht="30.95" customHeight="1">
      <c r="A443" s="2" t="s">
        <v>294</v>
      </c>
      <c r="B443" s="2" t="s">
        <v>1360</v>
      </c>
      <c r="C443" s="2" t="s">
        <v>14157</v>
      </c>
      <c r="D443" s="3">
        <v>8</v>
      </c>
      <c r="E443" s="3">
        <v>32</v>
      </c>
      <c r="F443" s="3" t="str">
        <f>HYPERLINK("https://www.boe.es/gazeta/dias/1809/09/30/pdfs/GGB-1809-262.pdf","Abrir PDF")</f>
        <v>Abrir PDF</v>
      </c>
    </row>
    <row r="444" spans="1:6" ht="30.95" customHeight="1">
      <c r="A444" s="2" t="s">
        <v>294</v>
      </c>
      <c r="B444" s="2" t="s">
        <v>295</v>
      </c>
      <c r="C444" s="2" t="s">
        <v>14158</v>
      </c>
      <c r="D444" s="3">
        <v>4</v>
      </c>
      <c r="E444" s="3">
        <v>17</v>
      </c>
      <c r="F444" s="3" t="str">
        <f>HYPERLINK("https://www.boe.es/gazeta/dias/1809/09/30/pdfs/GGB-H-1809-262.pdf","Abrir PDF")</f>
        <v>Abrir PDF</v>
      </c>
    </row>
    <row r="445" spans="1:6" ht="30.95" customHeight="1">
      <c r="A445" s="2" t="s">
        <v>445</v>
      </c>
      <c r="B445" s="2" t="s">
        <v>446</v>
      </c>
      <c r="C445" s="2" t="s">
        <v>14159</v>
      </c>
      <c r="D445" s="3">
        <v>4</v>
      </c>
      <c r="E445" s="3">
        <v>13</v>
      </c>
      <c r="F445" s="3" t="str">
        <f>HYPERLINK("https://www.boe.es/gazeta/dias/1809/10/01/pdfs/GMD-1809-275.pdf","Abrir PDF")</f>
        <v>Abrir PDF</v>
      </c>
    </row>
    <row r="446" spans="1:6" ht="30.95" customHeight="1">
      <c r="A446" s="2" t="s">
        <v>7566</v>
      </c>
      <c r="B446" s="2" t="s">
        <v>7567</v>
      </c>
      <c r="C446" s="2" t="s">
        <v>14160</v>
      </c>
      <c r="D446" s="3">
        <v>4</v>
      </c>
      <c r="E446" s="3">
        <v>4</v>
      </c>
      <c r="F446" s="3" t="str">
        <f>HYPERLINK("https://www.boe.es/gazeta/dias/1809/10/02/pdfs/GMD-1809-276.pdf","Abrir PDF")</f>
        <v>Abrir PDF</v>
      </c>
    </row>
    <row r="447" spans="1:6" ht="30.95" customHeight="1">
      <c r="A447" s="2" t="s">
        <v>48</v>
      </c>
      <c r="B447" s="2" t="s">
        <v>49</v>
      </c>
      <c r="C447" s="2" t="s">
        <v>14161</v>
      </c>
      <c r="D447" s="3">
        <v>4</v>
      </c>
      <c r="E447" s="3">
        <v>7</v>
      </c>
      <c r="F447" s="3" t="str">
        <f>HYPERLINK("https://www.boe.es/gazeta/dias/1809/10/03/pdfs/GMD-1809-277.pdf","Abrir PDF")</f>
        <v>Abrir PDF</v>
      </c>
    </row>
    <row r="448" spans="1:6" ht="30.95" customHeight="1">
      <c r="A448" s="2" t="s">
        <v>48</v>
      </c>
      <c r="B448" s="2" t="s">
        <v>1718</v>
      </c>
      <c r="C448" s="2" t="s">
        <v>14162</v>
      </c>
      <c r="D448" s="3">
        <v>8</v>
      </c>
      <c r="E448" s="3">
        <v>12</v>
      </c>
      <c r="F448" s="3" t="str">
        <f>HYPERLINK("https://www.boe.es/gazeta/dias/1809/10/03/pdfs/GGB-1809-272.pdf","Abrir PDF")</f>
        <v>Abrir PDF</v>
      </c>
    </row>
    <row r="449" spans="1:6" ht="30.95" customHeight="1">
      <c r="A449" s="2" t="s">
        <v>645</v>
      </c>
      <c r="B449" s="2" t="s">
        <v>646</v>
      </c>
      <c r="C449" s="2" t="s">
        <v>14163</v>
      </c>
      <c r="D449" s="3">
        <v>4</v>
      </c>
      <c r="E449" s="3">
        <v>5</v>
      </c>
      <c r="F449" s="3" t="str">
        <f>HYPERLINK("https://www.boe.es/gazeta/dias/1809/10/04/pdfs/GMD-1809-278.pdf","Abrir PDF")</f>
        <v>Abrir PDF</v>
      </c>
    </row>
    <row r="450" spans="1:6" ht="30.95" customHeight="1">
      <c r="A450" s="2" t="s">
        <v>589</v>
      </c>
      <c r="B450" s="2" t="s">
        <v>1329</v>
      </c>
      <c r="C450" s="2" t="s">
        <v>14164</v>
      </c>
      <c r="D450" s="3">
        <v>4</v>
      </c>
      <c r="E450" s="3">
        <v>5</v>
      </c>
      <c r="F450" s="3" t="str">
        <f>HYPERLINK("https://www.boe.es/gazeta/dias/1809/10/05/pdfs/GMD-1809-279.pdf","Abrir PDF")</f>
        <v>Abrir PDF</v>
      </c>
    </row>
    <row r="451" spans="1:6" ht="30.95" customHeight="1">
      <c r="A451" s="2" t="s">
        <v>589</v>
      </c>
      <c r="B451" s="2" t="s">
        <v>14165</v>
      </c>
      <c r="C451" s="2" t="s">
        <v>14166</v>
      </c>
      <c r="D451" s="3">
        <v>1</v>
      </c>
      <c r="E451" s="3">
        <v>0</v>
      </c>
      <c r="F451" s="3" t="str">
        <f>HYPERLINK("https://www.boe.es/gazeta/dias/1809/10/05/pdfs/GMD-E-1809-279.pdf","Abrir PDF")</f>
        <v>Abrir PDF</v>
      </c>
    </row>
    <row r="452" spans="1:6" ht="30.95" customHeight="1">
      <c r="A452" s="2" t="s">
        <v>589</v>
      </c>
      <c r="B452" s="2" t="s">
        <v>590</v>
      </c>
      <c r="C452" s="2" t="s">
        <v>14167</v>
      </c>
      <c r="D452" s="3">
        <v>8</v>
      </c>
      <c r="E452" s="3">
        <v>17</v>
      </c>
      <c r="F452" s="3" t="str">
        <f>HYPERLINK("https://www.boe.es/gazeta/dias/1809/10/05/pdfs/GGB-1809-282.pdf","Abrir PDF")</f>
        <v>Abrir PDF</v>
      </c>
    </row>
    <row r="453" spans="1:6" ht="30.95" customHeight="1">
      <c r="A453" s="2" t="s">
        <v>2808</v>
      </c>
      <c r="B453" s="2" t="s">
        <v>2809</v>
      </c>
      <c r="C453" s="2" t="s">
        <v>14168</v>
      </c>
      <c r="D453" s="3">
        <v>4</v>
      </c>
      <c r="E453" s="3">
        <v>5</v>
      </c>
      <c r="F453" s="3" t="str">
        <f>HYPERLINK("https://www.boe.es/gazeta/dias/1809/10/06/pdfs/GMD-1809-280.pdf","Abrir PDF")</f>
        <v>Abrir PDF</v>
      </c>
    </row>
    <row r="454" spans="1:6" ht="30.95" customHeight="1">
      <c r="A454" s="2" t="s">
        <v>147</v>
      </c>
      <c r="B454" s="2" t="s">
        <v>2411</v>
      </c>
      <c r="C454" s="2" t="s">
        <v>14169</v>
      </c>
      <c r="D454" s="3">
        <v>4</v>
      </c>
      <c r="E454" s="3">
        <v>4</v>
      </c>
      <c r="F454" s="3" t="str">
        <f>HYPERLINK("https://www.boe.es/gazeta/dias/1809/10/07/pdfs/GMD-1809-281.pdf","Abrir PDF")</f>
        <v>Abrir PDF</v>
      </c>
    </row>
    <row r="455" spans="1:6" ht="30.95" customHeight="1">
      <c r="A455" s="2" t="s">
        <v>147</v>
      </c>
      <c r="B455" s="2" t="s">
        <v>148</v>
      </c>
      <c r="C455" s="2" t="s">
        <v>14170</v>
      </c>
      <c r="D455" s="3">
        <v>8</v>
      </c>
      <c r="E455" s="3">
        <v>13</v>
      </c>
      <c r="F455" s="3" t="str">
        <f>HYPERLINK("https://www.boe.es/gazeta/dias/1809/10/07/pdfs/GGB-1809-292.pdf","Abrir PDF")</f>
        <v>Abrir PDF</v>
      </c>
    </row>
    <row r="456" spans="1:6" ht="30.95" customHeight="1">
      <c r="A456" s="2" t="s">
        <v>147</v>
      </c>
      <c r="B456" s="2" t="s">
        <v>562</v>
      </c>
      <c r="C456" s="2" t="s">
        <v>14171</v>
      </c>
      <c r="D456" s="3">
        <v>8</v>
      </c>
      <c r="E456" s="3">
        <v>28</v>
      </c>
      <c r="F456" s="3" t="str">
        <f>HYPERLINK("https://www.boe.es/gazeta/dias/1809/10/07/pdfs/GGB-H-1809-292.pdf","Abrir PDF")</f>
        <v>Abrir PDF</v>
      </c>
    </row>
    <row r="457" spans="1:6" ht="30.95" customHeight="1">
      <c r="A457" s="2" t="s">
        <v>649</v>
      </c>
      <c r="B457" s="2" t="s">
        <v>650</v>
      </c>
      <c r="C457" s="2" t="s">
        <v>14172</v>
      </c>
      <c r="D457" s="3">
        <v>4</v>
      </c>
      <c r="E457" s="3">
        <v>7</v>
      </c>
      <c r="F457" s="3" t="str">
        <f>HYPERLINK("https://www.boe.es/gazeta/dias/1809/10/08/pdfs/GMD-1809-282.pdf","Abrir PDF")</f>
        <v>Abrir PDF</v>
      </c>
    </row>
    <row r="458" spans="1:6" ht="30.95" customHeight="1">
      <c r="A458" s="2" t="s">
        <v>4858</v>
      </c>
      <c r="B458" s="2" t="s">
        <v>4859</v>
      </c>
      <c r="C458" s="2" t="s">
        <v>14173</v>
      </c>
      <c r="D458" s="3">
        <v>4</v>
      </c>
      <c r="E458" s="3">
        <v>4</v>
      </c>
      <c r="F458" s="3" t="str">
        <f>HYPERLINK("https://www.boe.es/gazeta/dias/1809/10/09/pdfs/GMD-1809-283.pdf","Abrir PDF")</f>
        <v>Abrir PDF</v>
      </c>
    </row>
    <row r="459" spans="1:6" ht="30.95" customHeight="1">
      <c r="A459" s="2" t="s">
        <v>449</v>
      </c>
      <c r="B459" s="2" t="s">
        <v>640</v>
      </c>
      <c r="C459" s="2" t="s">
        <v>14174</v>
      </c>
      <c r="D459" s="3">
        <v>4</v>
      </c>
      <c r="E459" s="3">
        <v>6</v>
      </c>
      <c r="F459" s="3" t="str">
        <f>HYPERLINK("https://www.boe.es/gazeta/dias/1809/10/10/pdfs/GMD-1809-284.pdf","Abrir PDF")</f>
        <v>Abrir PDF</v>
      </c>
    </row>
    <row r="460" spans="1:6" ht="30.95" customHeight="1">
      <c r="A460" s="2" t="s">
        <v>449</v>
      </c>
      <c r="B460" s="2" t="s">
        <v>450</v>
      </c>
      <c r="C460" s="2" t="s">
        <v>14175</v>
      </c>
      <c r="D460" s="3">
        <v>8</v>
      </c>
      <c r="E460" s="3">
        <v>8</v>
      </c>
      <c r="F460" s="3" t="str">
        <f>HYPERLINK("https://www.boe.es/gazeta/dias/1809/10/10/pdfs/GGB-1809-302.pdf","Abrir PDF")</f>
        <v>Abrir PDF</v>
      </c>
    </row>
    <row r="461" spans="1:6" ht="30.95" customHeight="1">
      <c r="A461" s="2" t="s">
        <v>1822</v>
      </c>
      <c r="B461" s="2" t="s">
        <v>1823</v>
      </c>
      <c r="C461" s="2" t="s">
        <v>14176</v>
      </c>
      <c r="D461" s="3">
        <v>4</v>
      </c>
      <c r="E461" s="3">
        <v>9</v>
      </c>
      <c r="F461" s="3" t="str">
        <f>HYPERLINK("https://www.boe.es/gazeta/dias/1809/10/11/pdfs/GMD-1809-285.pdf","Abrir PDF")</f>
        <v>Abrir PDF</v>
      </c>
    </row>
    <row r="462" spans="1:6" ht="30.95" customHeight="1">
      <c r="A462" s="2" t="s">
        <v>1803</v>
      </c>
      <c r="B462" s="2" t="s">
        <v>1804</v>
      </c>
      <c r="C462" s="2" t="s">
        <v>14177</v>
      </c>
      <c r="D462" s="3">
        <v>4</v>
      </c>
      <c r="E462" s="3">
        <v>5</v>
      </c>
      <c r="F462" s="3" t="str">
        <f>HYPERLINK("https://www.boe.es/gazeta/dias/1809/10/12/pdfs/GMD-1809-286.pdf","Abrir PDF")</f>
        <v>Abrir PDF</v>
      </c>
    </row>
    <row r="463" spans="1:6" ht="30.95" customHeight="1">
      <c r="A463" s="2" t="s">
        <v>1803</v>
      </c>
      <c r="B463" s="2" t="s">
        <v>6955</v>
      </c>
      <c r="C463" s="2" t="s">
        <v>14178</v>
      </c>
      <c r="D463" s="3">
        <v>8</v>
      </c>
      <c r="E463" s="3">
        <v>5</v>
      </c>
      <c r="F463" s="3" t="str">
        <f>HYPERLINK("https://www.boe.es/gazeta/dias/1809/10/12/pdfs/GGB-1809-312.pdf","Abrir PDF")</f>
        <v>Abrir PDF</v>
      </c>
    </row>
    <row r="464" spans="1:6" ht="30.95" customHeight="1">
      <c r="A464" s="2" t="s">
        <v>518</v>
      </c>
      <c r="B464" s="2" t="s">
        <v>519</v>
      </c>
      <c r="C464" s="2" t="s">
        <v>14179</v>
      </c>
      <c r="D464" s="3">
        <v>4</v>
      </c>
      <c r="E464" s="3">
        <v>3</v>
      </c>
      <c r="F464" s="3" t="str">
        <f>HYPERLINK("https://www.boe.es/gazeta/dias/1809/10/13/pdfs/GMD-1809-287.pdf","Abrir PDF")</f>
        <v>Abrir PDF</v>
      </c>
    </row>
    <row r="465" spans="1:6" ht="30.95" customHeight="1">
      <c r="A465" s="2" t="s">
        <v>190</v>
      </c>
      <c r="B465" s="2" t="s">
        <v>3283</v>
      </c>
      <c r="C465" s="2" t="s">
        <v>14180</v>
      </c>
      <c r="D465" s="3">
        <v>4</v>
      </c>
      <c r="E465" s="3">
        <v>11</v>
      </c>
      <c r="F465" s="3" t="str">
        <f>HYPERLINK("https://www.boe.es/gazeta/dias/1809/10/14/pdfs/GMD-1809-288.pdf","Abrir PDF")</f>
        <v>Abrir PDF</v>
      </c>
    </row>
    <row r="466" spans="1:6" ht="30.95" customHeight="1">
      <c r="A466" s="2" t="s">
        <v>190</v>
      </c>
      <c r="B466" s="2" t="s">
        <v>191</v>
      </c>
      <c r="C466" s="2" t="s">
        <v>14181</v>
      </c>
      <c r="D466" s="3">
        <v>8</v>
      </c>
      <c r="E466" s="3">
        <v>9</v>
      </c>
      <c r="F466" s="3" t="str">
        <f>HYPERLINK("https://www.boe.es/gazeta/dias/1809/10/14/pdfs/GGB-1809-322.pdf","Abrir PDF")</f>
        <v>Abrir PDF</v>
      </c>
    </row>
    <row r="467" spans="1:6" ht="30.95" customHeight="1">
      <c r="A467" s="2" t="s">
        <v>190</v>
      </c>
      <c r="B467" s="2" t="s">
        <v>3505</v>
      </c>
      <c r="C467" s="2" t="s">
        <v>14182</v>
      </c>
      <c r="D467" s="3">
        <v>8</v>
      </c>
      <c r="E467" s="3">
        <v>15</v>
      </c>
      <c r="F467" s="3" t="str">
        <f>HYPERLINK("https://www.boe.es/gazeta/dias/1809/10/14/pdfs/GGB-H-1809-322.pdf","Abrir PDF")</f>
        <v>Abrir PDF</v>
      </c>
    </row>
    <row r="468" spans="1:6" ht="30.95" customHeight="1">
      <c r="A468" s="2" t="s">
        <v>616</v>
      </c>
      <c r="B468" s="2" t="s">
        <v>617</v>
      </c>
      <c r="C468" s="2" t="s">
        <v>14183</v>
      </c>
      <c r="D468" s="3">
        <v>4</v>
      </c>
      <c r="E468" s="3">
        <v>20</v>
      </c>
      <c r="F468" s="3" t="str">
        <f>HYPERLINK("https://www.boe.es/gazeta/dias/1809/10/15/pdfs/GMD-1809-289.pdf","Abrir PDF")</f>
        <v>Abrir PDF</v>
      </c>
    </row>
    <row r="469" spans="1:6" ht="30.95" customHeight="1">
      <c r="A469" s="2" t="s">
        <v>3308</v>
      </c>
      <c r="B469" s="2" t="s">
        <v>3309</v>
      </c>
      <c r="C469" s="2" t="s">
        <v>14184</v>
      </c>
      <c r="D469" s="3">
        <v>4</v>
      </c>
      <c r="E469" s="3">
        <v>3</v>
      </c>
      <c r="F469" s="3" t="str">
        <f>HYPERLINK("https://www.boe.es/gazeta/dias/1809/10/16/pdfs/GMD-1809-290.pdf","Abrir PDF")</f>
        <v>Abrir PDF</v>
      </c>
    </row>
    <row r="470" spans="1:6" ht="30.95" customHeight="1">
      <c r="A470" s="2" t="s">
        <v>7514</v>
      </c>
      <c r="B470" s="2" t="s">
        <v>9191</v>
      </c>
      <c r="C470" s="2" t="s">
        <v>14185</v>
      </c>
      <c r="D470" s="3">
        <v>4</v>
      </c>
      <c r="E470" s="3">
        <v>1</v>
      </c>
      <c r="F470" s="3" t="str">
        <f>HYPERLINK("https://www.boe.es/gazeta/dias/1809/10/17/pdfs/GMD-1809-291.pdf","Abrir PDF")</f>
        <v>Abrir PDF</v>
      </c>
    </row>
    <row r="471" spans="1:6" ht="30.95" customHeight="1">
      <c r="A471" s="2" t="s">
        <v>7514</v>
      </c>
      <c r="B471" s="2" t="s">
        <v>7515</v>
      </c>
      <c r="C471" s="2" t="s">
        <v>14186</v>
      </c>
      <c r="D471" s="3">
        <v>8</v>
      </c>
      <c r="E471" s="3">
        <v>6</v>
      </c>
      <c r="F471" s="3" t="str">
        <f>HYPERLINK("https://www.boe.es/gazeta/dias/1809/10/17/pdfs/GGB-1809-332.pdf","Abrir PDF")</f>
        <v>Abrir PDF</v>
      </c>
    </row>
    <row r="472" spans="1:6" ht="30.95" customHeight="1">
      <c r="A472" s="2" t="s">
        <v>1761</v>
      </c>
      <c r="B472" s="2" t="s">
        <v>1762</v>
      </c>
      <c r="C472" s="2" t="s">
        <v>14187</v>
      </c>
      <c r="D472" s="3">
        <v>4</v>
      </c>
      <c r="E472" s="3">
        <v>11</v>
      </c>
      <c r="F472" s="3" t="str">
        <f>HYPERLINK("https://www.boe.es/gazeta/dias/1809/10/18/pdfs/GMD-1809-292.pdf","Abrir PDF")</f>
        <v>Abrir PDF</v>
      </c>
    </row>
    <row r="473" spans="1:6" ht="30.95" customHeight="1">
      <c r="A473" s="2" t="s">
        <v>390</v>
      </c>
      <c r="B473" s="2" t="s">
        <v>2858</v>
      </c>
      <c r="C473" s="2" t="s">
        <v>14188</v>
      </c>
      <c r="D473" s="3">
        <v>4</v>
      </c>
      <c r="E473" s="3">
        <v>6</v>
      </c>
      <c r="F473" s="3" t="str">
        <f>HYPERLINK("https://www.boe.es/gazeta/dias/1809/10/19/pdfs/GMD-1809-293.pdf","Abrir PDF")</f>
        <v>Abrir PDF</v>
      </c>
    </row>
    <row r="474" spans="1:6" ht="30.95" customHeight="1">
      <c r="A474" s="2" t="s">
        <v>390</v>
      </c>
      <c r="B474" s="2" t="s">
        <v>391</v>
      </c>
      <c r="C474" s="2" t="s">
        <v>14189</v>
      </c>
      <c r="D474" s="3">
        <v>8</v>
      </c>
      <c r="E474" s="3">
        <v>21</v>
      </c>
      <c r="F474" s="3" t="str">
        <f>HYPERLINK("https://www.boe.es/gazeta/dias/1809/10/19/pdfs/GGB-1809-342.pdf","Abrir PDF")</f>
        <v>Abrir PDF</v>
      </c>
    </row>
    <row r="475" spans="1:6" ht="30.95" customHeight="1">
      <c r="A475" s="2" t="s">
        <v>305</v>
      </c>
      <c r="B475" s="2" t="s">
        <v>306</v>
      </c>
      <c r="C475" s="2" t="s">
        <v>14190</v>
      </c>
      <c r="D475" s="3">
        <v>4</v>
      </c>
      <c r="E475" s="3">
        <v>38</v>
      </c>
      <c r="F475" s="3" t="str">
        <f>HYPERLINK("https://www.boe.es/gazeta/dias/1809/10/20/pdfs/GMD-1809-294.pdf","Abrir PDF")</f>
        <v>Abrir PDF</v>
      </c>
    </row>
    <row r="476" spans="1:6" ht="30.95" customHeight="1">
      <c r="A476" s="2" t="s">
        <v>487</v>
      </c>
      <c r="B476" s="2" t="s">
        <v>5579</v>
      </c>
      <c r="C476" s="2" t="s">
        <v>14191</v>
      </c>
      <c r="D476" s="3">
        <v>4</v>
      </c>
      <c r="E476" s="3">
        <v>6</v>
      </c>
      <c r="F476" s="3" t="str">
        <f>HYPERLINK("https://www.boe.es/gazeta/dias/1809/10/21/pdfs/GMD-1809-295.pdf","Abrir PDF")</f>
        <v>Abrir PDF</v>
      </c>
    </row>
    <row r="477" spans="1:6" ht="30.95" customHeight="1">
      <c r="A477" s="2" t="s">
        <v>487</v>
      </c>
      <c r="B477" s="2" t="s">
        <v>488</v>
      </c>
      <c r="C477" s="2" t="s">
        <v>14192</v>
      </c>
      <c r="D477" s="3">
        <v>8</v>
      </c>
      <c r="E477" s="3">
        <v>5</v>
      </c>
      <c r="F477" s="3" t="str">
        <f>HYPERLINK("https://www.boe.es/gazeta/dias/1809/10/21/pdfs/GGB-1809-352.pdf","Abrir PDF")</f>
        <v>Abrir PDF</v>
      </c>
    </row>
    <row r="478" spans="1:6" ht="30.95" customHeight="1">
      <c r="A478" s="2" t="s">
        <v>14193</v>
      </c>
      <c r="B478" s="2" t="s">
        <v>14194</v>
      </c>
      <c r="C478" s="2" t="s">
        <v>14195</v>
      </c>
      <c r="D478" s="3">
        <v>4</v>
      </c>
      <c r="E478" s="3">
        <v>0</v>
      </c>
      <c r="F478" s="3" t="str">
        <f>HYPERLINK("https://www.boe.es/gazeta/dias/1809/10/22/pdfs/GMD-1809-296.pdf","Abrir PDF")</f>
        <v>Abrir PDF</v>
      </c>
    </row>
    <row r="479" spans="1:6" ht="30.95" customHeight="1">
      <c r="A479" s="2" t="s">
        <v>1080</v>
      </c>
      <c r="B479" s="2" t="s">
        <v>1081</v>
      </c>
      <c r="C479" s="2" t="s">
        <v>14196</v>
      </c>
      <c r="D479" s="3">
        <v>4</v>
      </c>
      <c r="E479" s="3">
        <v>1</v>
      </c>
      <c r="F479" s="3" t="str">
        <f>HYPERLINK("https://www.boe.es/gazeta/dias/1809/10/23/pdfs/GMD-1809-297.pdf","Abrir PDF")</f>
        <v>Abrir PDF</v>
      </c>
    </row>
    <row r="480" spans="1:6" ht="30.95" customHeight="1">
      <c r="A480" s="2" t="s">
        <v>1080</v>
      </c>
      <c r="B480" s="2" t="s">
        <v>1722</v>
      </c>
      <c r="C480" s="2" t="s">
        <v>14197</v>
      </c>
      <c r="D480" s="3">
        <v>4</v>
      </c>
      <c r="E480" s="3">
        <v>4</v>
      </c>
      <c r="F480" s="3" t="str">
        <f>HYPERLINK("https://www.boe.es/gazeta/dias/1809/10/23/pdfs/GMD-E-1809-297.pdf","Abrir PDF")</f>
        <v>Abrir PDF</v>
      </c>
    </row>
    <row r="481" spans="1:6" ht="30.95" customHeight="1">
      <c r="A481" s="2" t="s">
        <v>695</v>
      </c>
      <c r="B481" s="2" t="s">
        <v>14198</v>
      </c>
      <c r="C481" s="2" t="s">
        <v>14199</v>
      </c>
      <c r="D481" s="3">
        <v>4</v>
      </c>
      <c r="E481" s="3">
        <v>0</v>
      </c>
      <c r="F481" s="3" t="str">
        <f>HYPERLINK("https://www.boe.es/gazeta/dias/1809/10/24/pdfs/GMD-1809-298.pdf","Abrir PDF")</f>
        <v>Abrir PDF</v>
      </c>
    </row>
    <row r="482" spans="1:6" ht="30.95" customHeight="1">
      <c r="A482" s="2" t="s">
        <v>695</v>
      </c>
      <c r="B482" s="2" t="s">
        <v>696</v>
      </c>
      <c r="C482" s="2" t="s">
        <v>14200</v>
      </c>
      <c r="D482" s="3">
        <v>8</v>
      </c>
      <c r="E482" s="3">
        <v>15</v>
      </c>
      <c r="F482" s="3" t="str">
        <f>HYPERLINK("https://www.boe.es/gazeta/dias/1809/10/24/pdfs/GGB-1809-362.pdf","Abrir PDF")</f>
        <v>Abrir PDF</v>
      </c>
    </row>
    <row r="483" spans="1:6" ht="30.95" customHeight="1">
      <c r="A483" s="2" t="s">
        <v>695</v>
      </c>
      <c r="B483" s="2" t="s">
        <v>1658</v>
      </c>
      <c r="C483" s="2" t="s">
        <v>14201</v>
      </c>
      <c r="D483" s="3">
        <v>8</v>
      </c>
      <c r="E483" s="3">
        <v>11</v>
      </c>
      <c r="F483" s="3" t="str">
        <f>HYPERLINK("https://www.boe.es/gazeta/dias/1809/10/24/pdfs/GGB-H-1809-362.pdf","Abrir PDF")</f>
        <v>Abrir PDF</v>
      </c>
    </row>
    <row r="484" spans="1:6" ht="30.95" customHeight="1">
      <c r="A484" s="2" t="s">
        <v>14202</v>
      </c>
      <c r="B484" s="2" t="s">
        <v>14203</v>
      </c>
      <c r="C484" s="2" t="s">
        <v>14204</v>
      </c>
      <c r="D484" s="3">
        <v>4</v>
      </c>
      <c r="E484" s="3">
        <v>0</v>
      </c>
      <c r="F484" s="3" t="str">
        <f>HYPERLINK("https://www.boe.es/gazeta/dias/1809/10/25/pdfs/GMD-1809-299.pdf","Abrir PDF")</f>
        <v>Abrir PDF</v>
      </c>
    </row>
    <row r="485" spans="1:6" ht="30.95" customHeight="1">
      <c r="A485" s="2" t="s">
        <v>6817</v>
      </c>
      <c r="B485" s="2" t="s">
        <v>6818</v>
      </c>
      <c r="C485" s="2" t="s">
        <v>14205</v>
      </c>
      <c r="D485" s="3">
        <v>4</v>
      </c>
      <c r="E485" s="3">
        <v>1</v>
      </c>
      <c r="F485" s="3" t="str">
        <f>HYPERLINK("https://www.boe.es/gazeta/dias/1809/10/26/pdfs/GMD-1809-300.pdf","Abrir PDF")</f>
        <v>Abrir PDF</v>
      </c>
    </row>
    <row r="486" spans="1:6" ht="30.95" customHeight="1">
      <c r="A486" s="2" t="s">
        <v>211</v>
      </c>
      <c r="B486" s="2" t="s">
        <v>212</v>
      </c>
      <c r="C486" s="2" t="s">
        <v>14206</v>
      </c>
      <c r="D486" s="3">
        <v>4</v>
      </c>
      <c r="E486" s="3">
        <v>123</v>
      </c>
      <c r="F486" s="3" t="str">
        <f>HYPERLINK("https://www.boe.es/gazeta/dias/1809/10/27/pdfs/GMD-1809-301.pdf","Abrir PDF")</f>
        <v>Abrir PDF</v>
      </c>
    </row>
    <row r="487" spans="1:6" ht="30.95" customHeight="1">
      <c r="A487" s="2" t="s">
        <v>933</v>
      </c>
      <c r="B487" s="2" t="s">
        <v>934</v>
      </c>
      <c r="C487" s="2" t="s">
        <v>14207</v>
      </c>
      <c r="D487" s="3">
        <v>4</v>
      </c>
      <c r="E487" s="3">
        <v>8</v>
      </c>
      <c r="F487" s="3" t="str">
        <f>HYPERLINK("https://www.boe.es/gazeta/dias/1809/10/28/pdfs/GMD-1809-302.pdf","Abrir PDF")</f>
        <v>Abrir PDF</v>
      </c>
    </row>
    <row r="488" spans="1:6" ht="30.95" customHeight="1">
      <c r="A488" s="2" t="s">
        <v>933</v>
      </c>
      <c r="B488" s="2" t="s">
        <v>1363</v>
      </c>
      <c r="C488" s="2" t="s">
        <v>14208</v>
      </c>
      <c r="D488" s="3">
        <v>8</v>
      </c>
      <c r="E488" s="3">
        <v>9</v>
      </c>
      <c r="F488" s="3" t="str">
        <f>HYPERLINK("https://www.boe.es/gazeta/dias/1809/10/28/pdfs/GGB-1809-382.pdf","Abrir PDF")</f>
        <v>Abrir PDF</v>
      </c>
    </row>
    <row r="489" spans="1:6" ht="30.95" customHeight="1">
      <c r="A489" s="2" t="s">
        <v>933</v>
      </c>
      <c r="B489" s="2" t="s">
        <v>6821</v>
      </c>
      <c r="C489" s="2" t="s">
        <v>14209</v>
      </c>
      <c r="D489" s="3">
        <v>2</v>
      </c>
      <c r="E489" s="3">
        <v>1</v>
      </c>
      <c r="F489" s="3" t="str">
        <f>HYPERLINK("https://www.boe.es/gazeta/dias/1809/10/28/pdfs/GGB-1809-382E.pdf","Abrir PDF")</f>
        <v>Abrir PDF</v>
      </c>
    </row>
    <row r="490" spans="1:6" ht="30.95" customHeight="1">
      <c r="A490" s="2" t="s">
        <v>4051</v>
      </c>
      <c r="B490" s="2" t="s">
        <v>4052</v>
      </c>
      <c r="C490" s="2" t="s">
        <v>14210</v>
      </c>
      <c r="D490" s="3">
        <v>4</v>
      </c>
      <c r="E490" s="3">
        <v>1</v>
      </c>
      <c r="F490" s="3" t="str">
        <f>HYPERLINK("https://www.boe.es/gazeta/dias/1809/10/29/pdfs/GMD-1809-303.pdf","Abrir PDF")</f>
        <v>Abrir PDF</v>
      </c>
    </row>
    <row r="491" spans="1:6" ht="30.95" customHeight="1">
      <c r="A491" s="2" t="s">
        <v>9534</v>
      </c>
      <c r="B491" s="2" t="s">
        <v>9535</v>
      </c>
      <c r="C491" s="2" t="s">
        <v>14211</v>
      </c>
      <c r="D491" s="3">
        <v>4</v>
      </c>
      <c r="E491" s="3">
        <v>3</v>
      </c>
      <c r="F491" s="3" t="str">
        <f>HYPERLINK("https://www.boe.es/gazeta/dias/1809/10/30/pdfs/GMD-1809-304.pdf","Abrir PDF")</f>
        <v>Abrir PDF</v>
      </c>
    </row>
    <row r="492" spans="1:6" ht="30.95" customHeight="1">
      <c r="A492" s="2" t="s">
        <v>771</v>
      </c>
      <c r="B492" s="2" t="s">
        <v>3219</v>
      </c>
      <c r="C492" s="2" t="s">
        <v>14212</v>
      </c>
      <c r="D492" s="3">
        <v>4</v>
      </c>
      <c r="E492" s="3">
        <v>1</v>
      </c>
      <c r="F492" s="3" t="str">
        <f>HYPERLINK("https://www.boe.es/gazeta/dias/1809/10/31/pdfs/GMD-1809-305.pdf","Abrir PDF")</f>
        <v>Abrir PDF</v>
      </c>
    </row>
    <row r="493" spans="1:6" ht="30.95" customHeight="1">
      <c r="A493" s="2" t="s">
        <v>771</v>
      </c>
      <c r="B493" s="2" t="s">
        <v>772</v>
      </c>
      <c r="C493" s="2" t="s">
        <v>14213</v>
      </c>
      <c r="D493" s="3">
        <v>8</v>
      </c>
      <c r="E493" s="3">
        <v>14</v>
      </c>
      <c r="F493" s="3" t="str">
        <f>HYPERLINK("https://www.boe.es/gazeta/dias/1809/10/31/pdfs/GGB-1809-392.pdf","Abrir PDF")</f>
        <v>Abrir PDF</v>
      </c>
    </row>
    <row r="494" spans="1:6" ht="30.95" customHeight="1">
      <c r="A494" s="2" t="s">
        <v>14214</v>
      </c>
      <c r="B494" s="2" t="s">
        <v>14215</v>
      </c>
      <c r="C494" s="2" t="s">
        <v>14216</v>
      </c>
      <c r="D494" s="3">
        <v>4</v>
      </c>
      <c r="E494" s="3">
        <v>0</v>
      </c>
      <c r="F494" s="3" t="str">
        <f>HYPERLINK("https://www.boe.es/gazeta/dias/1809/11/01/pdfs/GMD-1809-306.pdf","Abrir PDF")</f>
        <v>Abrir PDF</v>
      </c>
    </row>
    <row r="495" spans="1:6" ht="30.95" customHeight="1">
      <c r="A495" s="2" t="s">
        <v>893</v>
      </c>
      <c r="B495" s="2" t="s">
        <v>894</v>
      </c>
      <c r="C495" s="2" t="s">
        <v>14217</v>
      </c>
      <c r="D495" s="3">
        <v>4</v>
      </c>
      <c r="E495" s="3">
        <v>9</v>
      </c>
      <c r="F495" s="3" t="str">
        <f>HYPERLINK("https://www.boe.es/gazeta/dias/1809/11/02/pdfs/GMD-1809-307.pdf","Abrir PDF")</f>
        <v>Abrir PDF</v>
      </c>
    </row>
    <row r="496" spans="1:6" ht="30.95" customHeight="1">
      <c r="A496" s="2" t="s">
        <v>893</v>
      </c>
      <c r="B496" s="2" t="s">
        <v>1348</v>
      </c>
      <c r="C496" s="2" t="s">
        <v>14218</v>
      </c>
      <c r="D496" s="3">
        <v>8</v>
      </c>
      <c r="E496" s="3">
        <v>13</v>
      </c>
      <c r="F496" s="3" t="str">
        <f>HYPERLINK("https://www.boe.es/gazeta/dias/1809/11/02/pdfs/GGB-1809-402.pdf","Abrir PDF")</f>
        <v>Abrir PDF</v>
      </c>
    </row>
    <row r="497" spans="1:6" ht="30.95" customHeight="1">
      <c r="A497" s="2" t="s">
        <v>8135</v>
      </c>
      <c r="B497" s="2" t="s">
        <v>8136</v>
      </c>
      <c r="C497" s="2" t="s">
        <v>14219</v>
      </c>
      <c r="D497" s="3">
        <v>4</v>
      </c>
      <c r="E497" s="3">
        <v>3</v>
      </c>
      <c r="F497" s="3" t="str">
        <f>HYPERLINK("https://www.boe.es/gazeta/dias/1809/11/03/pdfs/GMD-1809-308.pdf","Abrir PDF")</f>
        <v>Abrir PDF</v>
      </c>
    </row>
    <row r="498" spans="1:6" ht="30.95" customHeight="1">
      <c r="A498" s="2" t="s">
        <v>1117</v>
      </c>
      <c r="B498" s="2" t="s">
        <v>6772</v>
      </c>
      <c r="C498" s="2" t="s">
        <v>14220</v>
      </c>
      <c r="D498" s="3">
        <v>4</v>
      </c>
      <c r="E498" s="3">
        <v>2</v>
      </c>
      <c r="F498" s="3" t="str">
        <f>HYPERLINK("https://www.boe.es/gazeta/dias/1809/11/04/pdfs/GMD-1809-309.pdf","Abrir PDF")</f>
        <v>Abrir PDF</v>
      </c>
    </row>
    <row r="499" spans="1:6" ht="30.95" customHeight="1">
      <c r="A499" s="2" t="s">
        <v>1117</v>
      </c>
      <c r="B499" s="2" t="s">
        <v>1118</v>
      </c>
      <c r="C499" s="2" t="s">
        <v>14221</v>
      </c>
      <c r="D499" s="3">
        <v>8</v>
      </c>
      <c r="E499" s="3">
        <v>3</v>
      </c>
      <c r="F499" s="3" t="str">
        <f>HYPERLINK("https://www.boe.es/gazeta/dias/1809/11/04/pdfs/GGB-1809-412.pdf","Abrir PDF")</f>
        <v>Abrir PDF</v>
      </c>
    </row>
    <row r="500" spans="1:6" ht="30.95" customHeight="1">
      <c r="A500" s="2" t="s">
        <v>1921</v>
      </c>
      <c r="B500" s="2" t="s">
        <v>1922</v>
      </c>
      <c r="C500" s="2" t="s">
        <v>14222</v>
      </c>
      <c r="D500" s="3">
        <v>4</v>
      </c>
      <c r="E500" s="3">
        <v>6</v>
      </c>
      <c r="F500" s="3" t="str">
        <f>HYPERLINK("https://www.boe.es/gazeta/dias/1809/11/05/pdfs/GMD-1809-310.pdf","Abrir PDF")</f>
        <v>Abrir PDF</v>
      </c>
    </row>
    <row r="501" spans="1:6" ht="30.95" customHeight="1">
      <c r="A501" s="2" t="s">
        <v>1496</v>
      </c>
      <c r="B501" s="2" t="s">
        <v>1497</v>
      </c>
      <c r="C501" s="2" t="s">
        <v>14223</v>
      </c>
      <c r="D501" s="3">
        <v>4</v>
      </c>
      <c r="E501" s="3">
        <v>3</v>
      </c>
      <c r="F501" s="3" t="str">
        <f>HYPERLINK("https://www.boe.es/gazeta/dias/1809/11/06/pdfs/GMD-1809-311.pdf","Abrir PDF")</f>
        <v>Abrir PDF</v>
      </c>
    </row>
    <row r="502" spans="1:6" ht="30.95" customHeight="1">
      <c r="A502" s="2" t="s">
        <v>1872</v>
      </c>
      <c r="B502" s="2" t="s">
        <v>2989</v>
      </c>
      <c r="C502" s="2" t="s">
        <v>14224</v>
      </c>
      <c r="D502" s="3">
        <v>4</v>
      </c>
      <c r="E502" s="3">
        <v>1</v>
      </c>
      <c r="F502" s="3" t="str">
        <f>HYPERLINK("https://www.boe.es/gazeta/dias/1809/11/07/pdfs/GMD-1809-312.pdf","Abrir PDF")</f>
        <v>Abrir PDF</v>
      </c>
    </row>
    <row r="503" spans="1:6" ht="30.95" customHeight="1">
      <c r="A503" s="2" t="s">
        <v>1872</v>
      </c>
      <c r="B503" s="2" t="s">
        <v>1873</v>
      </c>
      <c r="C503" s="2" t="s">
        <v>14225</v>
      </c>
      <c r="D503" s="3">
        <v>8</v>
      </c>
      <c r="E503" s="3">
        <v>13</v>
      </c>
      <c r="F503" s="3" t="str">
        <f>HYPERLINK("https://www.boe.es/gazeta/dias/1809/11/07/pdfs/GGB-1809-422.pdf","Abrir PDF")</f>
        <v>Abrir PDF</v>
      </c>
    </row>
    <row r="504" spans="1:6" ht="30.95" customHeight="1">
      <c r="A504" s="2" t="s">
        <v>1954</v>
      </c>
      <c r="B504" s="2" t="s">
        <v>1955</v>
      </c>
      <c r="C504" s="2" t="s">
        <v>14226</v>
      </c>
      <c r="D504" s="3">
        <v>4</v>
      </c>
      <c r="E504" s="3">
        <v>15</v>
      </c>
      <c r="F504" s="3" t="str">
        <f>HYPERLINK("https://www.boe.es/gazeta/dias/1809/11/08/pdfs/GMD-1809-313.pdf","Abrir PDF")</f>
        <v>Abrir PDF</v>
      </c>
    </row>
    <row r="505" spans="1:6" ht="30.95" customHeight="1">
      <c r="A505" s="2" t="s">
        <v>1226</v>
      </c>
      <c r="B505" s="2" t="s">
        <v>1227</v>
      </c>
      <c r="C505" s="2" t="s">
        <v>14227</v>
      </c>
      <c r="D505" s="3">
        <v>4</v>
      </c>
      <c r="E505" s="3">
        <v>1</v>
      </c>
      <c r="F505" s="3" t="str">
        <f>HYPERLINK("https://www.boe.es/gazeta/dias/1809/11/09/pdfs/GMD-1809-314.pdf","Abrir PDF")</f>
        <v>Abrir PDF</v>
      </c>
    </row>
    <row r="506" spans="1:6" ht="30.95" customHeight="1">
      <c r="A506" s="2" t="s">
        <v>1226</v>
      </c>
      <c r="B506" s="2" t="s">
        <v>9899</v>
      </c>
      <c r="C506" s="2" t="s">
        <v>14228</v>
      </c>
      <c r="D506" s="3">
        <v>4</v>
      </c>
      <c r="E506" s="3">
        <v>1</v>
      </c>
      <c r="F506" s="3" t="str">
        <f>HYPERLINK("https://www.boe.es/gazeta/dias/1809/11/09/pdfs/GMD-E-1809-314.pdf","Abrir PDF")</f>
        <v>Abrir PDF</v>
      </c>
    </row>
    <row r="507" spans="1:6" ht="30.95" customHeight="1">
      <c r="A507" s="2" t="s">
        <v>1226</v>
      </c>
      <c r="B507" s="2" t="s">
        <v>1566</v>
      </c>
      <c r="C507" s="2" t="s">
        <v>14229</v>
      </c>
      <c r="D507" s="3">
        <v>8</v>
      </c>
      <c r="E507" s="3">
        <v>16</v>
      </c>
      <c r="F507" s="3" t="str">
        <f>HYPERLINK("https://www.boe.es/gazeta/dias/1809/11/09/pdfs/GGB-1809-432.pdf","Abrir PDF")</f>
        <v>Abrir PDF</v>
      </c>
    </row>
    <row r="508" spans="1:6" ht="30.95" customHeight="1">
      <c r="A508" s="2" t="s">
        <v>5279</v>
      </c>
      <c r="B508" s="2" t="s">
        <v>5280</v>
      </c>
      <c r="C508" s="2" t="s">
        <v>14230</v>
      </c>
      <c r="D508" s="3">
        <v>4</v>
      </c>
      <c r="E508" s="3">
        <v>1</v>
      </c>
      <c r="F508" s="3" t="str">
        <f>HYPERLINK("https://www.boe.es/gazeta/dias/1809/11/10/pdfs/GMD-1809-315.pdf","Abrir PDF")</f>
        <v>Abrir PDF</v>
      </c>
    </row>
    <row r="509" spans="1:6" ht="30.95" customHeight="1">
      <c r="A509" s="2" t="s">
        <v>1132</v>
      </c>
      <c r="B509" s="2" t="s">
        <v>1499</v>
      </c>
      <c r="C509" s="2" t="s">
        <v>14231</v>
      </c>
      <c r="D509" s="3">
        <v>4</v>
      </c>
      <c r="E509" s="3">
        <v>3</v>
      </c>
      <c r="F509" s="3" t="str">
        <f>HYPERLINK("https://www.boe.es/gazeta/dias/1809/11/11/pdfs/GMD-1809-316.pdf","Abrir PDF")</f>
        <v>Abrir PDF</v>
      </c>
    </row>
    <row r="510" spans="1:6" ht="30.95" customHeight="1">
      <c r="A510" s="2" t="s">
        <v>1132</v>
      </c>
      <c r="B510" s="2" t="s">
        <v>14232</v>
      </c>
      <c r="C510" s="2" t="s">
        <v>14233</v>
      </c>
      <c r="D510" s="3">
        <v>1</v>
      </c>
      <c r="E510" s="3">
        <v>0</v>
      </c>
      <c r="F510" s="3" t="str">
        <f>HYPERLINK("https://www.boe.es/gazeta/dias/1809/11/11/pdfs/GMD-E-1809-316.pdf","Abrir PDF")</f>
        <v>Abrir PDF</v>
      </c>
    </row>
    <row r="511" spans="1:6" ht="30.95" customHeight="1">
      <c r="A511" s="2" t="s">
        <v>1132</v>
      </c>
      <c r="B511" s="2" t="s">
        <v>1133</v>
      </c>
      <c r="C511" s="2" t="s">
        <v>14234</v>
      </c>
      <c r="D511" s="3">
        <v>8</v>
      </c>
      <c r="E511" s="3">
        <v>14</v>
      </c>
      <c r="F511" s="3" t="str">
        <f>HYPERLINK("https://www.boe.es/gazeta/dias/1809/11/11/pdfs/GGB-1809-442.pdf","Abrir PDF")</f>
        <v>Abrir PDF</v>
      </c>
    </row>
    <row r="512" spans="1:6" ht="30.95" customHeight="1">
      <c r="A512" s="2" t="s">
        <v>9541</v>
      </c>
      <c r="B512" s="2" t="s">
        <v>9542</v>
      </c>
      <c r="C512" s="2" t="s">
        <v>14235</v>
      </c>
      <c r="D512" s="3">
        <v>4</v>
      </c>
      <c r="E512" s="3">
        <v>1</v>
      </c>
      <c r="F512" s="3" t="str">
        <f>HYPERLINK("https://www.boe.es/gazeta/dias/1809/11/12/pdfs/GMD-1809-317.pdf","Abrir PDF")</f>
        <v>Abrir PDF</v>
      </c>
    </row>
    <row r="513" spans="1:6" ht="30.95" customHeight="1">
      <c r="A513" s="2" t="s">
        <v>6066</v>
      </c>
      <c r="B513" s="2" t="s">
        <v>6067</v>
      </c>
      <c r="C513" s="2" t="s">
        <v>14236</v>
      </c>
      <c r="D513" s="3">
        <v>4</v>
      </c>
      <c r="E513" s="3">
        <v>2</v>
      </c>
      <c r="F513" s="3" t="str">
        <f>HYPERLINK("https://www.boe.es/gazeta/dias/1809/11/13/pdfs/GMD-1809-318.pdf","Abrir PDF")</f>
        <v>Abrir PDF</v>
      </c>
    </row>
    <row r="514" spans="1:6" ht="30.95" customHeight="1">
      <c r="A514" s="2" t="s">
        <v>6066</v>
      </c>
      <c r="B514" s="2" t="s">
        <v>14237</v>
      </c>
      <c r="C514" s="2" t="s">
        <v>14238</v>
      </c>
      <c r="D514" s="3">
        <v>2</v>
      </c>
      <c r="E514" s="3">
        <v>0</v>
      </c>
      <c r="F514" s="3" t="str">
        <f>HYPERLINK("https://www.boe.es/gazeta/dias/1809/11/13/pdfs/GMD-E-1809-318.pdf","Abrir PDF")</f>
        <v>Abrir PDF</v>
      </c>
    </row>
    <row r="515" spans="1:6" ht="30.95" customHeight="1">
      <c r="A515" s="2" t="s">
        <v>974</v>
      </c>
      <c r="B515" s="2" t="s">
        <v>7968</v>
      </c>
      <c r="C515" s="2" t="s">
        <v>14239</v>
      </c>
      <c r="D515" s="3">
        <v>4</v>
      </c>
      <c r="E515" s="3">
        <v>5</v>
      </c>
      <c r="F515" s="3" t="str">
        <f>HYPERLINK("https://www.boe.es/gazeta/dias/1809/11/14/pdfs/GMD-1809-319.pdf","Abrir PDF")</f>
        <v>Abrir PDF</v>
      </c>
    </row>
    <row r="516" spans="1:6" ht="30.95" customHeight="1">
      <c r="A516" s="2" t="s">
        <v>974</v>
      </c>
      <c r="B516" s="2" t="s">
        <v>975</v>
      </c>
      <c r="C516" s="2" t="s">
        <v>14240</v>
      </c>
      <c r="D516" s="3">
        <v>8</v>
      </c>
      <c r="E516" s="3">
        <v>8</v>
      </c>
      <c r="F516" s="3" t="str">
        <f>HYPERLINK("https://www.boe.es/gazeta/dias/1809/11/14/pdfs/GGB-1809-452.pdf","Abrir PDF")</f>
        <v>Abrir PDF</v>
      </c>
    </row>
    <row r="517" spans="1:6" ht="30.95" customHeight="1">
      <c r="A517" s="2" t="s">
        <v>2602</v>
      </c>
      <c r="B517" s="2" t="s">
        <v>2603</v>
      </c>
      <c r="C517" s="2" t="s">
        <v>14241</v>
      </c>
      <c r="D517" s="3">
        <v>4</v>
      </c>
      <c r="E517" s="3">
        <v>10</v>
      </c>
      <c r="F517" s="3" t="str">
        <f>HYPERLINK("https://www.boe.es/gazeta/dias/1809/11/15/pdfs/GMD-1809-320.pdf","Abrir PDF")</f>
        <v>Abrir PDF</v>
      </c>
    </row>
    <row r="518" spans="1:6" ht="30.95" customHeight="1">
      <c r="A518" s="2" t="s">
        <v>143</v>
      </c>
      <c r="B518" s="2" t="s">
        <v>14242</v>
      </c>
      <c r="C518" s="2" t="s">
        <v>14243</v>
      </c>
      <c r="D518" s="3">
        <v>4</v>
      </c>
      <c r="E518" s="3">
        <v>0</v>
      </c>
      <c r="F518" s="3" t="str">
        <f>HYPERLINK("https://www.boe.es/gazeta/dias/1809/11/16/pdfs/GMD-1809-321.pdf","Abrir PDF")</f>
        <v>Abrir PDF</v>
      </c>
    </row>
    <row r="519" spans="1:6" ht="30.95" customHeight="1">
      <c r="A519" s="2" t="s">
        <v>143</v>
      </c>
      <c r="B519" s="2" t="s">
        <v>144</v>
      </c>
      <c r="C519" s="2" t="s">
        <v>14244</v>
      </c>
      <c r="D519" s="3">
        <v>8</v>
      </c>
      <c r="E519" s="3">
        <v>10</v>
      </c>
      <c r="F519" s="3" t="str">
        <f>HYPERLINK("https://www.boe.es/gazeta/dias/1809/11/16/pdfs/GGB-1809-462.pdf","Abrir PDF")</f>
        <v>Abrir PDF</v>
      </c>
    </row>
    <row r="520" spans="1:6" ht="30.95" customHeight="1">
      <c r="A520" s="2" t="s">
        <v>143</v>
      </c>
      <c r="B520" s="2" t="s">
        <v>705</v>
      </c>
      <c r="C520" s="2" t="s">
        <v>14245</v>
      </c>
      <c r="D520" s="3">
        <v>8</v>
      </c>
      <c r="E520" s="3">
        <v>77</v>
      </c>
      <c r="F520" s="3" t="str">
        <f>HYPERLINK("https://www.boe.es/gazeta/dias/1809/11/16/pdfs/GGB-H-1809-462.pdf","Abrir PDF")</f>
        <v>Abrir PDF</v>
      </c>
    </row>
    <row r="521" spans="1:6" ht="30.95" customHeight="1">
      <c r="A521" s="2" t="s">
        <v>2709</v>
      </c>
      <c r="B521" s="2" t="s">
        <v>2710</v>
      </c>
      <c r="C521" s="2" t="s">
        <v>14246</v>
      </c>
      <c r="D521" s="3">
        <v>4</v>
      </c>
      <c r="E521" s="3">
        <v>6</v>
      </c>
      <c r="F521" s="3" t="str">
        <f>HYPERLINK("https://www.boe.es/gazeta/dias/1809/11/17/pdfs/GMD-1809-322.pdf","Abrir PDF")</f>
        <v>Abrir PDF</v>
      </c>
    </row>
    <row r="522" spans="1:6" ht="30.95" customHeight="1">
      <c r="A522" s="2" t="s">
        <v>2414</v>
      </c>
      <c r="B522" s="2" t="s">
        <v>2415</v>
      </c>
      <c r="C522" s="2" t="s">
        <v>14247</v>
      </c>
      <c r="D522" s="3">
        <v>4</v>
      </c>
      <c r="E522" s="3">
        <v>5</v>
      </c>
      <c r="F522" s="3" t="str">
        <f>HYPERLINK("https://www.boe.es/gazeta/dias/1809/11/18/pdfs/GMD-1809-323.pdf","Abrir PDF")</f>
        <v>Abrir PDF</v>
      </c>
    </row>
    <row r="523" spans="1:6" ht="30.95" customHeight="1">
      <c r="A523" s="2" t="s">
        <v>2414</v>
      </c>
      <c r="B523" s="2" t="s">
        <v>4556</v>
      </c>
      <c r="C523" s="2" t="s">
        <v>14248</v>
      </c>
      <c r="D523" s="3">
        <v>8</v>
      </c>
      <c r="E523" s="3">
        <v>6</v>
      </c>
      <c r="F523" s="3" t="str">
        <f>HYPERLINK("https://www.boe.es/gazeta/dias/1809/11/18/pdfs/GGB-1809-472.pdf","Abrir PDF")</f>
        <v>Abrir PDF</v>
      </c>
    </row>
    <row r="524" spans="1:6" ht="30.95" customHeight="1">
      <c r="A524" s="2" t="s">
        <v>724</v>
      </c>
      <c r="B524" s="2" t="s">
        <v>725</v>
      </c>
      <c r="C524" s="2" t="s">
        <v>14249</v>
      </c>
      <c r="D524" s="3">
        <v>4</v>
      </c>
      <c r="E524" s="3">
        <v>7</v>
      </c>
      <c r="F524" s="3" t="str">
        <f>HYPERLINK("https://www.boe.es/gazeta/dias/1809/11/19/pdfs/GMD-1809-324.pdf","Abrir PDF")</f>
        <v>Abrir PDF</v>
      </c>
    </row>
    <row r="525" spans="1:6" ht="30.95" customHeight="1">
      <c r="A525" s="2" t="s">
        <v>724</v>
      </c>
      <c r="B525" s="2" t="s">
        <v>14250</v>
      </c>
      <c r="C525" s="2" t="s">
        <v>14251</v>
      </c>
      <c r="D525" s="3">
        <v>2</v>
      </c>
      <c r="E525" s="3">
        <v>0</v>
      </c>
      <c r="F525" s="3" t="str">
        <f>HYPERLINK("https://www.boe.es/gazeta/dias/1809/11/19/pdfs/GMD-E-1809-324.pdf","Abrir PDF")</f>
        <v>Abrir PDF</v>
      </c>
    </row>
    <row r="526" spans="1:6" ht="30.95" customHeight="1">
      <c r="A526" s="2" t="s">
        <v>4198</v>
      </c>
      <c r="B526" s="2" t="s">
        <v>4199</v>
      </c>
      <c r="C526" s="2" t="s">
        <v>14252</v>
      </c>
      <c r="D526" s="3">
        <v>4</v>
      </c>
      <c r="E526" s="3">
        <v>2</v>
      </c>
      <c r="F526" s="3" t="str">
        <f>HYPERLINK("https://www.boe.es/gazeta/dias/1809/11/20/pdfs/GMD-1809-325.pdf","Abrir PDF")</f>
        <v>Abrir PDF</v>
      </c>
    </row>
    <row r="527" spans="1:6" ht="30.95" customHeight="1">
      <c r="A527" s="2" t="s">
        <v>263</v>
      </c>
      <c r="B527" s="2" t="s">
        <v>1026</v>
      </c>
      <c r="C527" s="2" t="s">
        <v>14253</v>
      </c>
      <c r="D527" s="3">
        <v>4</v>
      </c>
      <c r="E527" s="3">
        <v>5</v>
      </c>
      <c r="F527" s="3" t="str">
        <f>HYPERLINK("https://www.boe.es/gazeta/dias/1809/11/21/pdfs/GMD-1809-326.pdf","Abrir PDF")</f>
        <v>Abrir PDF</v>
      </c>
    </row>
    <row r="528" spans="1:6" ht="30.95" customHeight="1">
      <c r="A528" s="2" t="s">
        <v>263</v>
      </c>
      <c r="B528" s="2" t="s">
        <v>264</v>
      </c>
      <c r="C528" s="2" t="s">
        <v>14254</v>
      </c>
      <c r="D528" s="3">
        <v>8</v>
      </c>
      <c r="E528" s="3">
        <v>17</v>
      </c>
      <c r="F528" s="3" t="str">
        <f>HYPERLINK("https://www.boe.es/gazeta/dias/1809/11/21/pdfs/GGB-1809-482.pdf","Abrir PDF")</f>
        <v>Abrir PDF</v>
      </c>
    </row>
    <row r="529" spans="1:6" ht="30.95" customHeight="1">
      <c r="A529" s="2" t="s">
        <v>9550</v>
      </c>
      <c r="B529" s="2" t="s">
        <v>9551</v>
      </c>
      <c r="C529" s="2" t="s">
        <v>14255</v>
      </c>
      <c r="D529" s="3">
        <v>4</v>
      </c>
      <c r="E529" s="3">
        <v>2</v>
      </c>
      <c r="F529" s="3" t="str">
        <f>HYPERLINK("https://www.boe.es/gazeta/dias/1809/11/22/pdfs/GMD-1809-327.pdf","Abrir PDF")</f>
        <v>Abrir PDF</v>
      </c>
    </row>
    <row r="530" spans="1:6" ht="30.95" customHeight="1">
      <c r="A530" s="2" t="s">
        <v>2845</v>
      </c>
      <c r="B530" s="2" t="s">
        <v>9553</v>
      </c>
      <c r="C530" s="2" t="s">
        <v>14256</v>
      </c>
      <c r="D530" s="3">
        <v>3</v>
      </c>
      <c r="E530" s="3">
        <v>1</v>
      </c>
      <c r="F530" s="3" t="str">
        <f>HYPERLINK("https://www.boe.es/gazeta/dias/1809/11/23/pdfs/GMD-1809-328.pdf","Abrir PDF")</f>
        <v>Abrir PDF</v>
      </c>
    </row>
    <row r="531" spans="1:6" ht="30.95" customHeight="1">
      <c r="A531" s="2" t="s">
        <v>2845</v>
      </c>
      <c r="B531" s="2" t="s">
        <v>14257</v>
      </c>
      <c r="C531" s="2" t="s">
        <v>14258</v>
      </c>
      <c r="D531" s="3">
        <v>2</v>
      </c>
      <c r="E531" s="3">
        <v>0</v>
      </c>
      <c r="F531" s="3" t="str">
        <f>HYPERLINK("https://www.boe.es/gazeta/dias/1809/11/23/pdfs/GMD-E-1809-328.pdf","Abrir PDF")</f>
        <v>Abrir PDF</v>
      </c>
    </row>
    <row r="532" spans="1:6" ht="30.95" customHeight="1">
      <c r="A532" s="2" t="s">
        <v>2845</v>
      </c>
      <c r="B532" s="2" t="s">
        <v>2846</v>
      </c>
      <c r="C532" s="2" t="s">
        <v>14259</v>
      </c>
      <c r="D532" s="3">
        <v>8</v>
      </c>
      <c r="E532" s="3">
        <v>13</v>
      </c>
      <c r="F532" s="3" t="str">
        <f>HYPERLINK("https://www.boe.es/gazeta/dias/1809/11/23/pdfs/GGB-1809-492.pdf","Abrir PDF")</f>
        <v>Abrir PDF</v>
      </c>
    </row>
    <row r="533" spans="1:6" ht="30.95" customHeight="1">
      <c r="A533" s="2" t="s">
        <v>2845</v>
      </c>
      <c r="B533" s="2" t="s">
        <v>3107</v>
      </c>
      <c r="C533" s="2" t="s">
        <v>14260</v>
      </c>
      <c r="D533" s="3">
        <v>1</v>
      </c>
      <c r="E533" s="3">
        <v>2</v>
      </c>
      <c r="F533" s="3" t="str">
        <f>HYPERLINK("https://www.boe.es/gazeta/dias/1809/11/23/pdfs/GGB-1809-492E.pdf","Abrir PDF")</f>
        <v>Abrir PDF</v>
      </c>
    </row>
    <row r="534" spans="1:6" ht="30.95" customHeight="1">
      <c r="A534" s="2" t="s">
        <v>1570</v>
      </c>
      <c r="B534" s="2" t="s">
        <v>1571</v>
      </c>
      <c r="C534" s="2" t="s">
        <v>14261</v>
      </c>
      <c r="D534" s="3">
        <v>4</v>
      </c>
      <c r="E534" s="3">
        <v>3</v>
      </c>
      <c r="F534" s="3" t="str">
        <f>HYPERLINK("https://www.boe.es/gazeta/dias/1809/11/24/pdfs/GMD-1809-329.pdf","Abrir PDF")</f>
        <v>Abrir PDF</v>
      </c>
    </row>
    <row r="535" spans="1:6" ht="30.95" customHeight="1">
      <c r="A535" s="2" t="s">
        <v>609</v>
      </c>
      <c r="B535" s="2" t="s">
        <v>3060</v>
      </c>
      <c r="C535" s="2" t="s">
        <v>14262</v>
      </c>
      <c r="D535" s="3">
        <v>4</v>
      </c>
      <c r="E535" s="3">
        <v>6</v>
      </c>
      <c r="F535" s="3" t="str">
        <f>HYPERLINK("https://www.boe.es/gazeta/dias/1809/11/25/pdfs/GMD-1809-330.pdf","Abrir PDF")</f>
        <v>Abrir PDF</v>
      </c>
    </row>
    <row r="536" spans="1:6" ht="30.95" customHeight="1">
      <c r="A536" s="2" t="s">
        <v>609</v>
      </c>
      <c r="B536" s="2" t="s">
        <v>610</v>
      </c>
      <c r="C536" s="2" t="s">
        <v>14263</v>
      </c>
      <c r="D536" s="3">
        <v>8</v>
      </c>
      <c r="E536" s="3">
        <v>11</v>
      </c>
      <c r="F536" s="3" t="str">
        <f>HYPERLINK("https://www.boe.es/gazeta/dias/1809/11/25/pdfs/GGB-1809-502.pdf","Abrir PDF")</f>
        <v>Abrir PDF</v>
      </c>
    </row>
    <row r="537" spans="1:6" ht="30.95" customHeight="1">
      <c r="A537" s="2" t="s">
        <v>1150</v>
      </c>
      <c r="B537" s="2" t="s">
        <v>1151</v>
      </c>
      <c r="C537" s="2" t="s">
        <v>14264</v>
      </c>
      <c r="D537" s="3">
        <v>4</v>
      </c>
      <c r="E537" s="3">
        <v>3</v>
      </c>
      <c r="F537" s="3" t="str">
        <f>HYPERLINK("https://www.boe.es/gazeta/dias/1809/11/26/pdfs/GMD-1809-331.pdf","Abrir PDF")</f>
        <v>Abrir PDF</v>
      </c>
    </row>
    <row r="538" spans="1:6" ht="30.95" customHeight="1">
      <c r="A538" s="2" t="s">
        <v>2512</v>
      </c>
      <c r="B538" s="2" t="s">
        <v>2513</v>
      </c>
      <c r="C538" s="2" t="s">
        <v>14265</v>
      </c>
      <c r="D538" s="3">
        <v>4</v>
      </c>
      <c r="E538" s="3">
        <v>8</v>
      </c>
      <c r="F538" s="3" t="str">
        <f>HYPERLINK("https://www.boe.es/gazeta/dias/1809/11/27/pdfs/GMD-1809-332.pdf","Abrir PDF")</f>
        <v>Abrir PDF</v>
      </c>
    </row>
    <row r="539" spans="1:6" ht="30.95" customHeight="1">
      <c r="A539" s="2" t="s">
        <v>1396</v>
      </c>
      <c r="B539" s="2" t="s">
        <v>2912</v>
      </c>
      <c r="C539" s="2" t="s">
        <v>14266</v>
      </c>
      <c r="D539" s="3">
        <v>4</v>
      </c>
      <c r="E539" s="3">
        <v>6</v>
      </c>
      <c r="F539" s="3" t="str">
        <f>HYPERLINK("https://www.boe.es/gazeta/dias/1809/11/28/pdfs/GMD-1809-333.pdf","Abrir PDF")</f>
        <v>Abrir PDF</v>
      </c>
    </row>
    <row r="540" spans="1:6" ht="30.95" customHeight="1">
      <c r="A540" s="2" t="s">
        <v>1396</v>
      </c>
      <c r="B540" s="2" t="s">
        <v>1397</v>
      </c>
      <c r="C540" s="2" t="s">
        <v>14267</v>
      </c>
      <c r="D540" s="3">
        <v>8</v>
      </c>
      <c r="E540" s="3">
        <v>15</v>
      </c>
      <c r="F540" s="3" t="str">
        <f>HYPERLINK("https://www.boe.es/gazeta/dias/1809/11/28/pdfs/GGB-1809-512.pdf","Abrir PDF")</f>
        <v>Abrir PDF</v>
      </c>
    </row>
    <row r="541" spans="1:6" ht="30.95" customHeight="1">
      <c r="A541" s="2" t="s">
        <v>1396</v>
      </c>
      <c r="B541" s="2" t="s">
        <v>2370</v>
      </c>
      <c r="C541" s="2" t="s">
        <v>14268</v>
      </c>
      <c r="D541" s="3">
        <v>8</v>
      </c>
      <c r="E541" s="3">
        <v>10</v>
      </c>
      <c r="F541" s="3" t="str">
        <f>HYPERLINK("https://www.boe.es/gazeta/dias/1809/11/28/pdfs/GGB-H-1809-512.pdf","Abrir PDF")</f>
        <v>Abrir PDF</v>
      </c>
    </row>
    <row r="542" spans="1:6" ht="30.95" customHeight="1">
      <c r="A542" s="2" t="s">
        <v>14269</v>
      </c>
      <c r="B542" s="2" t="s">
        <v>14270</v>
      </c>
      <c r="C542" s="2" t="s">
        <v>14271</v>
      </c>
      <c r="D542" s="3">
        <v>4</v>
      </c>
      <c r="E542" s="3">
        <v>0</v>
      </c>
      <c r="F542" s="3" t="str">
        <f>HYPERLINK("https://www.boe.es/gazeta/dias/1809/11/29/pdfs/GMD-1809-334.pdf","Abrir PDF")</f>
        <v>Abrir PDF</v>
      </c>
    </row>
    <row r="543" spans="1:6" ht="30.95" customHeight="1">
      <c r="A543" s="2" t="s">
        <v>2840</v>
      </c>
      <c r="B543" s="2" t="s">
        <v>2841</v>
      </c>
      <c r="C543" s="2" t="s">
        <v>14272</v>
      </c>
      <c r="D543" s="3">
        <v>4</v>
      </c>
      <c r="E543" s="3">
        <v>6</v>
      </c>
      <c r="F543" s="3" t="str">
        <f>HYPERLINK("https://www.boe.es/gazeta/dias/1809/11/30/pdfs/GMD-1809-335.pdf","Abrir PDF")</f>
        <v>Abrir PDF</v>
      </c>
    </row>
    <row r="544" spans="1:6" ht="30.95" customHeight="1">
      <c r="A544" s="2" t="s">
        <v>2840</v>
      </c>
      <c r="B544" s="2" t="s">
        <v>4484</v>
      </c>
      <c r="C544" s="2" t="s">
        <v>14273</v>
      </c>
      <c r="D544" s="3">
        <v>8</v>
      </c>
      <c r="E544" s="3">
        <v>3</v>
      </c>
      <c r="F544" s="3" t="str">
        <f>HYPERLINK("https://www.boe.es/gazeta/dias/1809/11/30/pdfs/GGB-1809-522.pdf","Abrir PDF")</f>
        <v>Abrir PDF</v>
      </c>
    </row>
    <row r="545" spans="1:6" ht="30.95" customHeight="1">
      <c r="A545" s="2" t="s">
        <v>1233</v>
      </c>
      <c r="B545" s="2" t="s">
        <v>1234</v>
      </c>
      <c r="C545" s="2" t="s">
        <v>14274</v>
      </c>
      <c r="D545" s="3">
        <v>4</v>
      </c>
      <c r="E545" s="3">
        <v>5</v>
      </c>
      <c r="F545" s="3" t="str">
        <f>HYPERLINK("https://www.boe.es/gazeta/dias/1809/12/01/pdfs/GMD-1809-336.pdf","Abrir PDF")</f>
        <v>Abrir PDF</v>
      </c>
    </row>
    <row r="546" spans="1:6" ht="30.95" customHeight="1">
      <c r="A546" s="2" t="s">
        <v>1898</v>
      </c>
      <c r="B546" s="2" t="s">
        <v>1970</v>
      </c>
      <c r="C546" s="2" t="s">
        <v>14275</v>
      </c>
      <c r="D546" s="3">
        <v>4</v>
      </c>
      <c r="E546" s="3">
        <v>13</v>
      </c>
      <c r="F546" s="3" t="str">
        <f>HYPERLINK("https://www.boe.es/gazeta/dias/1809/12/02/pdfs/GMD-1809-337.pdf","Abrir PDF")</f>
        <v>Abrir PDF</v>
      </c>
    </row>
    <row r="547" spans="1:6" ht="30.95" customHeight="1">
      <c r="A547" s="2" t="s">
        <v>1898</v>
      </c>
      <c r="B547" s="2" t="s">
        <v>1899</v>
      </c>
      <c r="C547" s="2" t="s">
        <v>14276</v>
      </c>
      <c r="D547" s="3">
        <v>8</v>
      </c>
      <c r="E547" s="3">
        <v>12</v>
      </c>
      <c r="F547" s="3" t="str">
        <f>HYPERLINK("https://www.boe.es/gazeta/dias/1809/12/02/pdfs/GGB-1809-532.pdf","Abrir PDF")</f>
        <v>Abrir PDF</v>
      </c>
    </row>
    <row r="548" spans="1:6" ht="30.95" customHeight="1">
      <c r="A548" s="2" t="s">
        <v>5017</v>
      </c>
      <c r="B548" s="2" t="s">
        <v>5018</v>
      </c>
      <c r="C548" s="2" t="s">
        <v>14277</v>
      </c>
      <c r="D548" s="3">
        <v>4</v>
      </c>
      <c r="E548" s="3">
        <v>6</v>
      </c>
      <c r="F548" s="3" t="str">
        <f>HYPERLINK("https://www.boe.es/gazeta/dias/1809/12/03/pdfs/GMD-1809-338.pdf","Abrir PDF")</f>
        <v>Abrir PDF</v>
      </c>
    </row>
    <row r="549" spans="1:6" ht="30.95" customHeight="1">
      <c r="A549" s="2" t="s">
        <v>1773</v>
      </c>
      <c r="B549" s="2" t="s">
        <v>1774</v>
      </c>
      <c r="C549" s="2" t="s">
        <v>14278</v>
      </c>
      <c r="D549" s="3">
        <v>4</v>
      </c>
      <c r="E549" s="3">
        <v>6</v>
      </c>
      <c r="F549" s="3" t="str">
        <f>HYPERLINK("https://www.boe.es/gazeta/dias/1809/12/04/pdfs/GMD-1809-339.pdf","Abrir PDF")</f>
        <v>Abrir PDF</v>
      </c>
    </row>
    <row r="550" spans="1:6" ht="30.95" customHeight="1">
      <c r="A550" s="2" t="s">
        <v>216</v>
      </c>
      <c r="B550" s="2" t="s">
        <v>2813</v>
      </c>
      <c r="C550" s="2" t="s">
        <v>14279</v>
      </c>
      <c r="D550" s="3">
        <v>4</v>
      </c>
      <c r="E550" s="3">
        <v>5</v>
      </c>
      <c r="F550" s="3" t="str">
        <f>HYPERLINK("https://www.boe.es/gazeta/dias/1809/12/05/pdfs/GMD-1809-340.pdf","Abrir PDF")</f>
        <v>Abrir PDF</v>
      </c>
    </row>
    <row r="551" spans="1:6" ht="30.95" customHeight="1">
      <c r="A551" s="2" t="s">
        <v>216</v>
      </c>
      <c r="B551" s="2" t="s">
        <v>2440</v>
      </c>
      <c r="C551" s="2" t="s">
        <v>14280</v>
      </c>
      <c r="D551" s="3">
        <v>8</v>
      </c>
      <c r="E551" s="3">
        <v>8</v>
      </c>
      <c r="F551" s="3" t="str">
        <f>HYPERLINK("https://www.boe.es/gazeta/dias/1809/12/05/pdfs/GGB-1809-542.pdf","Abrir PDF")</f>
        <v>Abrir PDF</v>
      </c>
    </row>
    <row r="552" spans="1:6" ht="30.95" customHeight="1">
      <c r="A552" s="2" t="s">
        <v>216</v>
      </c>
      <c r="B552" s="2" t="s">
        <v>217</v>
      </c>
      <c r="C552" s="2" t="s">
        <v>14281</v>
      </c>
      <c r="D552" s="3">
        <v>8</v>
      </c>
      <c r="E552" s="3">
        <v>141</v>
      </c>
      <c r="F552" s="3" t="str">
        <f>HYPERLINK("https://www.boe.es/gazeta/dias/1809/12/05/pdfs/GGB-H-1809-542.pdf","Abrir PDF")</f>
        <v>Abrir PDF</v>
      </c>
    </row>
    <row r="553" spans="1:6" ht="30.95" customHeight="1">
      <c r="A553" s="2" t="s">
        <v>1439</v>
      </c>
      <c r="B553" s="2" t="s">
        <v>1440</v>
      </c>
      <c r="C553" s="2" t="s">
        <v>14282</v>
      </c>
      <c r="D553" s="3">
        <v>4</v>
      </c>
      <c r="E553" s="3">
        <v>6</v>
      </c>
      <c r="F553" s="3" t="str">
        <f>HYPERLINK("https://www.boe.es/gazeta/dias/1809/12/06/pdfs/GMD-1809-341.pdf","Abrir PDF")</f>
        <v>Abrir PDF</v>
      </c>
    </row>
    <row r="554" spans="1:6" ht="30.95" customHeight="1">
      <c r="A554" s="2" t="s">
        <v>3714</v>
      </c>
      <c r="B554" s="2" t="s">
        <v>3715</v>
      </c>
      <c r="C554" s="2" t="s">
        <v>14283</v>
      </c>
      <c r="D554" s="3">
        <v>4</v>
      </c>
      <c r="E554" s="3">
        <v>10</v>
      </c>
      <c r="F554" s="3" t="str">
        <f>HYPERLINK("https://www.boe.es/gazeta/dias/1809/12/07/pdfs/GMD-1809-342.pdf","Abrir PDF")</f>
        <v>Abrir PDF</v>
      </c>
    </row>
    <row r="555" spans="1:6" ht="30.95" customHeight="1">
      <c r="A555" s="2" t="s">
        <v>3714</v>
      </c>
      <c r="B555" s="2" t="s">
        <v>10559</v>
      </c>
      <c r="C555" s="2" t="s">
        <v>14284</v>
      </c>
      <c r="D555" s="3">
        <v>2</v>
      </c>
      <c r="E555" s="3">
        <v>1</v>
      </c>
      <c r="F555" s="3" t="str">
        <f>HYPERLINK("https://www.boe.es/gazeta/dias/1809/12/07/pdfs/GMD-E-1809-342.pdf","Abrir PDF")</f>
        <v>Abrir PDF</v>
      </c>
    </row>
    <row r="556" spans="1:6" ht="30.95" customHeight="1">
      <c r="A556" s="2" t="s">
        <v>3714</v>
      </c>
      <c r="B556" s="2" t="s">
        <v>4205</v>
      </c>
      <c r="C556" s="2" t="s">
        <v>14285</v>
      </c>
      <c r="D556" s="3">
        <v>8</v>
      </c>
      <c r="E556" s="3">
        <v>19</v>
      </c>
      <c r="F556" s="3" t="str">
        <f>HYPERLINK("https://www.boe.es/gazeta/dias/1809/12/07/pdfs/GGB-1809-552.pdf","Abrir PDF")</f>
        <v>Abrir PDF</v>
      </c>
    </row>
    <row r="557" spans="1:6" ht="30.95" customHeight="1">
      <c r="A557" s="2" t="s">
        <v>179</v>
      </c>
      <c r="B557" s="2" t="s">
        <v>2418</v>
      </c>
      <c r="C557" s="2" t="s">
        <v>14286</v>
      </c>
      <c r="D557" s="3">
        <v>4</v>
      </c>
      <c r="E557" s="3">
        <v>14</v>
      </c>
      <c r="F557" s="3" t="str">
        <f>HYPERLINK("https://www.boe.es/gazeta/dias/1809/12/08/pdfs/GMD-1809-343.pdf","Abrir PDF")</f>
        <v>Abrir PDF</v>
      </c>
    </row>
    <row r="558" spans="1:6" ht="30.95" customHeight="1">
      <c r="A558" s="2" t="s">
        <v>179</v>
      </c>
      <c r="B558" s="2" t="s">
        <v>180</v>
      </c>
      <c r="C558" s="2" t="s">
        <v>14287</v>
      </c>
      <c r="D558" s="3">
        <v>4</v>
      </c>
      <c r="E558" s="3">
        <v>71</v>
      </c>
      <c r="F558" s="3" t="str">
        <f>HYPERLINK("https://www.boe.es/gazeta/dias/1809/12/08/pdfs/GGB-1809-552E.pdf","Abrir PDF")</f>
        <v>Abrir PDF</v>
      </c>
    </row>
    <row r="559" spans="1:6" ht="30.95" customHeight="1">
      <c r="A559" s="2" t="s">
        <v>814</v>
      </c>
      <c r="B559" s="2" t="s">
        <v>2095</v>
      </c>
      <c r="C559" s="2" t="s">
        <v>14288</v>
      </c>
      <c r="D559" s="3">
        <v>4</v>
      </c>
      <c r="E559" s="3">
        <v>13</v>
      </c>
      <c r="F559" s="3" t="str">
        <f>HYPERLINK("https://www.boe.es/gazeta/dias/1809/12/09/pdfs/GMD-1809-344.pdf","Abrir PDF")</f>
        <v>Abrir PDF</v>
      </c>
    </row>
    <row r="560" spans="1:6" ht="30.95" customHeight="1">
      <c r="A560" s="2" t="s">
        <v>814</v>
      </c>
      <c r="B560" s="2" t="s">
        <v>815</v>
      </c>
      <c r="C560" s="2" t="s">
        <v>14289</v>
      </c>
      <c r="D560" s="3">
        <v>8</v>
      </c>
      <c r="E560" s="3">
        <v>13</v>
      </c>
      <c r="F560" s="3" t="str">
        <f>HYPERLINK("https://www.boe.es/gazeta/dias/1809/12/09/pdfs/GGB-1809-562.pdf","Abrir PDF")</f>
        <v>Abrir PDF</v>
      </c>
    </row>
    <row r="561" spans="1:6" ht="30.95" customHeight="1">
      <c r="A561" s="2" t="s">
        <v>2230</v>
      </c>
      <c r="B561" s="2" t="s">
        <v>2231</v>
      </c>
      <c r="C561" s="2" t="s">
        <v>14290</v>
      </c>
      <c r="D561" s="3">
        <v>4</v>
      </c>
      <c r="E561" s="3">
        <v>4</v>
      </c>
      <c r="F561" s="3" t="str">
        <f>HYPERLINK("https://www.boe.es/gazeta/dias/1809/12/10/pdfs/GMD-1809-345.pdf","Abrir PDF")</f>
        <v>Abrir PDF</v>
      </c>
    </row>
    <row r="562" spans="1:6" ht="30.95" customHeight="1">
      <c r="A562" s="2" t="s">
        <v>314</v>
      </c>
      <c r="B562" s="2" t="s">
        <v>315</v>
      </c>
      <c r="C562" s="2" t="s">
        <v>14291</v>
      </c>
      <c r="D562" s="3">
        <v>4</v>
      </c>
      <c r="E562" s="3">
        <v>3</v>
      </c>
      <c r="F562" s="3" t="str">
        <f>HYPERLINK("https://www.boe.es/gazeta/dias/1809/12/11/pdfs/GMD-1809-346.pdf","Abrir PDF")</f>
        <v>Abrir PDF</v>
      </c>
    </row>
    <row r="563" spans="1:6" ht="30.95" customHeight="1">
      <c r="A563" s="2" t="s">
        <v>6141</v>
      </c>
      <c r="B563" s="2" t="s">
        <v>6142</v>
      </c>
      <c r="C563" s="2" t="s">
        <v>14292</v>
      </c>
      <c r="D563" s="3">
        <v>4</v>
      </c>
      <c r="E563" s="3">
        <v>4</v>
      </c>
      <c r="F563" s="3" t="str">
        <f>HYPERLINK("https://www.boe.es/gazeta/dias/1809/12/12/pdfs/GMD-1809-347.pdf","Abrir PDF")</f>
        <v>Abrir PDF</v>
      </c>
    </row>
    <row r="564" spans="1:6" ht="30.95" customHeight="1">
      <c r="A564" s="2" t="s">
        <v>6141</v>
      </c>
      <c r="B564" s="2" t="s">
        <v>8110</v>
      </c>
      <c r="C564" s="2" t="s">
        <v>14293</v>
      </c>
      <c r="D564" s="3">
        <v>8</v>
      </c>
      <c r="E564" s="3">
        <v>1</v>
      </c>
      <c r="F564" s="3" t="str">
        <f>HYPERLINK("https://www.boe.es/gazeta/dias/1809/12/12/pdfs/GGB-1809-572.pdf","Abrir PDF")</f>
        <v>Abrir PDF</v>
      </c>
    </row>
    <row r="565" spans="1:6" ht="30.95" customHeight="1">
      <c r="A565" s="2" t="s">
        <v>220</v>
      </c>
      <c r="B565" s="2" t="s">
        <v>221</v>
      </c>
      <c r="C565" s="2" t="s">
        <v>14294</v>
      </c>
      <c r="D565" s="3">
        <v>4</v>
      </c>
      <c r="E565" s="3">
        <v>27</v>
      </c>
      <c r="F565" s="3" t="str">
        <f>HYPERLINK("https://www.boe.es/gazeta/dias/1809/12/13/pdfs/GMD-1809-348.pdf","Abrir PDF")</f>
        <v>Abrir PDF</v>
      </c>
    </row>
    <row r="566" spans="1:6" ht="30.95" customHeight="1">
      <c r="A566" s="2" t="s">
        <v>394</v>
      </c>
      <c r="B566" s="2" t="s">
        <v>2563</v>
      </c>
      <c r="C566" s="2" t="s">
        <v>14295</v>
      </c>
      <c r="D566" s="3">
        <v>4</v>
      </c>
      <c r="E566" s="3">
        <v>16</v>
      </c>
      <c r="F566" s="3" t="str">
        <f>HYPERLINK("https://www.boe.es/gazeta/dias/1809/12/14/pdfs/GMD-1809-349.pdf","Abrir PDF")</f>
        <v>Abrir PDF</v>
      </c>
    </row>
    <row r="567" spans="1:6" ht="30.95" customHeight="1">
      <c r="A567" s="2" t="s">
        <v>394</v>
      </c>
      <c r="B567" s="2" t="s">
        <v>1210</v>
      </c>
      <c r="C567" s="2" t="s">
        <v>14296</v>
      </c>
      <c r="D567" s="3">
        <v>8</v>
      </c>
      <c r="E567" s="3">
        <v>6</v>
      </c>
      <c r="F567" s="3" t="str">
        <f>HYPERLINK("https://www.boe.es/gazeta/dias/1809/12/14/pdfs/GGB-1809-582.pdf","Abrir PDF")</f>
        <v>Abrir PDF</v>
      </c>
    </row>
    <row r="568" spans="1:6" ht="30.95" customHeight="1">
      <c r="A568" s="2" t="s">
        <v>394</v>
      </c>
      <c r="B568" s="2" t="s">
        <v>395</v>
      </c>
      <c r="C568" s="2" t="s">
        <v>14297</v>
      </c>
      <c r="D568" s="3">
        <v>8</v>
      </c>
      <c r="E568" s="3">
        <v>27</v>
      </c>
      <c r="F568" s="3" t="str">
        <f>HYPERLINK("https://www.boe.es/gazeta/dias/1809/12/14/pdfs/GGB-H-1809-582.pdf","Abrir PDF")</f>
        <v>Abrir PDF</v>
      </c>
    </row>
    <row r="569" spans="1:6" ht="30.95" customHeight="1">
      <c r="A569" s="2" t="s">
        <v>470</v>
      </c>
      <c r="B569" s="2" t="s">
        <v>471</v>
      </c>
      <c r="C569" s="2" t="s">
        <v>14298</v>
      </c>
      <c r="D569" s="3">
        <v>4</v>
      </c>
      <c r="E569" s="3">
        <v>5</v>
      </c>
      <c r="F569" s="3" t="str">
        <f>HYPERLINK("https://www.boe.es/gazeta/dias/1809/12/15/pdfs/GMD-1809-350.pdf","Abrir PDF")</f>
        <v>Abrir PDF</v>
      </c>
    </row>
    <row r="570" spans="1:6" ht="30.95" customHeight="1">
      <c r="A570" s="2" t="s">
        <v>635</v>
      </c>
      <c r="B570" s="2" t="s">
        <v>5226</v>
      </c>
      <c r="C570" s="2" t="s">
        <v>14299</v>
      </c>
      <c r="D570" s="3">
        <v>4</v>
      </c>
      <c r="E570" s="3">
        <v>3</v>
      </c>
      <c r="F570" s="3" t="str">
        <f>HYPERLINK("https://www.boe.es/gazeta/dias/1809/12/16/pdfs/GMD-1809-351.pdf","Abrir PDF")</f>
        <v>Abrir PDF</v>
      </c>
    </row>
    <row r="571" spans="1:6" ht="30.95" customHeight="1">
      <c r="A571" s="2" t="s">
        <v>635</v>
      </c>
      <c r="B571" s="2" t="s">
        <v>636</v>
      </c>
      <c r="C571" s="2" t="s">
        <v>14300</v>
      </c>
      <c r="D571" s="3">
        <v>8</v>
      </c>
      <c r="E571" s="3">
        <v>24</v>
      </c>
      <c r="F571" s="3" t="str">
        <f>HYPERLINK("https://www.boe.es/gazeta/dias/1809/12/16/pdfs/GGB-1809-592.pdf","Abrir PDF")</f>
        <v>Abrir PDF</v>
      </c>
    </row>
    <row r="572" spans="1:6" ht="30.95" customHeight="1">
      <c r="A572" s="2" t="s">
        <v>635</v>
      </c>
      <c r="B572" s="2" t="s">
        <v>2073</v>
      </c>
      <c r="C572" s="2" t="s">
        <v>14301</v>
      </c>
      <c r="D572" s="3">
        <v>8</v>
      </c>
      <c r="E572" s="3">
        <v>15</v>
      </c>
      <c r="F572" s="3" t="str">
        <f>HYPERLINK("https://www.boe.es/gazeta/dias/1809/12/16/pdfs/GGB-H-1809-592.pdf","Abrir PDF")</f>
        <v>Abrir PDF</v>
      </c>
    </row>
    <row r="573" spans="1:6" ht="30.95" customHeight="1">
      <c r="A573" s="2" t="s">
        <v>223</v>
      </c>
      <c r="B573" s="2" t="s">
        <v>224</v>
      </c>
      <c r="C573" s="2" t="s">
        <v>14302</v>
      </c>
      <c r="D573" s="3">
        <v>4</v>
      </c>
      <c r="E573" s="3">
        <v>31</v>
      </c>
      <c r="F573" s="3" t="str">
        <f>HYPERLINK("https://www.boe.es/gazeta/dias/1809/12/17/pdfs/GMD-1809-352.pdf","Abrir PDF")</f>
        <v>Abrir PDF</v>
      </c>
    </row>
    <row r="574" spans="1:6" ht="30.95" customHeight="1">
      <c r="A574" s="2" t="s">
        <v>3431</v>
      </c>
      <c r="B574" s="2" t="s">
        <v>3432</v>
      </c>
      <c r="C574" s="2" t="s">
        <v>14303</v>
      </c>
      <c r="D574" s="3">
        <v>4</v>
      </c>
      <c r="E574" s="3">
        <v>3</v>
      </c>
      <c r="F574" s="3" t="str">
        <f>HYPERLINK("https://www.boe.es/gazeta/dias/1809/12/18/pdfs/GMD-1809-353.pdf","Abrir PDF")</f>
        <v>Abrir PDF</v>
      </c>
    </row>
    <row r="575" spans="1:6" ht="30.95" customHeight="1">
      <c r="A575" s="2" t="s">
        <v>33</v>
      </c>
      <c r="B575" s="2" t="s">
        <v>4522</v>
      </c>
      <c r="C575" s="2" t="s">
        <v>14304</v>
      </c>
      <c r="D575" s="3">
        <v>4</v>
      </c>
      <c r="E575" s="3">
        <v>1</v>
      </c>
      <c r="F575" s="3" t="str">
        <f>HYPERLINK("https://www.boe.es/gazeta/dias/1809/12/19/pdfs/GMD-1809-354.pdf","Abrir PDF")</f>
        <v>Abrir PDF</v>
      </c>
    </row>
    <row r="576" spans="1:6" ht="30.95" customHeight="1">
      <c r="A576" s="2" t="s">
        <v>33</v>
      </c>
      <c r="B576" s="2" t="s">
        <v>14305</v>
      </c>
      <c r="C576" s="2" t="s">
        <v>14306</v>
      </c>
      <c r="D576" s="3">
        <v>2</v>
      </c>
      <c r="E576" s="3">
        <v>0</v>
      </c>
      <c r="F576" s="3" t="str">
        <f>HYPERLINK("https://www.boe.es/gazeta/dias/1809/12/19/pdfs/GMD-E-1809-354.pdf","Abrir PDF")</f>
        <v>Abrir PDF</v>
      </c>
    </row>
    <row r="577" spans="1:6" ht="30.95" customHeight="1">
      <c r="A577" s="2" t="s">
        <v>33</v>
      </c>
      <c r="B577" s="2" t="s">
        <v>34</v>
      </c>
      <c r="C577" s="2" t="s">
        <v>14307</v>
      </c>
      <c r="D577" s="3">
        <v>8</v>
      </c>
      <c r="E577" s="3">
        <v>173</v>
      </c>
      <c r="F577" s="3" t="str">
        <f>HYPERLINK("https://www.boe.es/gazeta/dias/1809/12/19/pdfs/GGB-1809-602.pdf","Abrir PDF")</f>
        <v>Abrir PDF</v>
      </c>
    </row>
    <row r="578" spans="1:6" ht="30.95" customHeight="1">
      <c r="A578" s="2" t="s">
        <v>1213</v>
      </c>
      <c r="B578" s="2" t="s">
        <v>1214</v>
      </c>
      <c r="C578" s="2" t="s">
        <v>14308</v>
      </c>
      <c r="D578" s="3">
        <v>4</v>
      </c>
      <c r="E578" s="3">
        <v>10</v>
      </c>
      <c r="F578" s="3" t="str">
        <f>HYPERLINK("https://www.boe.es/gazeta/dias/1809/12/20/pdfs/GMD-1809-355.pdf","Abrir PDF")</f>
        <v>Abrir PDF</v>
      </c>
    </row>
    <row r="579" spans="1:6" ht="30.95" customHeight="1">
      <c r="A579" s="2" t="s">
        <v>883</v>
      </c>
      <c r="B579" s="2" t="s">
        <v>884</v>
      </c>
      <c r="C579" s="2" t="s">
        <v>14309</v>
      </c>
      <c r="D579" s="3">
        <v>4</v>
      </c>
      <c r="E579" s="3">
        <v>12</v>
      </c>
      <c r="F579" s="3" t="str">
        <f>HYPERLINK("https://www.boe.es/gazeta/dias/1809/12/21/pdfs/GMD-1809-356.pdf","Abrir PDF")</f>
        <v>Abrir PDF</v>
      </c>
    </row>
    <row r="580" spans="1:6" ht="30.95" customHeight="1">
      <c r="A580" s="2" t="s">
        <v>883</v>
      </c>
      <c r="B580" s="2" t="s">
        <v>5874</v>
      </c>
      <c r="C580" s="2" t="s">
        <v>14310</v>
      </c>
      <c r="D580" s="3">
        <v>8</v>
      </c>
      <c r="E580" s="3">
        <v>8</v>
      </c>
      <c r="F580" s="3" t="str">
        <f>HYPERLINK("https://www.boe.es/gazeta/dias/1809/12/21/pdfs/GGB-1809-612.pdf","Abrir PDF")</f>
        <v>Abrir PDF</v>
      </c>
    </row>
    <row r="581" spans="1:6" ht="30.95" customHeight="1">
      <c r="A581" s="2" t="s">
        <v>14311</v>
      </c>
      <c r="B581" s="2" t="s">
        <v>14312</v>
      </c>
      <c r="C581" s="2" t="s">
        <v>14313</v>
      </c>
      <c r="D581" s="3">
        <v>4</v>
      </c>
      <c r="E581" s="3">
        <v>0</v>
      </c>
      <c r="F581" s="3" t="str">
        <f>HYPERLINK("https://www.boe.es/gazeta/dias/1809/12/22/pdfs/GMD-1809-357.pdf","Abrir PDF")</f>
        <v>Abrir PDF</v>
      </c>
    </row>
    <row r="582" spans="1:6" ht="30.95" customHeight="1">
      <c r="A582" s="2" t="s">
        <v>1948</v>
      </c>
      <c r="B582" s="2" t="s">
        <v>2055</v>
      </c>
      <c r="C582" s="2" t="s">
        <v>14314</v>
      </c>
      <c r="D582" s="3">
        <v>4</v>
      </c>
      <c r="E582" s="3">
        <v>7</v>
      </c>
      <c r="F582" s="3" t="str">
        <f>HYPERLINK("https://www.boe.es/gazeta/dias/1809/12/23/pdfs/GMD-1809-358.pdf","Abrir PDF")</f>
        <v>Abrir PDF</v>
      </c>
    </row>
    <row r="583" spans="1:6" ht="30.95" customHeight="1">
      <c r="A583" s="2" t="s">
        <v>1948</v>
      </c>
      <c r="B583" s="2" t="s">
        <v>1949</v>
      </c>
      <c r="C583" s="2" t="s">
        <v>14315</v>
      </c>
      <c r="D583" s="3">
        <v>8</v>
      </c>
      <c r="E583" s="3">
        <v>3</v>
      </c>
      <c r="F583" s="3" t="str">
        <f>HYPERLINK("https://www.boe.es/gazeta/dias/1809/12/23/pdfs/GGB-1809-622.pdf","Abrir PDF")</f>
        <v>Abrir PDF</v>
      </c>
    </row>
    <row r="584" spans="1:6" ht="30.95" customHeight="1">
      <c r="A584" s="2" t="s">
        <v>7617</v>
      </c>
      <c r="B584" s="2" t="s">
        <v>7618</v>
      </c>
      <c r="C584" s="2" t="s">
        <v>14316</v>
      </c>
      <c r="D584" s="3">
        <v>4</v>
      </c>
      <c r="E584" s="3">
        <v>4</v>
      </c>
      <c r="F584" s="3" t="str">
        <f>HYPERLINK("https://www.boe.es/gazeta/dias/1809/12/24/pdfs/GMD-1809-359.pdf","Abrir PDF")</f>
        <v>Abrir PDF</v>
      </c>
    </row>
    <row r="585" spans="1:6" ht="30.95" customHeight="1">
      <c r="A585" s="2" t="s">
        <v>743</v>
      </c>
      <c r="B585" s="2" t="s">
        <v>744</v>
      </c>
      <c r="C585" s="2" t="s">
        <v>14317</v>
      </c>
      <c r="D585" s="3">
        <v>4</v>
      </c>
      <c r="E585" s="3">
        <v>6</v>
      </c>
      <c r="F585" s="3" t="str">
        <f>HYPERLINK("https://www.boe.es/gazeta/dias/1809/12/25/pdfs/GMD-1809-360.pdf","Abrir PDF")</f>
        <v>Abrir PDF</v>
      </c>
    </row>
    <row r="586" spans="1:6" ht="30.95" customHeight="1">
      <c r="A586" s="2" t="s">
        <v>1237</v>
      </c>
      <c r="B586" s="2" t="s">
        <v>5135</v>
      </c>
      <c r="C586" s="2" t="s">
        <v>14318</v>
      </c>
      <c r="D586" s="3">
        <v>4</v>
      </c>
      <c r="E586" s="3">
        <v>1</v>
      </c>
      <c r="F586" s="3" t="str">
        <f>HYPERLINK("https://www.boe.es/gazeta/dias/1809/12/26/pdfs/GMD-1809-361.pdf","Abrir PDF")</f>
        <v>Abrir PDF</v>
      </c>
    </row>
    <row r="587" spans="1:6" ht="30.95" customHeight="1">
      <c r="A587" s="2" t="s">
        <v>1237</v>
      </c>
      <c r="B587" s="2" t="s">
        <v>1238</v>
      </c>
      <c r="C587" s="2" t="s">
        <v>14319</v>
      </c>
      <c r="D587" s="3">
        <v>8</v>
      </c>
      <c r="E587" s="3">
        <v>9</v>
      </c>
      <c r="F587" s="3" t="str">
        <f>HYPERLINK("https://www.boe.es/gazeta/dias/1809/12/26/pdfs/GGB-1809-632.pdf","Abrir PDF")</f>
        <v>Abrir PDF</v>
      </c>
    </row>
    <row r="588" spans="1:6" ht="30.95" customHeight="1">
      <c r="A588" s="2" t="s">
        <v>1300</v>
      </c>
      <c r="B588" s="2" t="s">
        <v>1301</v>
      </c>
      <c r="C588" s="2" t="s">
        <v>14320</v>
      </c>
      <c r="D588" s="3">
        <v>4</v>
      </c>
      <c r="E588" s="3">
        <v>7</v>
      </c>
      <c r="F588" s="3" t="str">
        <f>HYPERLINK("https://www.boe.es/gazeta/dias/1809/12/27/pdfs/GMD-1809-362.pdf","Abrir PDF")</f>
        <v>Abrir PDF</v>
      </c>
    </row>
    <row r="589" spans="1:6" ht="30.95" customHeight="1">
      <c r="A589" s="2" t="s">
        <v>473</v>
      </c>
      <c r="B589" s="2" t="s">
        <v>474</v>
      </c>
      <c r="C589" s="2" t="s">
        <v>14321</v>
      </c>
      <c r="D589" s="3">
        <v>4</v>
      </c>
      <c r="E589" s="3">
        <v>22</v>
      </c>
      <c r="F589" s="3" t="str">
        <f>HYPERLINK("https://www.boe.es/gazeta/dias/1809/12/28/pdfs/GMD-1809-363.pdf","Abrir PDF")</f>
        <v>Abrir PDF</v>
      </c>
    </row>
    <row r="590" spans="1:6" ht="30.95" customHeight="1">
      <c r="A590" s="2" t="s">
        <v>473</v>
      </c>
      <c r="B590" s="2" t="s">
        <v>1182</v>
      </c>
      <c r="C590" s="2" t="s">
        <v>14322</v>
      </c>
      <c r="D590" s="3">
        <v>8</v>
      </c>
      <c r="E590" s="3">
        <v>7</v>
      </c>
      <c r="F590" s="3" t="str">
        <f>HYPERLINK("https://www.boe.es/gazeta/dias/1809/12/28/pdfs/GGB-1809-642.pdf","Abrir PDF")</f>
        <v>Abrir PDF</v>
      </c>
    </row>
    <row r="591" spans="1:6" ht="30.95" customHeight="1">
      <c r="A591" s="2" t="s">
        <v>473</v>
      </c>
      <c r="B591" s="2" t="s">
        <v>1199</v>
      </c>
      <c r="C591" s="2" t="s">
        <v>14323</v>
      </c>
      <c r="D591" s="3">
        <v>8</v>
      </c>
      <c r="E591" s="3">
        <v>16</v>
      </c>
      <c r="F591" s="3" t="str">
        <f>HYPERLINK("https://www.boe.es/gazeta/dias/1809/12/28/pdfs/GGB-H-1809-642.pdf","Abrir PDF")</f>
        <v>Abrir PDF</v>
      </c>
    </row>
    <row r="592" spans="1:6" ht="30.95" customHeight="1">
      <c r="A592" s="2" t="s">
        <v>4598</v>
      </c>
      <c r="B592" s="2" t="s">
        <v>4599</v>
      </c>
      <c r="C592" s="2" t="s">
        <v>14324</v>
      </c>
      <c r="D592" s="3">
        <v>4</v>
      </c>
      <c r="E592" s="3">
        <v>5</v>
      </c>
      <c r="F592" s="3" t="str">
        <f>HYPERLINK("https://www.boe.es/gazeta/dias/1809/12/29/pdfs/GMD-1809-364.pdf","Abrir PDF")</f>
        <v>Abrir PDF</v>
      </c>
    </row>
    <row r="593" spans="1:6" ht="30.95" customHeight="1">
      <c r="A593" s="2" t="s">
        <v>66</v>
      </c>
      <c r="B593" s="2" t="s">
        <v>793</v>
      </c>
      <c r="C593" s="2" t="s">
        <v>14325</v>
      </c>
      <c r="D593" s="3">
        <v>4</v>
      </c>
      <c r="E593" s="3">
        <v>6</v>
      </c>
      <c r="F593" s="3" t="str">
        <f>HYPERLINK("https://www.boe.es/gazeta/dias/1809/12/30/pdfs/GMD-1809-365.pdf","Abrir PDF")</f>
        <v>Abrir PDF</v>
      </c>
    </row>
    <row r="594" spans="1:6" ht="30.95" customHeight="1">
      <c r="A594" s="2" t="s">
        <v>66</v>
      </c>
      <c r="B594" s="2" t="s">
        <v>67</v>
      </c>
      <c r="C594" s="2" t="s">
        <v>14326</v>
      </c>
      <c r="D594" s="3">
        <v>8</v>
      </c>
      <c r="E594" s="3">
        <v>7</v>
      </c>
      <c r="F594" s="3" t="str">
        <f>HYPERLINK("https://www.boe.es/gazeta/dias/1809/12/30/pdfs/GGB-1809-652.pdf","Abrir PDF")</f>
        <v>Abrir PDF</v>
      </c>
    </row>
    <row r="595" spans="1:6" ht="30.95" customHeight="1">
      <c r="A595" s="2" t="s">
        <v>5322</v>
      </c>
      <c r="B595" s="2" t="s">
        <v>5323</v>
      </c>
      <c r="C595" s="2" t="s">
        <v>14327</v>
      </c>
      <c r="D595" s="3">
        <v>4</v>
      </c>
      <c r="E595" s="3">
        <v>3</v>
      </c>
      <c r="F595" s="3" t="str">
        <f>HYPERLINK("https://www.boe.es/gazeta/dias/1809/12/31/pdfs/GMD-1809-366.pdf","Abrir PDF")</f>
        <v>Abrir PDF</v>
      </c>
    </row>
    <row r="598" spans="1:6" ht="24" customHeight="1">
      <c r="A598" s="10" t="s">
        <v>14328</v>
      </c>
      <c r="B598" s="10"/>
      <c r="C598" s="10"/>
      <c r="D598" s="10"/>
      <c r="E598" s="10"/>
      <c r="F598" s="10"/>
    </row>
    <row r="599" spans="1:6" ht="42" customHeight="1">
      <c r="A599" s="4" t="s">
        <v>14329</v>
      </c>
      <c r="B599" s="11" t="s">
        <v>14330</v>
      </c>
      <c r="C599" s="11"/>
      <c r="D599" s="11"/>
      <c r="E599" s="11"/>
      <c r="F599" s="11"/>
    </row>
    <row r="600" spans="1:6" ht="42" customHeight="1">
      <c r="A600" s="4" t="s">
        <v>14331</v>
      </c>
      <c r="B600" s="11" t="s">
        <v>14332</v>
      </c>
      <c r="C600" s="11"/>
      <c r="D600" s="11"/>
      <c r="E600" s="11"/>
      <c r="F600" s="11"/>
    </row>
    <row r="601" spans="1:6" ht="42" customHeight="1">
      <c r="A601" s="4" t="s">
        <v>14333</v>
      </c>
      <c r="B601" s="11" t="s">
        <v>14334</v>
      </c>
      <c r="C601" s="11"/>
      <c r="D601" s="11"/>
      <c r="E601" s="11"/>
      <c r="F601" s="11"/>
    </row>
    <row r="602" spans="1:6" ht="42" customHeight="1">
      <c r="A602" s="4" t="s">
        <v>14335</v>
      </c>
      <c r="B602" s="11" t="s">
        <v>14336</v>
      </c>
      <c r="C602" s="11"/>
      <c r="D602" s="11"/>
      <c r="E602" s="11"/>
      <c r="F602" s="11"/>
    </row>
    <row r="603" spans="1:6" ht="42" customHeight="1">
      <c r="A603" s="4" t="s">
        <v>14337</v>
      </c>
      <c r="B603" s="11" t="s">
        <v>14338</v>
      </c>
      <c r="C603" s="11"/>
      <c r="D603" s="11"/>
      <c r="E603" s="11"/>
      <c r="F603" s="11"/>
    </row>
    <row r="604" spans="1:6" ht="42" customHeight="1">
      <c r="A604" s="4" t="s">
        <v>10</v>
      </c>
      <c r="B604" s="11" t="s">
        <v>14339</v>
      </c>
      <c r="C604" s="11"/>
      <c r="D604" s="11"/>
      <c r="E604" s="11"/>
      <c r="F604" s="11"/>
    </row>
    <row r="605" spans="1:6" ht="42" customHeight="1">
      <c r="A605" s="4" t="s">
        <v>14340</v>
      </c>
      <c r="B605" s="11" t="s">
        <v>14341</v>
      </c>
      <c r="C605" s="11"/>
      <c r="D605" s="11"/>
      <c r="E605" s="11"/>
      <c r="F605" s="11"/>
    </row>
    <row r="606" spans="1:6" ht="42" customHeight="1">
      <c r="A606" s="4" t="s">
        <v>14342</v>
      </c>
      <c r="B606" s="11" t="s">
        <v>14343</v>
      </c>
      <c r="C606" s="11"/>
      <c r="D606" s="11"/>
      <c r="E606" s="11"/>
      <c r="F606" s="11"/>
    </row>
    <row r="607" spans="1:6" ht="42" customHeight="1">
      <c r="A607" s="4" t="s">
        <v>14344</v>
      </c>
      <c r="B607" s="11" t="s">
        <v>14345</v>
      </c>
      <c r="C607" s="11"/>
      <c r="D607" s="11"/>
      <c r="E607" s="11"/>
      <c r="F607" s="11"/>
    </row>
  </sheetData>
  <mergeCells count="12">
    <mergeCell ref="B606:F606"/>
    <mergeCell ref="B607:F607"/>
    <mergeCell ref="B601:F601"/>
    <mergeCell ref="B602:F602"/>
    <mergeCell ref="B603:F603"/>
    <mergeCell ref="B604:F604"/>
    <mergeCell ref="B605:F605"/>
    <mergeCell ref="A1:F1"/>
    <mergeCell ref="A2:F2"/>
    <mergeCell ref="A598:F598"/>
    <mergeCell ref="B599:F599"/>
    <mergeCell ref="B600:F60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2026-09-26T21:48:40Z</dcterms:created>
  <dcterms:modified xsi:type="dcterms:W3CDTF">2026-09-26T21:48:40Z</dcterms:modified>
</cp:coreProperties>
</file>